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7245" windowHeight="4725"/>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Fund'!$A$3:$A$7</definedName>
    <definedName name="Exh_G_var" localSheetId="18">'Exhibit G'!$A$2:$AL$122</definedName>
    <definedName name="Exh_G_var" localSheetId="20">'Exhibit G Federal'!$A$2:$AL$93</definedName>
    <definedName name="Exh_G_var" localSheetId="19">'Exhibit G State'!$A$2:$AL$119</definedName>
    <definedName name="EXHIBIT_E" localSheetId="14">'EXHIBIT E '!$A$3:$AK$65</definedName>
    <definedName name="EXHIBITA" localSheetId="2">'Exh A Supp'!$A$3:$AC$60</definedName>
    <definedName name="EXHIBITAvar" localSheetId="2">'Exh A Supp'!$A$3:$AC$60</definedName>
    <definedName name="ExhibitB" localSheetId="5">'Exh C'!$A$3:$Q$46</definedName>
    <definedName name="EXHL" localSheetId="40">'Appendix E'!$A$2:$AA$34</definedName>
    <definedName name="EXHL" localSheetId="28">'Exhibit M'!$A$3:$AF$39</definedName>
    <definedName name="Medicaid" localSheetId="39">'Medicaid Disp Share'!$B$4:$M$50</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StyleNme">"Classical.xls"</definedName>
    <definedName name="NvsTransLed">"VN"</definedName>
    <definedName name="NvsTreeASD">"V2019-12-31"</definedName>
    <definedName name="NvsValTbl.ACCOUNT">"GL_ACCOUNT_TBL"</definedName>
    <definedName name="NvsValTbl.BUSINESS_UNIT">"BUS_UNIT_GL_VW"</definedName>
    <definedName name="Page_1" localSheetId="3">Footnotes!$A$3:$S$74</definedName>
    <definedName name="Page_2" localSheetId="3">Footnotes!#REF!</definedName>
    <definedName name="page1" localSheetId="32">'Sch 4'!$A$3:$J$21</definedName>
    <definedName name="page1" localSheetId="0">'Table of Contents'!$A$1:$J$100</definedName>
    <definedName name="_xlnm.Print_Area" localSheetId="40">'Appendix E'!$A$2:$AA$45</definedName>
    <definedName name="_xlnm.Print_Area" localSheetId="41">'Appendix F'!$A$2:$P$292</definedName>
    <definedName name="_xlnm.Print_Area" localSheetId="42">'Appendix G'!$A$3:$Z$61</definedName>
    <definedName name="_xlnm.Print_Area" localSheetId="43">'Appendix H'!$A$3:$I$68</definedName>
    <definedName name="_xlnm.Print_Area" localSheetId="44">'Appendix I'!$A$3:$I$36</definedName>
    <definedName name="_xlnm.Print_Area" localSheetId="16">'Cash Flow State Operating'!$A$3:$AJ$149</definedName>
    <definedName name="_xlnm.Print_Area" localSheetId="15">'Cashflow Governmental'!$A$3:$AJ$148</definedName>
    <definedName name="_xlnm.Print_Area" localSheetId="2">'Exh A Supp'!$A$3:$AF$63</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Service'!$A$3:$K$43</definedName>
    <definedName name="_xlnm.Print_Area" localSheetId="8">'Exh D General Fund'!$A$3:$K$56</definedName>
    <definedName name="_xlnm.Print_Area" localSheetId="9">'Exh D Special Revenue'!$A$3:$O$47</definedName>
    <definedName name="_xlnm.Print_Area" localSheetId="10">'Exh D Special Revenue State Fed'!$A$3:$W$45</definedName>
    <definedName name="_xlnm.Print_Area" localSheetId="7">'Exh D State Operating'!$A$3:$K$56</definedName>
    <definedName name="_xlnm.Print_Area" localSheetId="6">'Exh D-Governmental  '!$A$3:$K$54</definedName>
    <definedName name="_xlnm.Print_Area" localSheetId="1">'Exhibit A'!$A$3:$AI$60</definedName>
    <definedName name="_xlnm.Print_Area" localSheetId="14">'EXHIBIT E '!$A$3:$AK$65</definedName>
    <definedName name="_xlnm.Print_Area" localSheetId="17">'Exhibit F'!$B$3:$AK$141</definedName>
    <definedName name="_xlnm.Print_Area" localSheetId="18">'Exhibit G'!$B$3:$AL$126</definedName>
    <definedName name="_xlnm.Print_Area" localSheetId="20">'Exhibit G Federal'!$B$2:$AL$96</definedName>
    <definedName name="_xlnm.Print_Area" localSheetId="19">'Exhibit G State'!$B$3:$AL$123</definedName>
    <definedName name="_xlnm.Print_Area" localSheetId="21">'Exhibit H'!$A$2:$AI$78</definedName>
    <definedName name="_xlnm.Print_Area" localSheetId="22">'Exhibit I'!$B$3:$AN$105</definedName>
    <definedName name="_xlnm.Print_Area" localSheetId="24">'Exhibit I Federal'!$B$3:$AL$85</definedName>
    <definedName name="_xlnm.Print_Area" localSheetId="23">'Exhibit I State'!$B$3:$AL$103</definedName>
    <definedName name="_xlnm.Print_Area" localSheetId="25">'Exhibit J'!$A$3:$AJ$54</definedName>
    <definedName name="_xlnm.Print_Area" localSheetId="26">'Exhibit K'!$A$3:$AI$49</definedName>
    <definedName name="_xlnm.Print_Area" localSheetId="27">'Exhibit L'!$A$3:$AI$39</definedName>
    <definedName name="_xlnm.Print_Area" localSheetId="28">'Exhibit M'!$A$3:$AI$39</definedName>
    <definedName name="_xlnm.Print_Area" localSheetId="3">Footnotes!$A$2:$P$59</definedName>
    <definedName name="_xlnm.Print_Area" localSheetId="36">'HCRA '!$A$3:$Z$63</definedName>
    <definedName name="_xlnm.Print_Area" localSheetId="37">'HCRA PROG DISB'!$A$3:$D$72</definedName>
    <definedName name="_xlnm.Print_Area" localSheetId="39">'Medicaid Disp Share'!$B$2:$M$53</definedName>
    <definedName name="_xlnm.Print_Area" localSheetId="38">'Public Goods '!$A$3:$L$54</definedName>
    <definedName name="_xlnm.Print_Area" localSheetId="29">'Sch 1 '!$A$3:$L$157</definedName>
    <definedName name="_xlnm.Print_Area" localSheetId="30">'Sch 2 '!$A$3:$K$45</definedName>
    <definedName name="_xlnm.Print_Area" localSheetId="31">'Sch 3 '!$A$2:$M$49</definedName>
    <definedName name="_xlnm.Print_Area" localSheetId="32">'Sch 4'!$A$3:$J$37</definedName>
    <definedName name="_xlnm.Print_Area" localSheetId="33">'Sch 5 '!$A$3:$S$67</definedName>
    <definedName name="_xlnm.Print_Area" localSheetId="34">'Sch 5a'!$B$3:$V$46</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F'!$3:$11</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'!$A$3:$AK$65</definedName>
    <definedName name="variance" localSheetId="42">'Appendix G'!$A$3:$X$46</definedName>
    <definedName name="variance" localSheetId="36">'HCRA '!$A$3:$X$48</definedName>
    <definedName name="Z_0343EF62_2899_4FBC_8F63_A150F51A61BC_.wvu.FilterData" localSheetId="11" hidden="1">'Exh D Debt Service'!$A$3:$A$7</definedName>
    <definedName name="Z_0343EF62_2899_4FBC_8F63_A150F51A61BC_.wvu.FilterData" localSheetId="8" hidden="1">'Exh D General Fund'!$A$3:$A$7</definedName>
    <definedName name="Z_04CE4621_FE72_4BEE_A48D_DC29A92270A5_.wvu.FilterData" localSheetId="8" hidden="1">'Exh D General Fund'!$A$3:$A$7</definedName>
    <definedName name="Z_07AF2E82_99DF_448F_AE0C_9F6ACFAD683D_.wvu.FilterData" localSheetId="11" hidden="1">'Exh D Debt Service'!$A$3:$A$7</definedName>
    <definedName name="Z_07E8DDA5_58F9_4F5D_9D36_B9951A01043B_.wvu.PrintArea" localSheetId="1" hidden="1">'Exhibit A'!$A$3:$AI$60</definedName>
    <definedName name="Z_08DD476C_F9CF_4768_90B3_DF70EE24A237_.wvu.FilterData" localSheetId="11" hidden="1">'Exh D Debt Service'!$A$3:$A$7</definedName>
    <definedName name="Z_08DD476C_F9CF_4768_90B3_DF70EE24A237_.wvu.FilterData" localSheetId="8" hidden="1">'Exh D General Fund'!$A$3:$A$7</definedName>
    <definedName name="Z_095E2B96_6954_4407_81EC_B5F17D68B93D_.wvu.FilterData" localSheetId="11" hidden="1">'Exh D Debt Service'!$A$3:$A$7</definedName>
    <definedName name="Z_095E2B96_6954_4407_81EC_B5F17D68B93D_.wvu.FilterData" localSheetId="8" hidden="1">'Exh D General Fund'!$A$3:$A$7</definedName>
    <definedName name="Z_0B8839DE_3408_4399_A325_5E66A2134E73_.wvu.FilterData" localSheetId="8" hidden="1">'Exh D General Fund'!$A$3:$A$7</definedName>
    <definedName name="Z_0BE0B1CF_D719_4DEE_9059_CD2EDA23BB72_.wvu.FilterData" localSheetId="11" hidden="1">'Exh D Debt Service'!$A$3:$A$7</definedName>
    <definedName name="Z_0BE0B1CF_D719_4DEE_9059_CD2EDA23BB72_.wvu.FilterData" localSheetId="8" hidden="1">'Exh D General Fund'!$A$3:$A$7</definedName>
    <definedName name="Z_0DC93707_9367_4260_BDCF_F5F59CF54468_.wvu.PrintArea" localSheetId="34" hidden="1">'Sch 5a'!$B$3:$W$44</definedName>
    <definedName name="Z_0F53A47B_061C_44B9_B148_CC55070FAB6E_.wvu.PrintTitles" localSheetId="29" hidden="1">'Sch 1 '!$3:$11</definedName>
    <definedName name="Z_0F53A47B_061C_44B9_B148_CC55070FAB6E_.wvu.Rows" localSheetId="29" hidden="1">'Sch 1 '!#REF!</definedName>
    <definedName name="Z_13BA7D7F_A933_47AA_AD0D_A2E7D4E4E0D7_.wvu.FilterData" localSheetId="8" hidden="1">'Exh D General Fund'!$A$3:$A$7</definedName>
    <definedName name="Z_14080760_59DE_41A3_97D7_93F21E7456F8_.wvu.FilterData" localSheetId="8" hidden="1">'Exh D General Fund'!$A$3:$A$7</definedName>
    <definedName name="Z_16F9E563_4458_41C9_BF56_F0F5B316856F_.wvu.Cols" localSheetId="15" hidden="1">'Cashflow Governmental'!#REF!</definedName>
    <definedName name="Z_16F9E563_4458_41C9_BF56_F0F5B316856F_.wvu.PrintArea" localSheetId="15" hidden="1">'Cashflow Governmental'!$A$3:$AJ$151</definedName>
    <definedName name="Z_17BB73E0_1CF4_467E_9487_3D1C86AF6DB9_.wvu.FilterData" localSheetId="8" hidden="1">'Exh D General Fund'!$A$3:$A$7</definedName>
    <definedName name="Z_1880016B_4B6F_4FAA_8DB2_BE0BC7DD87C2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'!$A$3:$AK$65</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Fund'!$A$3:$A$7</definedName>
    <definedName name="Z_2434159E_D7BE_4031_9347_FEC6E9AE1086_.wvu.FilterData" localSheetId="8" hidden="1">'Exh D General Fund'!$A$3:$A$7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Fund'!$A$3:$A$7</definedName>
    <definedName name="Z_27D0D2B0_D728_41CE_8CDF_B71D5DA88E20_.wvu.FilterData" localSheetId="8" hidden="1">'Exh D General Fund'!$A$3:$A$7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Fund'!$A$3:$A$7</definedName>
    <definedName name="Z_2AC06DE0_BE1D_4406_9415_83F674DFE673_.wvu.FilterData" localSheetId="11" hidden="1">'Exh D Debt Service'!$A$3:$A$7</definedName>
    <definedName name="Z_2CE66D36_857F_41D3_A739_E813879E2776_.wvu.FilterData" localSheetId="11" hidden="1">'Exh D Debt Service'!$A$3:$A$7</definedName>
    <definedName name="Z_2CE66D36_857F_41D3_A739_E813879E2776_.wvu.FilterData" localSheetId="8" hidden="1">'Exh D General Fund'!$A$3:$A$7</definedName>
    <definedName name="Z_2D2F0033_C8F9_474C_9F55_7729DBA3FAAD_.wvu.PrintArea" localSheetId="14" hidden="1">'EXHIBIT E '!$A$3:$AK$65</definedName>
    <definedName name="Z_2EDDD268_430F_4188_94A7_75D3EA1EDF86_.wvu.FilterData" localSheetId="8" hidden="1">'Exh D General Fund'!$A$3:$A$7</definedName>
    <definedName name="Z_2F419F63_BD3C_4339_BEB3_24DF0825A630_.wvu.FilterData" localSheetId="8" hidden="1">'Exh D General Fund'!$A$3:$A$7</definedName>
    <definedName name="Z_2FF96BB6_6112_4975_B54B_929538B05AD7_.wvu.FilterData" localSheetId="8" hidden="1">'Exh D General Fund'!$A$3:$A$7</definedName>
    <definedName name="Z_30AE2415_629E_49AD_80D6_16EE72A27D84_.wvu.FilterData" localSheetId="11" hidden="1">'Exh D Debt Service'!$A$3:$A$7</definedName>
    <definedName name="Z_3121FE90_05F2_48D7_A774_138D5236EB1C_.wvu.FilterData" localSheetId="8" hidden="1">'Exh D General Fund'!$A$3:$A$7</definedName>
    <definedName name="Z_3215277C_ACED_4FB7_9BFC_BF0E621AF59C_.wvu.FilterData" localSheetId="8" hidden="1">'Exh D General Fund'!$A$3:$A$7</definedName>
    <definedName name="Z_34E248C6_4E45_4D01_AA10_F996D50D9B76_.wvu.FilterData" localSheetId="8" hidden="1">'Exh D General Fund'!$A$3:$A$7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Fund'!$A$3:$A$7</definedName>
    <definedName name="Z_3CC7CC25_E0F5_49E1_B704_0EB8513444E7_.wvu.FilterData" localSheetId="8" hidden="1">'Exh D General Fund'!$A$3:$A$7</definedName>
    <definedName name="Z_3E09C753_C94C_4589_BB7F_28456297637B_.wvu.PrintArea" localSheetId="14" hidden="1">'EXHIBIT E '!$A$3:$AK$65</definedName>
    <definedName name="Z_40B04F56_1B22_4395_91DD_384E48A06F95_.wvu.FilterData" localSheetId="8" hidden="1">'Exh D General Fund'!$A$3:$A$7</definedName>
    <definedName name="Z_42515208_2A25_4242_A10A_75CEDA160A1B_.wvu.FilterData" localSheetId="8" hidden="1">'Exh D General Fund'!$A$3:$A$7</definedName>
    <definedName name="Z_42847430_5DA3_41F3_9D36_B559801C4BEE_.wvu.FilterData" localSheetId="8" hidden="1">'Exh D General Fund'!$A$3:$A$7</definedName>
    <definedName name="Z_46D80255_C131_405D_AA54_CB7C66EFC8B1_.wvu.FilterData" localSheetId="8" hidden="1">'Exh D General Fund'!$A$3:$A$7</definedName>
    <definedName name="Z_46E4CD47_D4E7_4AFB_B55F_6166DD9C9806_.wvu.PrintArea" localSheetId="14" hidden="1">'EXHIBIT E '!$A$3:$AK$65</definedName>
    <definedName name="Z_4C313DA7_E426_4FE0_B22C_6CE7D5DE7F31_.wvu.FilterData" localSheetId="11" hidden="1">'Exh D Debt Service'!$A$3:$A$7</definedName>
    <definedName name="Z_4C313DA7_E426_4FE0_B22C_6CE7D5DE7F31_.wvu.FilterData" localSheetId="8" hidden="1">'Exh D General Fund'!$A$3:$A$7</definedName>
    <definedName name="Z_4C5DC936_C451_4ECB_8EE3_1B14AD828160_.wvu.Cols" localSheetId="15" hidden="1">'Cashflow Governmental'!#REF!</definedName>
    <definedName name="Z_4C5DC936_C451_4ECB_8EE3_1B14AD828160_.wvu.PrintArea" localSheetId="15" hidden="1">'Cashflow Governmental'!$A$3:$AJ$151</definedName>
    <definedName name="Z_4D2D9B9D_A4D3_41DF_BF6D_3C7331C3E026_.wvu.FilterData" localSheetId="8" hidden="1">'Exh D General Fund'!$A$3:$A$7</definedName>
    <definedName name="Z_4F18E933_C845_4CA4_BEAB_BFCDE3A7EDDE_.wvu.FilterData" localSheetId="8" hidden="1">'Exh D General Fund'!$A$3:$A$7</definedName>
    <definedName name="Z_53181B1F_F32D_42B5_AEB6_ADB3450485A5_.wvu.FilterData" localSheetId="11" hidden="1">'Exh D Debt Service'!$A$3:$A$7</definedName>
    <definedName name="Z_545D46DE_DC9D_4815_85B0_08B7B736CDBF_.wvu.FilterData" localSheetId="8" hidden="1">'Exh D General Fund'!$A$3:$A$7</definedName>
    <definedName name="Z_59249A1B_84BA_428A_B987_EE0BE3B449F8_.wvu.FilterData" localSheetId="8" hidden="1">'Exh D General Fund'!$A$3:$A$7</definedName>
    <definedName name="Z_5C913560_E0C9_42EF_86B0_64847FFC2BC5_.wvu.FilterData" localSheetId="8" hidden="1">'Exh D General Fund'!$A$3:$A$7</definedName>
    <definedName name="Z_5D3236BA_94AB_4DBB_BB7D_9D4A6921FFA8_.wvu.FilterData" localSheetId="11" hidden="1">'Exh D Debt Service'!$A$3:$A$7</definedName>
    <definedName name="Z_5D3236BA_94AB_4DBB_BB7D_9D4A6921FFA8_.wvu.FilterData" localSheetId="8" hidden="1">'Exh D General Fund'!$A$3:$A$7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Fund'!$A$3:$A$7</definedName>
    <definedName name="Z_63934AF3_239F_447C_A783_B5936B1D7BDA_.wvu.FilterData" localSheetId="8" hidden="1">'Exh D General Fund'!$A$3:$A$7</definedName>
    <definedName name="Z_63A58C72_B007_4E3F_A2C0_E62EBD5B7EF8_.wvu.PrintArea" localSheetId="14" hidden="1">'EXHIBIT E '!$A$3:$AK$65</definedName>
    <definedName name="Z_64300EA2_43D0_4FBF_9089_8112D939C55C_.wvu.PrintArea" localSheetId="42" hidden="1">'Appendix G'!$A$3:$Z$61</definedName>
    <definedName name="Z_67D2BB6D_8081_40E9_B58E_707DE29EE54B_.wvu.FilterData" localSheetId="8" hidden="1">'Exh D General Fund'!$A$3:$A$7</definedName>
    <definedName name="Z_68C37B80_2911_436E_ADA1_71B3DBA6E309_.wvu.FilterData" localSheetId="8" hidden="1">'Exh D General Fund'!$A$3:$A$7</definedName>
    <definedName name="Z_68E40C11_32EA_4744_9D66_9674A456789F_.wvu.FilterData" localSheetId="8" hidden="1">'Exh D General Fund'!$A$3:$A$7</definedName>
    <definedName name="Z_71C087B8_8BB1_41B9_843F_11E56D036C5F_.wvu.FilterData" localSheetId="8" hidden="1">'Exh D General Fund'!$A$3:$A$7</definedName>
    <definedName name="Z_77789489_6D49_40D5_8F81_9C7EDDA5EAD3_.wvu.FilterData" localSheetId="8" hidden="1">'Exh D General Fund'!$A$3:$A$7</definedName>
    <definedName name="Z_7AE64DEF_56FD_44C8_9F38_A2F981B8F883_.wvu.PrintArea" localSheetId="23" hidden="1">'Exhibit I State'!$B$3:$AL$103</definedName>
    <definedName name="Z_7AE64DEF_56FD_44C8_9F38_A2F981B8F883_.wvu.Rows" localSheetId="23" hidden="1">'Exhibit I State'!#REF!</definedName>
    <definedName name="Z_7FEACBC4_1C39_4B1A_AF1F_6E1D8196D5B9_.wvu.FilterData" localSheetId="8" hidden="1">'Exh D General Fund'!$A$3:$A$7</definedName>
    <definedName name="Z_80876A9A_0E13_4169_8EC2_4642160C38DB_.wvu.PrintArea" localSheetId="1" hidden="1">'Exhibit A'!$A$3:$AI$60</definedName>
    <definedName name="Z_8207DCE3_1947_4DC9_AEB6_962F9248FA86_.wvu.FilterData" localSheetId="8" hidden="1">'Exh D General Fund'!$A$3:$A$7</definedName>
    <definedName name="Z_83DD2EFE_E2B4_4493_AE5E_10383886EF1B_.wvu.FilterData" localSheetId="8" hidden="1">'Exh D General Fund'!$A$3:$A$7</definedName>
    <definedName name="Z_85B3A599_57BF_4CE6_8AF9_26FB7E444A5A_.wvu.FilterData" localSheetId="11" hidden="1">'Exh D Debt Service'!$A$3:$A$7</definedName>
    <definedName name="Z_86C8BADE_1FEC_441A_A701_DFCBCC85CD39_.wvu.FilterData" localSheetId="8" hidden="1">'Exh D General Fund'!$A$3:$A$7</definedName>
    <definedName name="Z_8729FF11_220B_424C_9C3F_99EA1743B89F_.wvu.FilterData" localSheetId="11" hidden="1">'Exh D Debt Service'!$A$3:$A$7</definedName>
    <definedName name="Z_8729FF11_220B_424C_9C3F_99EA1743B89F_.wvu.FilterData" localSheetId="8" hidden="1">'Exh D General Fund'!$A$3:$A$7</definedName>
    <definedName name="Z_87AB22FD_E2B5_4807_865C_3D7DC0D900F9_.wvu.FilterData" localSheetId="8" hidden="1">'Exh D General Fund'!$A$3:$A$7</definedName>
    <definedName name="Z_8AC488D2_6FA2_4514_AAD4_4692EAA684CD_.wvu.FilterData" localSheetId="11" hidden="1">'Exh D Debt Service'!$A$3:$A$7</definedName>
    <definedName name="Z_8C2184D2_5D92_4141_9CC8_C0A16C6A1995_.wvu.FilterData" localSheetId="8" hidden="1">'Exh D General Fund'!$A$3:$A$7</definedName>
    <definedName name="Z_8EE6466D_211E_4E05_9F84_CC0A1C6F79F4_.wvu.PrintArea" localSheetId="42" hidden="1">'Appendix G'!$A$3:$Z$61</definedName>
    <definedName name="Z_8EE6466D_211E_4E05_9F84_CC0A1C6F79F4_.wvu.PrintArea" localSheetId="34" hidden="1">'Sch 5a'!$B$3:$W$44</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Fund'!$A$3:$A$7</definedName>
    <definedName name="Z_95AC2C42_DFA8_4C51_B271_0C44BB6D6F3A_.wvu.FilterData" localSheetId="8" hidden="1">'Exh D General Fund'!$A$3:$A$7</definedName>
    <definedName name="Z_9899757D_57B5_4A62_AF0E_3ABA9B994DD7_.wvu.PrintArea" localSheetId="24" hidden="1">'Exhibit I Federal'!$B$3:$AL$85</definedName>
    <definedName name="Z_9EFFAF1C_D472_4B35_9219_C6F7CE26C246_.wvu.FilterData" localSheetId="8" hidden="1">'Exh D General Fund'!$A$3:$A$7</definedName>
    <definedName name="Z_9F36343A_AF04_4B95_BB5A_0D3DFF7C6E58_.wvu.FilterData" localSheetId="8" hidden="1">'Exh D General Fund'!$A$3:$A$7</definedName>
    <definedName name="Z_A0FF3ACA_1D9B_4095_A4CC_20040E84219D_.wvu.PrintTitles" localSheetId="29" hidden="1">'Sch 1 '!$3:$11</definedName>
    <definedName name="Z_A0FF3ACA_1D9B_4095_A4CC_20040E84219D_.wvu.Rows" localSheetId="29" hidden="1">'Sch 1 '!#REF!</definedName>
    <definedName name="Z_A1E51884_FAF0_40A4_B4FF_80913EA23735_.wvu.FilterData" localSheetId="8" hidden="1">'Exh D General Fund'!$A$3:$A$7</definedName>
    <definedName name="Z_A3084395_BCD3_4FF9_B05A_2019ED9D13D3_.wvu.FilterData" localSheetId="8" hidden="1">'Exh D General Fund'!$A$3:$A$7</definedName>
    <definedName name="Z_A3AD8FC8_3DC1_448A_823A_ABA25030CCFD_.wvu.FilterData" localSheetId="11" hidden="1">'Exh D Debt Service'!$A$3:$A$7</definedName>
    <definedName name="Z_A5292644_3BAC_4F9D_AB15_8B6C19C7BAFA_.wvu.FilterData" localSheetId="8" hidden="1">'Exh D General Fund'!$A$3:$A$7</definedName>
    <definedName name="Z_A5B132A8_AE52_43B0_ACD8_B96D216615CD_.wvu.FilterData" localSheetId="8" hidden="1">'Exh D General Fund'!$A$3:$A$7</definedName>
    <definedName name="Z_A7142FA5_B6E9_42AA_8E0C_7016CD50E0E8_.wvu.FilterData" localSheetId="8" hidden="1">'Exh D General Fund'!$A$3:$A$7</definedName>
    <definedName name="Z_A7AD7FA3_032C_49A4_BA1A_982AA7ED1D54_.wvu.FilterData" localSheetId="11" hidden="1">'Exh D Debt Service'!$A$3:$A$7</definedName>
    <definedName name="Z_AA91AFAE_EED9_4A9F_975A_DBA015C351C3_.wvu.FilterData" localSheetId="8" hidden="1">'Exh D General Fund'!$A$3:$A$7</definedName>
    <definedName name="Z_AB5F083B_7792_4657_93D4_A6A8CC60BB97_.wvu.FilterData" localSheetId="8" hidden="1">'Exh D General Fund'!$A$3:$A$7</definedName>
    <definedName name="Z_B0A36191_929D_4F7D_8B26_981FD821E1F9_.wvu.FilterData" localSheetId="11" hidden="1">'Exh D Debt Service'!$A$3:$A$7</definedName>
    <definedName name="Z_B0A36191_929D_4F7D_8B26_981FD821E1F9_.wvu.FilterData" localSheetId="8" hidden="1">'Exh D General Fund'!$A$3:$A$7</definedName>
    <definedName name="Z_B289A4E0_9251_4B4C_9F84_26A1CCEEF41F_.wvu.FilterData" localSheetId="11" hidden="1">'Exh D Debt Service'!$A$3:$A$7</definedName>
    <definedName name="Z_B2A4E257_BEA6_4D7F_AAA8_5AB5CC9A5A8E_.wvu.FilterData" localSheetId="8" hidden="1">'Exh D General Fund'!$A$3:$A$7</definedName>
    <definedName name="Z_B41E6885_EAF7_4AC8_BB98_C75CFAC5A703_.wvu.FilterData" localSheetId="11" hidden="1">'Exh D Debt Service'!$A$3:$A$7</definedName>
    <definedName name="Z_B65C13CB_1FDB_42A7_9DA0_0D5412A3B67E_.wvu.FilterData" localSheetId="8" hidden="1">'Exh D General Fund'!$A$3:$A$7</definedName>
    <definedName name="Z_B6B84763_171E_4FE5_96D3_F6E7202F5932_.wvu.FilterData" localSheetId="8" hidden="1">'Exh D General Fund'!$A$3:$A$7</definedName>
    <definedName name="Z_B7EA20FD_E2E4_47A9_ADB2_CB6994C21060_.wvu.FilterData" localSheetId="8" hidden="1">'Exh D General Fund'!$A$3:$A$7</definedName>
    <definedName name="Z_B89D459E_FD0F_4F6D_A34F_E72B29028B49_.wvu.PrintArea" localSheetId="34" hidden="1">'Sch 5a'!$B$3:$W$44</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'!$A$3:$AK$65</definedName>
    <definedName name="Z_BF6A790B_FE66_4DC0_B4C3_043739C8712A_.wvu.FilterData" localSheetId="11" hidden="1">'Exh D Debt Service'!$A$3:$A$7</definedName>
    <definedName name="Z_BF6A790B_FE66_4DC0_B4C3_043739C8712A_.wvu.FilterData" localSheetId="8" hidden="1">'Exh D General Fund'!$A$3:$A$7</definedName>
    <definedName name="Z_BFA8E00C_7764_4678_998D_63283154D253_.wvu.FilterData" localSheetId="8" hidden="1">'Exh D General Fund'!$A$3:$A$7</definedName>
    <definedName name="Z_C29DFDEA_557C_4D2A_8AB0_5D02FD1A3990_.wvu.FilterData" localSheetId="8" hidden="1">'Exh D General Fund'!$A$3:$A$7</definedName>
    <definedName name="Z_C2CA5E03_89A9_49BB_B1DA_FDDFA8FA6494_.wvu.FilterData" localSheetId="11" hidden="1">'Exh D Debt Service'!$A$3:$A$7</definedName>
    <definedName name="Z_C2CA5E03_89A9_49BB_B1DA_FDDFA8FA6494_.wvu.FilterData" localSheetId="8" hidden="1">'Exh D General Fund'!$A$3:$A$7</definedName>
    <definedName name="Z_C5C11FF3_5C2C_4CF6_B28E_FB1B2DC22672_.wvu.FilterData" localSheetId="11" hidden="1">'Exh D Debt Service'!$A$3:$A$7</definedName>
    <definedName name="Z_C7CEBEFD_A523_43D8_A75B_33DCB49FCC95_.wvu.FilterData" localSheetId="8" hidden="1">'Exh D General Fund'!$A$3:$A$7</definedName>
    <definedName name="Z_C8BBFDB8_FD3E_44D7_AB99_05C7B07F7CBA_.wvu.FilterData" localSheetId="8" hidden="1">'Exh D General Fund'!$A$3:$A$7</definedName>
    <definedName name="Z_C9259745_8D19_416D_BEFA_309E09794201_.wvu.FilterData" localSheetId="8" hidden="1">'Exh D General Fund'!$A$3:$A$7</definedName>
    <definedName name="Z_CBF0C58D_0DEC_42B0_BDC0_FC274C6D3421_.wvu.FilterData" localSheetId="8" hidden="1">'Exh D General Fund'!$A$3:$A$7</definedName>
    <definedName name="Z_CD8BDD49_94D9_4A6D_9DB6_04ACC76273F7_.wvu.FilterData" localSheetId="8" hidden="1">'Exh D General Fund'!$A$3:$A$7</definedName>
    <definedName name="Z_CDF89CD8_E444_48AA_BD79_17038F183110_.wvu.FilterData" localSheetId="8" hidden="1">'Exh D General Fund'!$A$3:$A$7</definedName>
    <definedName name="Z_CEC68E96_80BD_4D3E_B82B_4577BB80D07A_.wvu.FilterData" localSheetId="8" hidden="1">'Exh D General Fund'!$A$3:$A$7</definedName>
    <definedName name="Z_CFEE50E2_401B_4F61_9D7F_826691D2BDD8_.wvu.FilterData" localSheetId="11" hidden="1">'Exh D Debt Service'!$A$3:$A$7</definedName>
    <definedName name="Z_D8A2B943_893F_4F3C_A054_B7BF98C780BF_.wvu.FilterData" localSheetId="8" hidden="1">'Exh D General Fund'!$A$3:$A$7</definedName>
    <definedName name="Z_DA07262C_7873_4039_BC63_3E1D4F744D90_.wvu.FilterData" localSheetId="8" hidden="1">'Exh D General Fund'!$A$3:$A$7</definedName>
    <definedName name="Z_DD49A576_6A97_4014_97C2_4199FF1215BD_.wvu.PrintArea" localSheetId="1" hidden="1">'Exhibit A'!$A$3:$AI$60</definedName>
    <definedName name="Z_DD5F991D_7DD8_4065_B3F6_F3B7783F8A50_.wvu.FilterData" localSheetId="8" hidden="1">'Exh D General Fund'!$A$3:$A$7</definedName>
    <definedName name="Z_DF9FD53F_9061_4207_B103_EA1C032F8025_.wvu.FilterData" localSheetId="11" hidden="1">'Exh D Debt Service'!$A$3:$A$7</definedName>
    <definedName name="Z_E071CE29_155D_4A9F_9B3B_7DDF9ED42A6D_.wvu.FilterData" localSheetId="8" hidden="1">'Exh D General Fund'!$A$3:$A$7</definedName>
    <definedName name="Z_E24939C5_07CE_420D_A673_4068FD6DC000_.wvu.FilterData" localSheetId="8" hidden="1">'Exh D General Fund'!$A$3:$A$7</definedName>
    <definedName name="Z_E2FD86BB_A394_463F_941F_0A78BD2E19E5_.wvu.FilterData" localSheetId="8" hidden="1">'Exh D General Fund'!$A$3:$A$7</definedName>
    <definedName name="Z_E4F2679C_653B_4026_922C_25ECBCA643E6_.wvu.FilterData" localSheetId="8" hidden="1">'Exh D General Fund'!$A$3:$A$7</definedName>
    <definedName name="Z_E53CDBE4_5283_4E76_B430_873F933CFEFD_.wvu.FilterData" localSheetId="8" hidden="1">'Exh D General Fund'!$A$3:$A$7</definedName>
    <definedName name="Z_E7A86177_7B19_421F_A256_D31A4A7193C1_.wvu.PrintArea" localSheetId="24" hidden="1">'Exhibit I Federal'!$B$3:$AL$85</definedName>
    <definedName name="Z_EB2B6F4A_6D27_43A2_B38C_793C8CCA29FD_.wvu.FilterData" localSheetId="11" hidden="1">'Exh D Debt Service'!$A$3:$A$7</definedName>
    <definedName name="Z_EB2B6F4A_6D27_43A2_B38C_793C8CCA29FD_.wvu.FilterData" localSheetId="8" hidden="1">'Exh D General Fund'!$A$3:$A$7</definedName>
    <definedName name="Z_ED85D741_99C0_416E_B325_2A1022BC19BA_.wvu.FilterData" localSheetId="11" hidden="1">'Exh D Debt Service'!$A$3:$A$7</definedName>
    <definedName name="Z_EFEA39D6_665A_4A30_9C9D_60C6600E6E69_.wvu.FilterData" localSheetId="8" hidden="1">'Exh D General Fund'!$A$3:$A$7</definedName>
    <definedName name="Z_F06BD761_76B1_40BA_98BC_E9348D386469_.wvu.PrintArea" localSheetId="14" hidden="1">'EXHIBIT E '!$A$3:$AK$65</definedName>
    <definedName name="Z_F216F4F5_0685_4D55_84E4_F3D0B4CE5E1A_.wvu.FilterData" localSheetId="8" hidden="1">'Exh D General Fund'!$A$3:$A$7</definedName>
    <definedName name="Z_F3AC9EB1_8410_41DB_9080_C38F3C9E46F6_.wvu.FilterData" localSheetId="8" hidden="1">'Exh D General Fund'!$A$3:$A$7</definedName>
    <definedName name="Z_F5928AC6_9FDA_425C_8625_096ED0D736C9_.wvu.FilterData" localSheetId="11" hidden="1">'Exh D Debt Service'!$A$3:$A$7</definedName>
    <definedName name="Z_F69DDDA9_4621_426B_ADE0_295642CC7F7E_.wvu.FilterData" localSheetId="8" hidden="1">'Exh D General Fund'!$A$3:$A$7</definedName>
    <definedName name="Z_FC38E971_5D0B_49A4_B432_2D2538292A7F_.wvu.FilterData" localSheetId="8" hidden="1">'Exh D General Fund'!$A$3:$A$7</definedName>
    <definedName name="Z_FF6A1557_A1BA_4E89_BE0D_61E8805E56CD_.wvu.PrintArea" localSheetId="1" hidden="1">'Exhibit A'!$A$3:$AI$60</definedName>
  </definedNames>
  <calcPr calcId="152511"/>
</workbook>
</file>

<file path=xl/calcChain.xml><?xml version="1.0" encoding="utf-8"?>
<calcChain xmlns="http://schemas.openxmlformats.org/spreadsheetml/2006/main">
  <c r="W30" i="25" l="1"/>
  <c r="D66" i="38" l="1"/>
  <c r="C66" i="38"/>
  <c r="V65" i="21" l="1"/>
  <c r="V74" i="21"/>
  <c r="V73" i="21"/>
  <c r="Z36" i="43" l="1"/>
  <c r="AA69" i="22" l="1"/>
  <c r="S21" i="16" l="1"/>
  <c r="T16" i="29" l="1"/>
  <c r="F18" i="6" s="1"/>
  <c r="W58" i="24" l="1"/>
  <c r="W41" i="25"/>
  <c r="W70" i="24"/>
  <c r="W69" i="24"/>
  <c r="R104" i="19"/>
  <c r="P104" i="19"/>
  <c r="N104" i="19"/>
  <c r="L104" i="19"/>
  <c r="J104" i="19"/>
  <c r="H104" i="19"/>
  <c r="F104" i="19"/>
  <c r="D104" i="19"/>
  <c r="T104" i="19" l="1"/>
  <c r="T19" i="37" l="1"/>
  <c r="L15" i="39"/>
  <c r="I47" i="39"/>
  <c r="I38" i="39"/>
  <c r="I28" i="39"/>
  <c r="I22" i="39"/>
  <c r="J44" i="40"/>
  <c r="J36" i="40"/>
  <c r="J22" i="40"/>
  <c r="J16" i="40"/>
  <c r="I30" i="39" l="1"/>
  <c r="I50" i="39" s="1"/>
  <c r="J24" i="40"/>
  <c r="J47" i="40" s="1"/>
  <c r="Q21" i="16" l="1"/>
  <c r="Q22" i="16"/>
  <c r="Q23" i="16"/>
  <c r="Q24" i="16"/>
  <c r="Q25" i="16"/>
  <c r="T24" i="27" l="1"/>
  <c r="F25" i="5" s="1"/>
  <c r="T25" i="27"/>
  <c r="F26" i="5" s="1"/>
  <c r="I59" i="44"/>
  <c r="U30" i="26" l="1"/>
  <c r="B27" i="5" s="1"/>
  <c r="U19" i="26"/>
  <c r="B18" i="5" s="1"/>
  <c r="U29" i="26"/>
  <c r="B26" i="5" s="1"/>
  <c r="I12" i="34"/>
  <c r="V129" i="18" l="1"/>
  <c r="T66" i="22"/>
  <c r="L49" i="2" s="1"/>
  <c r="T44" i="22"/>
  <c r="V50" i="18"/>
  <c r="D53" i="15" s="1"/>
  <c r="V73" i="18"/>
  <c r="V41" i="18"/>
  <c r="D43" i="15" s="1"/>
  <c r="V67" i="18"/>
  <c r="T19" i="22"/>
  <c r="L28" i="15" s="1"/>
  <c r="T55" i="22"/>
  <c r="L37" i="2" s="1"/>
  <c r="V35" i="18"/>
  <c r="T67" i="22"/>
  <c r="L50" i="2" s="1"/>
  <c r="D44" i="40"/>
  <c r="M43" i="40"/>
  <c r="M40" i="40"/>
  <c r="M39" i="40"/>
  <c r="M35" i="40"/>
  <c r="M34" i="40"/>
  <c r="M33" i="40"/>
  <c r="M32" i="40"/>
  <c r="M31" i="40"/>
  <c r="M29" i="40"/>
  <c r="M28" i="40"/>
  <c r="M21" i="40"/>
  <c r="M20" i="40"/>
  <c r="M19" i="40"/>
  <c r="M15" i="40"/>
  <c r="L46" i="39"/>
  <c r="L45" i="39"/>
  <c r="L44" i="39"/>
  <c r="L42" i="39"/>
  <c r="L41" i="39"/>
  <c r="L37" i="39"/>
  <c r="L35" i="39"/>
  <c r="L34" i="39"/>
  <c r="L27" i="39"/>
  <c r="L26" i="39"/>
  <c r="L25" i="39"/>
  <c r="L16" i="39"/>
  <c r="L17" i="39"/>
  <c r="L18" i="39"/>
  <c r="L19" i="39"/>
  <c r="L20" i="39"/>
  <c r="L21" i="39"/>
  <c r="L12" i="39"/>
  <c r="U40" i="17" l="1"/>
  <c r="D36" i="15"/>
  <c r="U40" i="16"/>
  <c r="M191" i="42"/>
  <c r="W74" i="24" l="1"/>
  <c r="W54" i="24"/>
  <c r="Q60" i="25"/>
  <c r="H44" i="40" l="1"/>
  <c r="F42" i="40" l="1"/>
  <c r="F44" i="40" l="1"/>
  <c r="M42" i="40"/>
  <c r="M27" i="17"/>
  <c r="S27" i="23" l="1"/>
  <c r="Z31" i="43"/>
  <c r="V28" i="18" l="1"/>
  <c r="D28" i="15" s="1"/>
  <c r="V20" i="18"/>
  <c r="U24" i="17" s="1"/>
  <c r="N22" i="43"/>
  <c r="D19" i="15" l="1"/>
  <c r="U24" i="16"/>
  <c r="G7" i="45"/>
  <c r="C7" i="45"/>
  <c r="T29" i="37" l="1"/>
  <c r="T28" i="37"/>
  <c r="T42" i="37"/>
  <c r="O20" i="23"/>
  <c r="P18" i="19"/>
  <c r="V104" i="18" l="1"/>
  <c r="D28" i="2" s="1"/>
  <c r="V113" i="18"/>
  <c r="D37" i="2" s="1"/>
  <c r="V18" i="18"/>
  <c r="V105" i="18"/>
  <c r="D29" i="2" s="1"/>
  <c r="L33" i="43"/>
  <c r="Z33" i="43" s="1"/>
  <c r="L32" i="43"/>
  <c r="L29" i="43"/>
  <c r="Z29" i="43" s="1"/>
  <c r="L34" i="43"/>
  <c r="Z34" i="43" s="1"/>
  <c r="L26" i="43"/>
  <c r="Z26" i="43" s="1"/>
  <c r="L24" i="43"/>
  <c r="L23" i="43"/>
  <c r="Z23" i="43" s="1"/>
  <c r="L22" i="43"/>
  <c r="Z22" i="43" s="1"/>
  <c r="L21" i="43"/>
  <c r="Z21" i="43" s="1"/>
  <c r="L20" i="43"/>
  <c r="D17" i="15" l="1"/>
  <c r="U22" i="17"/>
  <c r="U22" i="16"/>
  <c r="L37" i="43"/>
  <c r="T21" i="37" l="1"/>
  <c r="V86" i="18"/>
  <c r="W62" i="24"/>
  <c r="W47" i="24"/>
  <c r="V60" i="21"/>
  <c r="V23" i="18"/>
  <c r="D22" i="15" s="1"/>
  <c r="W25" i="24"/>
  <c r="W26" i="23" s="1"/>
  <c r="P41" i="15" s="1"/>
  <c r="W50" i="24"/>
  <c r="W51" i="23" s="1"/>
  <c r="W56" i="25"/>
  <c r="W75" i="23" s="1"/>
  <c r="P30" i="2" s="1"/>
  <c r="W59" i="25"/>
  <c r="V68" i="18"/>
  <c r="W38" i="25"/>
  <c r="W56" i="23" s="1"/>
  <c r="V71" i="18"/>
  <c r="V106" i="18"/>
  <c r="D30" i="2" s="1"/>
  <c r="W33" i="25"/>
  <c r="V30" i="18"/>
  <c r="D30" i="15" s="1"/>
  <c r="U31" i="26"/>
  <c r="B28" i="5" s="1"/>
  <c r="T41" i="22"/>
  <c r="V48" i="18"/>
  <c r="D51" i="15" s="1"/>
  <c r="V123" i="18"/>
  <c r="W82" i="24"/>
  <c r="V72" i="21"/>
  <c r="W55" i="24"/>
  <c r="V42" i="18"/>
  <c r="D44" i="15" s="1"/>
  <c r="W68" i="24"/>
  <c r="V77" i="21"/>
  <c r="W44" i="24"/>
  <c r="U21" i="26"/>
  <c r="B20" i="5" s="1"/>
  <c r="V107" i="18"/>
  <c r="D31" i="2" s="1"/>
  <c r="T34" i="22"/>
  <c r="W83" i="24"/>
  <c r="T49" i="22"/>
  <c r="L19" i="2" s="1"/>
  <c r="W44" i="25"/>
  <c r="V90" i="18"/>
  <c r="V24" i="18"/>
  <c r="D23" i="15" s="1"/>
  <c r="T26" i="27"/>
  <c r="F27" i="5" s="1"/>
  <c r="V33" i="18"/>
  <c r="D34" i="15" s="1"/>
  <c r="T36" i="22"/>
  <c r="T15" i="37"/>
  <c r="W93" i="24"/>
  <c r="W94" i="23" s="1"/>
  <c r="P50" i="2" s="1"/>
  <c r="V91" i="18"/>
  <c r="V86" i="21"/>
  <c r="V125" i="18"/>
  <c r="W58" i="25"/>
  <c r="T36" i="37"/>
  <c r="W51" i="25"/>
  <c r="W70" i="23" s="1"/>
  <c r="P25" i="2" s="1"/>
  <c r="AJ76" i="21"/>
  <c r="R32" i="11"/>
  <c r="G32" i="10" s="1"/>
  <c r="K32" i="10" s="1"/>
  <c r="V76" i="21"/>
  <c r="V104" i="19" s="1"/>
  <c r="AD104" i="19" s="1"/>
  <c r="J40" i="2" s="1"/>
  <c r="V100" i="18"/>
  <c r="D24" i="2" s="1"/>
  <c r="V75" i="18"/>
  <c r="V68" i="21"/>
  <c r="AG113" i="19"/>
  <c r="AG40" i="22"/>
  <c r="T40" i="22"/>
  <c r="W48" i="24"/>
  <c r="W49" i="23" s="1"/>
  <c r="T17" i="27"/>
  <c r="F18" i="5" s="1"/>
  <c r="W45" i="24"/>
  <c r="V57" i="18"/>
  <c r="V80" i="18"/>
  <c r="T37" i="37"/>
  <c r="V19" i="18"/>
  <c r="U23" i="17" s="1"/>
  <c r="W43" i="24"/>
  <c r="T16" i="37"/>
  <c r="V66" i="21"/>
  <c r="V25" i="18"/>
  <c r="U29" i="16" s="1"/>
  <c r="W52" i="25"/>
  <c r="W71" i="23" s="1"/>
  <c r="P26" i="2" s="1"/>
  <c r="W64" i="25"/>
  <c r="W83" i="23" s="1"/>
  <c r="P38" i="2" s="1"/>
  <c r="V21" i="18"/>
  <c r="D20" i="15" s="1"/>
  <c r="V39" i="18"/>
  <c r="D41" i="15" s="1"/>
  <c r="V65" i="18"/>
  <c r="W63" i="25"/>
  <c r="W82" i="23" s="1"/>
  <c r="P37" i="2" s="1"/>
  <c r="T23" i="22"/>
  <c r="U55" i="17" s="1"/>
  <c r="W92" i="24"/>
  <c r="V83" i="18"/>
  <c r="V109" i="18"/>
  <c r="D33" i="2" s="1"/>
  <c r="V38" i="18"/>
  <c r="D40" i="15" s="1"/>
  <c r="W29" i="24"/>
  <c r="W30" i="23" s="1"/>
  <c r="P51" i="15" s="1"/>
  <c r="W74" i="25"/>
  <c r="V77" i="18"/>
  <c r="T23" i="37"/>
  <c r="T30" i="22"/>
  <c r="W21" i="24"/>
  <c r="W22" i="23" s="1"/>
  <c r="P34" i="15" s="1"/>
  <c r="T37" i="27"/>
  <c r="F36" i="5" s="1"/>
  <c r="W73" i="25"/>
  <c r="V63" i="18"/>
  <c r="W57" i="25"/>
  <c r="W37" i="25"/>
  <c r="W55" i="23" s="1"/>
  <c r="W76" i="24"/>
  <c r="V76" i="18"/>
  <c r="AG114" i="19"/>
  <c r="AG104" i="19"/>
  <c r="AL104" i="19" s="1"/>
  <c r="AL76" i="21"/>
  <c r="U28" i="26"/>
  <c r="B25" i="5" s="1"/>
  <c r="V60" i="18"/>
  <c r="W40" i="24"/>
  <c r="W41" i="23" s="1"/>
  <c r="V62" i="21"/>
  <c r="W55" i="25"/>
  <c r="T30" i="37"/>
  <c r="W62" i="25"/>
  <c r="W81" i="23" s="1"/>
  <c r="P36" i="2" s="1"/>
  <c r="T32" i="22"/>
  <c r="W77" i="24"/>
  <c r="V124" i="18"/>
  <c r="V40" i="18"/>
  <c r="D42" i="15" s="1"/>
  <c r="T35" i="22"/>
  <c r="T32" i="37"/>
  <c r="U42" i="26"/>
  <c r="B36" i="5" s="1"/>
  <c r="V61" i="18"/>
  <c r="W51" i="24"/>
  <c r="T17" i="37"/>
  <c r="V78" i="18"/>
  <c r="W26" i="24"/>
  <c r="W27" i="23" s="1"/>
  <c r="P44" i="15" s="1"/>
  <c r="V79" i="18"/>
  <c r="V128" i="18"/>
  <c r="W28" i="25"/>
  <c r="W46" i="23" s="1"/>
  <c r="V94" i="18"/>
  <c r="D19" i="2" s="1"/>
  <c r="T38" i="37"/>
  <c r="W91" i="24"/>
  <c r="U20" i="26"/>
  <c r="B19" i="5" s="1"/>
  <c r="V85" i="18"/>
  <c r="W32" i="25"/>
  <c r="W19" i="24"/>
  <c r="W20" i="23" s="1"/>
  <c r="P29" i="15" s="1"/>
  <c r="T22" i="37"/>
  <c r="W39" i="25"/>
  <c r="W73" i="24"/>
  <c r="V127" i="18"/>
  <c r="V66" i="18"/>
  <c r="W34" i="25"/>
  <c r="W52" i="23" s="1"/>
  <c r="W36" i="25"/>
  <c r="V84" i="18"/>
  <c r="V46" i="18"/>
  <c r="U51" i="16" s="1"/>
  <c r="T45" i="22"/>
  <c r="V114" i="18"/>
  <c r="D38" i="2" s="1"/>
  <c r="W49" i="24"/>
  <c r="V112" i="18"/>
  <c r="D36" i="2" s="1"/>
  <c r="W42" i="24"/>
  <c r="V34" i="18"/>
  <c r="D35" i="15" s="1"/>
  <c r="V69" i="21"/>
  <c r="V72" i="18"/>
  <c r="T31" i="37"/>
  <c r="T18" i="37"/>
  <c r="W24" i="24"/>
  <c r="W25" i="23" s="1"/>
  <c r="P40" i="15" s="1"/>
  <c r="W31" i="25"/>
  <c r="W25" i="25"/>
  <c r="V47" i="18"/>
  <c r="U52" i="17" s="1"/>
  <c r="U41" i="26"/>
  <c r="B35" i="5" s="1"/>
  <c r="V102" i="18"/>
  <c r="D26" i="2" s="1"/>
  <c r="W24" i="25"/>
  <c r="W42" i="23" s="1"/>
  <c r="T36" i="27"/>
  <c r="F35" i="5" s="1"/>
  <c r="W54" i="25"/>
  <c r="W23" i="25"/>
  <c r="V62" i="18"/>
  <c r="W72" i="24"/>
  <c r="V49" i="18"/>
  <c r="D52" i="15" s="1"/>
  <c r="W80" i="24"/>
  <c r="V64" i="21"/>
  <c r="T33" i="22"/>
  <c r="W20" i="24"/>
  <c r="W21" i="23" s="1"/>
  <c r="P32" i="15" s="1"/>
  <c r="V108" i="18"/>
  <c r="D32" i="2" s="1"/>
  <c r="V32" i="18"/>
  <c r="D33" i="15" s="1"/>
  <c r="T41" i="37"/>
  <c r="W56" i="24"/>
  <c r="W57" i="23" s="1"/>
  <c r="V89" i="18"/>
  <c r="T16" i="22"/>
  <c r="L14" i="2" s="1"/>
  <c r="AI40" i="22"/>
  <c r="W38" i="24"/>
  <c r="T37" i="22"/>
  <c r="AE55" i="16"/>
  <c r="V88" i="18"/>
  <c r="V29" i="18"/>
  <c r="D29" i="15" s="1"/>
  <c r="W40" i="25"/>
  <c r="W59" i="23" s="1"/>
  <c r="V85" i="21"/>
  <c r="W26" i="25"/>
  <c r="V67" i="21"/>
  <c r="T20" i="37"/>
  <c r="V17" i="18"/>
  <c r="U21" i="17" s="1"/>
  <c r="W21" i="25"/>
  <c r="V87" i="18"/>
  <c r="V101" i="18"/>
  <c r="D25" i="2" s="1"/>
  <c r="T46" i="22"/>
  <c r="T57" i="22"/>
  <c r="U127" i="16" s="1"/>
  <c r="W65" i="25"/>
  <c r="W53" i="24"/>
  <c r="W36" i="24"/>
  <c r="W37" i="23" s="1"/>
  <c r="W41" i="24"/>
  <c r="T40" i="37"/>
  <c r="W19" i="25"/>
  <c r="W50" i="25"/>
  <c r="W69" i="23" s="1"/>
  <c r="P24" i="2" s="1"/>
  <c r="V61" i="21"/>
  <c r="W75" i="24"/>
  <c r="W76" i="23" s="1"/>
  <c r="P31" i="2" s="1"/>
  <c r="V45" i="18"/>
  <c r="U50" i="17" s="1"/>
  <c r="W59" i="24"/>
  <c r="W60" i="23" s="1"/>
  <c r="AL43" i="21"/>
  <c r="T38" i="22"/>
  <c r="V82" i="18"/>
  <c r="V58" i="18"/>
  <c r="U63" i="17" s="1"/>
  <c r="V31" i="18"/>
  <c r="D32" i="15" s="1"/>
  <c r="T42" i="22"/>
  <c r="W57" i="24"/>
  <c r="W58" i="23" s="1"/>
  <c r="W81" i="24"/>
  <c r="V69" i="18"/>
  <c r="V70" i="18"/>
  <c r="T22" i="22"/>
  <c r="L51" i="15" s="1"/>
  <c r="W27" i="25"/>
  <c r="U54" i="16"/>
  <c r="U52" i="16"/>
  <c r="D50" i="15"/>
  <c r="V130" i="18"/>
  <c r="D50" i="2" s="1"/>
  <c r="W74" i="23"/>
  <c r="P29" i="2" s="1"/>
  <c r="U55" i="16"/>
  <c r="L53" i="15"/>
  <c r="W50" i="23"/>
  <c r="U54" i="17"/>
  <c r="W44" i="23"/>
  <c r="U51" i="17"/>
  <c r="D18" i="15"/>
  <c r="W73" i="23"/>
  <c r="P28" i="2" s="1"/>
  <c r="U70" i="16"/>
  <c r="U29" i="17"/>
  <c r="W54" i="23"/>
  <c r="W84" i="23"/>
  <c r="P41" i="2" s="1"/>
  <c r="W45" i="23"/>
  <c r="W39" i="23"/>
  <c r="H40" i="2"/>
  <c r="U25" i="16"/>
  <c r="U70" i="17"/>
  <c r="W93" i="23"/>
  <c r="P49" i="2" s="1"/>
  <c r="W92" i="23"/>
  <c r="U136" i="16" s="1"/>
  <c r="W78" i="23"/>
  <c r="P33" i="2" s="1"/>
  <c r="W63" i="23"/>
  <c r="P19" i="2" s="1"/>
  <c r="D24" i="15"/>
  <c r="U23" i="16"/>
  <c r="U25" i="17"/>
  <c r="D48" i="15"/>
  <c r="D49" i="15"/>
  <c r="Q21" i="23"/>
  <c r="Q20" i="23"/>
  <c r="Z20" i="43"/>
  <c r="U63" i="16" l="1"/>
  <c r="W48" i="23"/>
  <c r="D16" i="15"/>
  <c r="U21" i="16"/>
  <c r="W43" i="23"/>
  <c r="U53" i="17"/>
  <c r="U53" i="16"/>
  <c r="AJ104" i="19"/>
  <c r="U28" i="17"/>
  <c r="U28" i="16"/>
  <c r="L23" i="15"/>
  <c r="T24" i="37"/>
  <c r="V126" i="18"/>
  <c r="D49" i="2" s="1"/>
  <c r="U127" i="17"/>
  <c r="L40" i="2"/>
  <c r="W77" i="23"/>
  <c r="P32" i="2" s="1"/>
  <c r="U50" i="16"/>
  <c r="P48" i="2"/>
  <c r="I25" i="45"/>
  <c r="I23" i="45"/>
  <c r="I24" i="45"/>
  <c r="I19" i="45"/>
  <c r="I22" i="45"/>
  <c r="I21" i="45"/>
  <c r="I20" i="45"/>
  <c r="I18" i="45"/>
  <c r="I17" i="45"/>
  <c r="I16" i="45"/>
  <c r="I15" i="45"/>
  <c r="I14" i="45"/>
  <c r="I13" i="45"/>
  <c r="H26" i="45"/>
  <c r="I11" i="45"/>
  <c r="E19" i="45"/>
  <c r="E25" i="45"/>
  <c r="E24" i="45"/>
  <c r="E23" i="45"/>
  <c r="E22" i="45"/>
  <c r="E21" i="45"/>
  <c r="E20" i="45"/>
  <c r="E18" i="45"/>
  <c r="E17" i="45"/>
  <c r="E16" i="45"/>
  <c r="E15" i="45"/>
  <c r="E14" i="45"/>
  <c r="E13" i="45"/>
  <c r="D26" i="45"/>
  <c r="O25" i="17" l="1"/>
  <c r="Q30" i="23"/>
  <c r="G26" i="45"/>
  <c r="I12" i="45"/>
  <c r="I26" i="45" s="1"/>
  <c r="C26" i="45"/>
  <c r="O25" i="16" l="1"/>
  <c r="E12" i="45"/>
  <c r="E11" i="45"/>
  <c r="I28" i="45"/>
  <c r="E28" i="45"/>
  <c r="E26" i="45" l="1"/>
  <c r="I41" i="44"/>
  <c r="I47" i="44"/>
  <c r="I42" i="44"/>
  <c r="I56" i="44"/>
  <c r="I55" i="44"/>
  <c r="I54" i="44"/>
  <c r="I53" i="44"/>
  <c r="I49" i="44"/>
  <c r="I48" i="44"/>
  <c r="I37" i="44"/>
  <c r="I35" i="44"/>
  <c r="I34" i="44"/>
  <c r="I31" i="44"/>
  <c r="I29" i="44"/>
  <c r="I28" i="44"/>
  <c r="I27" i="44"/>
  <c r="I26" i="44"/>
  <c r="I25" i="44"/>
  <c r="I24" i="44"/>
  <c r="I23" i="44"/>
  <c r="I21" i="44"/>
  <c r="I17" i="44"/>
  <c r="I15" i="44"/>
  <c r="I52" i="44"/>
  <c r="I51" i="44"/>
  <c r="I50" i="44"/>
  <c r="I45" i="44"/>
  <c r="I44" i="44"/>
  <c r="I43" i="44"/>
  <c r="I40" i="44"/>
  <c r="I39" i="44"/>
  <c r="I38" i="44"/>
  <c r="I36" i="44"/>
  <c r="I32" i="44"/>
  <c r="I30" i="44"/>
  <c r="I22" i="44"/>
  <c r="I20" i="44"/>
  <c r="I19" i="44"/>
  <c r="I18" i="44"/>
  <c r="I16" i="44"/>
  <c r="I13" i="44"/>
  <c r="I12" i="44"/>
  <c r="I11" i="44"/>
  <c r="E55" i="44"/>
  <c r="E54" i="44"/>
  <c r="E53" i="44"/>
  <c r="E49" i="44"/>
  <c r="E48" i="44"/>
  <c r="E37" i="44"/>
  <c r="E35" i="44"/>
  <c r="E34" i="44"/>
  <c r="E31" i="44"/>
  <c r="E29" i="44"/>
  <c r="E28" i="44"/>
  <c r="E27" i="44"/>
  <c r="E26" i="44"/>
  <c r="E25" i="44"/>
  <c r="E24" i="44"/>
  <c r="E23" i="44"/>
  <c r="E21" i="44"/>
  <c r="E17" i="44"/>
  <c r="E59" i="44"/>
  <c r="E20" i="44"/>
  <c r="E42" i="44"/>
  <c r="E56" i="44"/>
  <c r="E50" i="44"/>
  <c r="E52" i="44"/>
  <c r="E51" i="44"/>
  <c r="E47" i="44"/>
  <c r="E45" i="44"/>
  <c r="E44" i="44"/>
  <c r="E43" i="44"/>
  <c r="E40" i="44"/>
  <c r="E39" i="44"/>
  <c r="E38" i="44"/>
  <c r="E36" i="44"/>
  <c r="E32" i="44"/>
  <c r="E30" i="44"/>
  <c r="E22" i="44"/>
  <c r="E16" i="44"/>
  <c r="E18" i="44"/>
  <c r="E15" i="44"/>
  <c r="E13" i="44"/>
  <c r="E12" i="44"/>
  <c r="E11" i="44"/>
  <c r="S40" i="17" l="1"/>
  <c r="I14" i="44"/>
  <c r="E14" i="44"/>
  <c r="E46" i="44"/>
  <c r="E33" i="44"/>
  <c r="I46" i="44"/>
  <c r="D57" i="44"/>
  <c r="E19" i="44"/>
  <c r="H57" i="44"/>
  <c r="S40" i="16" l="1"/>
  <c r="H36" i="40"/>
  <c r="H22" i="40"/>
  <c r="H16" i="40"/>
  <c r="G47" i="39"/>
  <c r="G38" i="39"/>
  <c r="G28" i="39"/>
  <c r="G22" i="39"/>
  <c r="M44" i="40" l="1"/>
  <c r="H24" i="40"/>
  <c r="H47" i="40" s="1"/>
  <c r="G30" i="39"/>
  <c r="G50" i="39" s="1"/>
  <c r="N18" i="19"/>
  <c r="L92" i="18" l="1"/>
  <c r="F36" i="40" l="1"/>
  <c r="F22" i="40"/>
  <c r="F16" i="40"/>
  <c r="E47" i="39"/>
  <c r="E38" i="39"/>
  <c r="E28" i="39"/>
  <c r="E22" i="39"/>
  <c r="E30" i="39" l="1"/>
  <c r="E50" i="39" s="1"/>
  <c r="F24" i="40"/>
  <c r="F47" i="40" s="1"/>
  <c r="Q23" i="17" l="1"/>
  <c r="Q21" i="17"/>
  <c r="S63" i="23"/>
  <c r="L22" i="19"/>
  <c r="E41" i="10"/>
  <c r="T16" i="28" l="1"/>
  <c r="B18" i="6" s="1"/>
  <c r="S77" i="23"/>
  <c r="S75" i="23"/>
  <c r="S74" i="23"/>
  <c r="S59" i="23"/>
  <c r="S52" i="23"/>
  <c r="S48" i="23"/>
  <c r="S84" i="23"/>
  <c r="S82" i="23"/>
  <c r="S78" i="23"/>
  <c r="S57" i="23"/>
  <c r="S51" i="23"/>
  <c r="S43" i="23"/>
  <c r="S42" i="23"/>
  <c r="S30" i="23"/>
  <c r="S26" i="23"/>
  <c r="S25" i="23"/>
  <c r="S22" i="23"/>
  <c r="S21" i="23"/>
  <c r="U21" i="23"/>
  <c r="S20" i="23"/>
  <c r="R82" i="19"/>
  <c r="S76" i="23"/>
  <c r="S71" i="23"/>
  <c r="S55" i="23"/>
  <c r="S41" i="23"/>
  <c r="S39" i="23"/>
  <c r="S93" i="23"/>
  <c r="S73" i="23"/>
  <c r="S50" i="23"/>
  <c r="S58" i="23"/>
  <c r="S54" i="23"/>
  <c r="S45" i="23"/>
  <c r="S37" i="23"/>
  <c r="S60" i="23"/>
  <c r="S69" i="23"/>
  <c r="Q25" i="17"/>
  <c r="S56" i="23"/>
  <c r="S94" i="23"/>
  <c r="S70" i="23"/>
  <c r="S83" i="23"/>
  <c r="S81" i="23"/>
  <c r="Q24" i="17"/>
  <c r="S49" i="23"/>
  <c r="S46" i="23"/>
  <c r="S92" i="23"/>
  <c r="Q22" i="17"/>
  <c r="S44" i="23"/>
  <c r="E39" i="13"/>
  <c r="A52" i="8" l="1"/>
  <c r="A53" i="9"/>
  <c r="A45" i="10"/>
  <c r="A45" i="11"/>
  <c r="A42" i="12"/>
  <c r="A43" i="13"/>
  <c r="A43" i="14"/>
  <c r="L32" i="19" l="1"/>
  <c r="L21" i="19"/>
  <c r="L93" i="19"/>
  <c r="S21" i="17" l="1"/>
  <c r="G25" i="16"/>
  <c r="G24" i="16"/>
  <c r="G23" i="16"/>
  <c r="G22" i="16"/>
  <c r="G21" i="16"/>
  <c r="G29" i="16"/>
  <c r="G40" i="16"/>
  <c r="V41" i="21" l="1"/>
  <c r="V82" i="20"/>
  <c r="U25" i="23"/>
  <c r="V28" i="21"/>
  <c r="V30" i="21"/>
  <c r="V49" i="21"/>
  <c r="V51" i="21"/>
  <c r="V27" i="21"/>
  <c r="V103" i="20"/>
  <c r="V37" i="21"/>
  <c r="S55" i="16"/>
  <c r="U63" i="23"/>
  <c r="U22" i="23"/>
  <c r="V35" i="21"/>
  <c r="V39" i="21"/>
  <c r="S52" i="17"/>
  <c r="S51" i="17"/>
  <c r="AE84" i="17"/>
  <c r="V101" i="20"/>
  <c r="U124" i="17" s="1"/>
  <c r="V54" i="21"/>
  <c r="U48" i="23"/>
  <c r="U26" i="23"/>
  <c r="M196" i="42"/>
  <c r="V50" i="21"/>
  <c r="V26" i="21"/>
  <c r="AK31" i="18"/>
  <c r="V23" i="21"/>
  <c r="V44" i="21"/>
  <c r="V22" i="21"/>
  <c r="V29" i="21"/>
  <c r="U78" i="23"/>
  <c r="V24" i="21"/>
  <c r="V102" i="20"/>
  <c r="U125" i="17" s="1"/>
  <c r="V19" i="21"/>
  <c r="V36" i="21"/>
  <c r="AK42" i="18"/>
  <c r="M197" i="42"/>
  <c r="V43" i="21"/>
  <c r="U84" i="23"/>
  <c r="V42" i="21"/>
  <c r="S54" i="16"/>
  <c r="U57" i="23"/>
  <c r="U93" i="23"/>
  <c r="U27" i="23"/>
  <c r="V48" i="21"/>
  <c r="V31" i="21"/>
  <c r="M200" i="42"/>
  <c r="V45" i="21"/>
  <c r="U20" i="23"/>
  <c r="V34" i="21"/>
  <c r="U45" i="23"/>
  <c r="U44" i="23"/>
  <c r="V46" i="21"/>
  <c r="U30" i="23"/>
  <c r="S63" i="17"/>
  <c r="S23" i="17"/>
  <c r="V47" i="21"/>
  <c r="V100" i="20"/>
  <c r="U123" i="17" s="1"/>
  <c r="S29" i="17"/>
  <c r="S24" i="16"/>
  <c r="U51" i="23"/>
  <c r="U77" i="23"/>
  <c r="V21" i="21"/>
  <c r="V38" i="21"/>
  <c r="V32" i="21"/>
  <c r="S127" i="17"/>
  <c r="U70" i="23"/>
  <c r="S24" i="17"/>
  <c r="Q51" i="17"/>
  <c r="Q51" i="16"/>
  <c r="O51" i="17"/>
  <c r="O51" i="16"/>
  <c r="J32" i="19"/>
  <c r="J24" i="19"/>
  <c r="V105" i="19" l="1"/>
  <c r="U128" i="17"/>
  <c r="H20" i="3"/>
  <c r="U105" i="17"/>
  <c r="V102" i="19"/>
  <c r="H39" i="3"/>
  <c r="V100" i="19"/>
  <c r="H37" i="3"/>
  <c r="V101" i="19"/>
  <c r="H38" i="3"/>
  <c r="T22" i="29"/>
  <c r="F23" i="6" s="1"/>
  <c r="T32" i="29"/>
  <c r="F33" i="6" s="1"/>
  <c r="T31" i="29"/>
  <c r="F32" i="6" s="1"/>
  <c r="T24" i="29"/>
  <c r="F25" i="6" s="1"/>
  <c r="T23" i="29"/>
  <c r="F24" i="6" s="1"/>
  <c r="T24" i="28"/>
  <c r="B25" i="6" s="1"/>
  <c r="U69" i="23"/>
  <c r="U92" i="23"/>
  <c r="U52" i="23"/>
  <c r="U74" i="23"/>
  <c r="U55" i="23"/>
  <c r="U37" i="23"/>
  <c r="S63" i="16" s="1"/>
  <c r="U83" i="23"/>
  <c r="U75" i="23"/>
  <c r="U76" i="23"/>
  <c r="U43" i="23"/>
  <c r="V82" i="19"/>
  <c r="T82" i="19"/>
  <c r="U73" i="23"/>
  <c r="U39" i="23"/>
  <c r="U94" i="23"/>
  <c r="U71" i="23"/>
  <c r="U42" i="23"/>
  <c r="U82" i="23"/>
  <c r="U54" i="23"/>
  <c r="S51" i="16"/>
  <c r="S53" i="17"/>
  <c r="U59" i="23"/>
  <c r="U50" i="23"/>
  <c r="U60" i="23"/>
  <c r="S23" i="16"/>
  <c r="S70" i="17"/>
  <c r="S55" i="17"/>
  <c r="U46" i="23"/>
  <c r="S70" i="16"/>
  <c r="U56" i="23"/>
  <c r="U58" i="23"/>
  <c r="S105" i="17"/>
  <c r="U49" i="23"/>
  <c r="S22" i="16"/>
  <c r="S127" i="16"/>
  <c r="S52" i="16"/>
  <c r="S22" i="17"/>
  <c r="S53" i="16"/>
  <c r="S28" i="17"/>
  <c r="S28" i="16"/>
  <c r="S25" i="16"/>
  <c r="S25" i="17"/>
  <c r="U41" i="23"/>
  <c r="U81" i="23"/>
  <c r="S50" i="16"/>
  <c r="S50" i="17"/>
  <c r="S54" i="17"/>
  <c r="S29" i="16"/>
  <c r="Z24" i="43"/>
  <c r="H38" i="2" l="1"/>
  <c r="U125" i="16"/>
  <c r="H36" i="2"/>
  <c r="U123" i="16"/>
  <c r="H37" i="2"/>
  <c r="U124" i="16"/>
  <c r="H41" i="2"/>
  <c r="U128" i="16"/>
  <c r="H19" i="2"/>
  <c r="U105" i="16"/>
  <c r="S105" i="16"/>
  <c r="C41" i="10"/>
  <c r="F26" i="19" l="1"/>
  <c r="E25" i="41" l="1"/>
  <c r="Z16" i="43" l="1"/>
  <c r="X17" i="43"/>
  <c r="V17" i="43"/>
  <c r="T17" i="43"/>
  <c r="R17" i="43"/>
  <c r="P17" i="43"/>
  <c r="N17" i="43"/>
  <c r="L17" i="43"/>
  <c r="J17" i="43"/>
  <c r="H17" i="43"/>
  <c r="F17" i="43"/>
  <c r="D17" i="43"/>
  <c r="B17" i="43"/>
  <c r="Q27" i="23" l="1"/>
  <c r="Q57" i="23"/>
  <c r="O23" i="16"/>
  <c r="Q48" i="23"/>
  <c r="AI84" i="23"/>
  <c r="Q25" i="23"/>
  <c r="Q43" i="23"/>
  <c r="Q39" i="23"/>
  <c r="Q26" i="23"/>
  <c r="Q42" i="23"/>
  <c r="Q84" i="23"/>
  <c r="Q94" i="23"/>
  <c r="Q76" i="23"/>
  <c r="Q74" i="23"/>
  <c r="Q92" i="23"/>
  <c r="Q50" i="23"/>
  <c r="Q28" i="16"/>
  <c r="Q22" i="23"/>
  <c r="P22" i="18"/>
  <c r="AA24" i="22"/>
  <c r="Q56" i="23"/>
  <c r="Q45" i="23"/>
  <c r="O23" i="17"/>
  <c r="O29" i="16"/>
  <c r="B33" i="6" l="1"/>
  <c r="T32" i="28"/>
  <c r="T31" i="28"/>
  <c r="B32" i="6" s="1"/>
  <c r="T22" i="28"/>
  <c r="B23" i="6" s="1"/>
  <c r="T23" i="28"/>
  <c r="B24" i="6" s="1"/>
  <c r="Q73" i="23"/>
  <c r="Q83" i="23"/>
  <c r="Q59" i="23"/>
  <c r="O54" i="16"/>
  <c r="Q93" i="23"/>
  <c r="Q44" i="23"/>
  <c r="Q60" i="23"/>
  <c r="P26" i="18"/>
  <c r="O29" i="17"/>
  <c r="Q52" i="17"/>
  <c r="Q52" i="16"/>
  <c r="Q28" i="17"/>
  <c r="Q40" i="17"/>
  <c r="Q40" i="16"/>
  <c r="Q54" i="16"/>
  <c r="Q54" i="17"/>
  <c r="O50" i="17"/>
  <c r="O63" i="17"/>
  <c r="Q37" i="23"/>
  <c r="O63" i="16" s="1"/>
  <c r="Q58" i="23"/>
  <c r="O24" i="16"/>
  <c r="O24" i="17"/>
  <c r="P92" i="18"/>
  <c r="Q78" i="23"/>
  <c r="Q54" i="23"/>
  <c r="O52" i="17"/>
  <c r="P36" i="18"/>
  <c r="O54" i="17"/>
  <c r="O22" i="16"/>
  <c r="Q55" i="23"/>
  <c r="Q49" i="23"/>
  <c r="Q82" i="23"/>
  <c r="Q63" i="23"/>
  <c r="Q81" i="23"/>
  <c r="Q52" i="23"/>
  <c r="O52" i="16"/>
  <c r="Q75" i="23"/>
  <c r="Q70" i="23"/>
  <c r="Q69" i="23"/>
  <c r="O40" i="17"/>
  <c r="O40" i="16"/>
  <c r="O22" i="17"/>
  <c r="P43" i="18"/>
  <c r="O21" i="16"/>
  <c r="P51" i="18"/>
  <c r="O50" i="16"/>
  <c r="P110" i="18"/>
  <c r="P116" i="18" s="1"/>
  <c r="Q77" i="23"/>
  <c r="Q71" i="23"/>
  <c r="O21" i="17"/>
  <c r="Q46" i="23"/>
  <c r="Q41" i="23"/>
  <c r="Q51" i="23"/>
  <c r="J21" i="19"/>
  <c r="Q63" i="16" l="1"/>
  <c r="Q63" i="17"/>
  <c r="Q50" i="16"/>
  <c r="Q50" i="17"/>
  <c r="Q29" i="17"/>
  <c r="Q29" i="16"/>
  <c r="P53" i="18"/>
  <c r="K102" i="17"/>
  <c r="L34" i="19"/>
  <c r="M102" i="17" l="1"/>
  <c r="V79" i="20"/>
  <c r="N32" i="19"/>
  <c r="W35" i="41"/>
  <c r="V79" i="19" l="1"/>
  <c r="U102" i="16" s="1"/>
  <c r="U102" i="17"/>
  <c r="T79" i="19"/>
  <c r="S102" i="16" s="1"/>
  <c r="S102" i="17"/>
  <c r="P32" i="19"/>
  <c r="V32" i="20"/>
  <c r="R79" i="19"/>
  <c r="Q102" i="16" s="1"/>
  <c r="Q102" i="17"/>
  <c r="O102" i="17"/>
  <c r="O45" i="17"/>
  <c r="AC9" i="21"/>
  <c r="V32" i="19" l="1"/>
  <c r="U45" i="17"/>
  <c r="T32" i="19"/>
  <c r="S45" i="17"/>
  <c r="R32" i="19"/>
  <c r="Q45" i="17"/>
  <c r="O45" i="16"/>
  <c r="U45" i="16" l="1"/>
  <c r="H42" i="15"/>
  <c r="S45" i="16"/>
  <c r="Q45" i="16"/>
  <c r="G21" i="23"/>
  <c r="C30" i="45"/>
  <c r="E127" i="16" l="1"/>
  <c r="G51" i="17" l="1"/>
  <c r="G21" i="17"/>
  <c r="G51" i="16"/>
  <c r="H21" i="19"/>
  <c r="H32" i="19"/>
  <c r="H22" i="19"/>
  <c r="H30" i="19"/>
  <c r="E127" i="17"/>
  <c r="H30" i="45"/>
  <c r="D30" i="45"/>
  <c r="I98" i="17" l="1"/>
  <c r="J61" i="19"/>
  <c r="J33" i="19"/>
  <c r="J45" i="19"/>
  <c r="J113" i="19"/>
  <c r="J22" i="19"/>
  <c r="I24" i="17"/>
  <c r="I102" i="17"/>
  <c r="J68" i="19"/>
  <c r="J65" i="19"/>
  <c r="J41" i="19"/>
  <c r="J92" i="19"/>
  <c r="J71" i="19"/>
  <c r="J59" i="19"/>
  <c r="J20" i="19"/>
  <c r="J105" i="19"/>
  <c r="J93" i="19"/>
  <c r="I23" i="16"/>
  <c r="J101" i="19"/>
  <c r="J70" i="19"/>
  <c r="J62" i="19"/>
  <c r="J64" i="19"/>
  <c r="J31" i="19"/>
  <c r="J51" i="19"/>
  <c r="J23" i="19"/>
  <c r="I35" i="16" s="1"/>
  <c r="J95" i="19"/>
  <c r="I25" i="16"/>
  <c r="J57" i="19"/>
  <c r="I80" i="16" s="1"/>
  <c r="I80" i="17"/>
  <c r="I128" i="17"/>
  <c r="H42" i="3"/>
  <c r="I124" i="17"/>
  <c r="J114" i="19"/>
  <c r="J96" i="19"/>
  <c r="I21" i="16"/>
  <c r="I21" i="17"/>
  <c r="J94" i="19"/>
  <c r="J30" i="19"/>
  <c r="J34" i="19"/>
  <c r="I75" i="17"/>
  <c r="I45" i="16"/>
  <c r="J26" i="19"/>
  <c r="J79" i="19"/>
  <c r="I102" i="16" s="1"/>
  <c r="J75" i="19"/>
  <c r="I29" i="17"/>
  <c r="J27" i="19"/>
  <c r="J102" i="19"/>
  <c r="I74" i="17"/>
  <c r="I112" i="17"/>
  <c r="J73" i="19"/>
  <c r="I43" i="17"/>
  <c r="I111" i="17"/>
  <c r="J76" i="19"/>
  <c r="J77" i="19"/>
  <c r="J44" i="19"/>
  <c r="J89" i="19"/>
  <c r="J88" i="19"/>
  <c r="I47" i="17"/>
  <c r="J50" i="19"/>
  <c r="I89" i="17"/>
  <c r="I50" i="16"/>
  <c r="K78" i="23"/>
  <c r="J100" i="19"/>
  <c r="I120" i="17"/>
  <c r="J25" i="19"/>
  <c r="I37" i="17"/>
  <c r="I44" i="17"/>
  <c r="I100" i="17"/>
  <c r="I22" i="16"/>
  <c r="I22" i="17"/>
  <c r="G34" i="16"/>
  <c r="G116" i="17"/>
  <c r="F21" i="19"/>
  <c r="F30" i="19"/>
  <c r="H74" i="19"/>
  <c r="E25" i="16"/>
  <c r="E25" i="17"/>
  <c r="E30" i="45"/>
  <c r="H61" i="44"/>
  <c r="D61" i="44"/>
  <c r="I32" i="17" l="1"/>
  <c r="I74" i="16"/>
  <c r="I51" i="16"/>
  <c r="I117" i="17"/>
  <c r="I67" i="17"/>
  <c r="I51" i="17"/>
  <c r="I72" i="17"/>
  <c r="I29" i="16"/>
  <c r="I86" i="17"/>
  <c r="I70" i="17"/>
  <c r="I52" i="16"/>
  <c r="I54" i="17"/>
  <c r="I54" i="16"/>
  <c r="I52" i="17"/>
  <c r="I94" i="17"/>
  <c r="I84" i="17"/>
  <c r="I125" i="17"/>
  <c r="I116" i="17"/>
  <c r="I101" i="17"/>
  <c r="I96" i="17"/>
  <c r="I96" i="16"/>
  <c r="I95" i="17"/>
  <c r="I88" i="17"/>
  <c r="I87" i="17"/>
  <c r="I85" i="16"/>
  <c r="I85" i="17"/>
  <c r="I82" i="17"/>
  <c r="I77" i="17"/>
  <c r="I65" i="17"/>
  <c r="I63" i="17"/>
  <c r="K51" i="17"/>
  <c r="K51" i="16"/>
  <c r="I45" i="17"/>
  <c r="I40" i="16"/>
  <c r="I36" i="17"/>
  <c r="I33" i="17"/>
  <c r="I32" i="16"/>
  <c r="I73" i="17"/>
  <c r="I99" i="17"/>
  <c r="I115" i="17"/>
  <c r="I73" i="16"/>
  <c r="I118" i="17"/>
  <c r="I24" i="16"/>
  <c r="I40" i="17"/>
  <c r="I91" i="17"/>
  <c r="I97" i="17"/>
  <c r="I67" i="16"/>
  <c r="I23" i="17"/>
  <c r="K59" i="23"/>
  <c r="I100" i="16" s="1"/>
  <c r="I68" i="17"/>
  <c r="I35" i="17"/>
  <c r="I39" i="17"/>
  <c r="I127" i="16"/>
  <c r="I127" i="17"/>
  <c r="I39" i="16"/>
  <c r="I53" i="17"/>
  <c r="I76" i="17"/>
  <c r="J46" i="19"/>
  <c r="I68" i="16" s="1"/>
  <c r="J90" i="19"/>
  <c r="I123" i="17"/>
  <c r="I46" i="16"/>
  <c r="J97" i="19"/>
  <c r="I46" i="17"/>
  <c r="J54" i="19"/>
  <c r="I55" i="16"/>
  <c r="J53" i="19"/>
  <c r="I38" i="17"/>
  <c r="I25" i="17"/>
  <c r="J66" i="19"/>
  <c r="J43" i="19"/>
  <c r="I55" i="17"/>
  <c r="J74" i="19"/>
  <c r="J78" i="19"/>
  <c r="I34" i="16"/>
  <c r="I66" i="16"/>
  <c r="J63" i="19"/>
  <c r="I86" i="16" s="1"/>
  <c r="I34" i="17"/>
  <c r="J49" i="19"/>
  <c r="I99" i="16"/>
  <c r="I66" i="17"/>
  <c r="J72" i="19"/>
  <c r="J52" i="19"/>
  <c r="I70" i="16"/>
  <c r="I28" i="17"/>
  <c r="I28" i="16"/>
  <c r="J48" i="19"/>
  <c r="I71" i="16" s="1"/>
  <c r="I71" i="17"/>
  <c r="I113" i="17"/>
  <c r="I81" i="17"/>
  <c r="J58" i="19"/>
  <c r="I81" i="16" s="1"/>
  <c r="I119" i="17"/>
  <c r="I50" i="17"/>
  <c r="I62" i="17"/>
  <c r="I62" i="16"/>
  <c r="J56" i="19"/>
  <c r="I79" i="16" s="1"/>
  <c r="I79" i="17"/>
  <c r="I37" i="16"/>
  <c r="F101" i="19"/>
  <c r="P79" i="19" l="1"/>
  <c r="O102" i="16" s="1"/>
  <c r="P82" i="19"/>
  <c r="V65" i="20"/>
  <c r="V93" i="20"/>
  <c r="U116" i="17" s="1"/>
  <c r="AL41" i="25"/>
  <c r="K29" i="16"/>
  <c r="K29" i="17"/>
  <c r="K116" i="17"/>
  <c r="K47" i="17"/>
  <c r="K34" i="17"/>
  <c r="K34" i="16"/>
  <c r="I120" i="16"/>
  <c r="V65" i="19" l="1"/>
  <c r="U88" i="16" s="1"/>
  <c r="U88" i="17"/>
  <c r="V93" i="19"/>
  <c r="H30" i="3"/>
  <c r="T101" i="19"/>
  <c r="S124" i="17"/>
  <c r="T100" i="19"/>
  <c r="S123" i="17"/>
  <c r="T93" i="19"/>
  <c r="S116" i="17"/>
  <c r="T65" i="19"/>
  <c r="S88" i="16" s="1"/>
  <c r="S88" i="17"/>
  <c r="R93" i="19"/>
  <c r="Q116" i="17"/>
  <c r="R100" i="19"/>
  <c r="Q123" i="17"/>
  <c r="R101" i="19"/>
  <c r="Q124" i="17"/>
  <c r="R65" i="19"/>
  <c r="P100" i="19"/>
  <c r="O123" i="17"/>
  <c r="P93" i="19"/>
  <c r="O116" i="17"/>
  <c r="P101" i="19"/>
  <c r="O124" i="17"/>
  <c r="P65" i="19"/>
  <c r="N34" i="19"/>
  <c r="N22" i="19"/>
  <c r="M34" i="16" s="1"/>
  <c r="V22" i="20"/>
  <c r="N21" i="19"/>
  <c r="V21" i="20"/>
  <c r="N93" i="19"/>
  <c r="P96" i="18"/>
  <c r="P119" i="18" s="1"/>
  <c r="M47" i="17"/>
  <c r="M34" i="17"/>
  <c r="M51" i="16"/>
  <c r="M51" i="17"/>
  <c r="M116" i="17"/>
  <c r="M29" i="16"/>
  <c r="M29" i="17"/>
  <c r="V21" i="19" l="1"/>
  <c r="U33" i="17"/>
  <c r="H29" i="2"/>
  <c r="U116" i="16"/>
  <c r="V22" i="19"/>
  <c r="U34" i="17"/>
  <c r="S124" i="16"/>
  <c r="S123" i="16"/>
  <c r="S116" i="16"/>
  <c r="T22" i="19"/>
  <c r="S34" i="17"/>
  <c r="T21" i="19"/>
  <c r="S33" i="17"/>
  <c r="P34" i="19"/>
  <c r="V34" i="20"/>
  <c r="Q123" i="16"/>
  <c r="R21" i="19"/>
  <c r="Q33" i="17"/>
  <c r="Q124" i="16"/>
  <c r="R22" i="19"/>
  <c r="Q34" i="17"/>
  <c r="Q116" i="16"/>
  <c r="P133" i="18"/>
  <c r="P137" i="18" s="1"/>
  <c r="O124" i="16"/>
  <c r="O116" i="16"/>
  <c r="O123" i="16"/>
  <c r="O47" i="17"/>
  <c r="P22" i="19"/>
  <c r="O34" i="17"/>
  <c r="P21" i="19"/>
  <c r="O33" i="17"/>
  <c r="Z15" i="43"/>
  <c r="Z17" i="43" s="1"/>
  <c r="Z27" i="43"/>
  <c r="U33" i="16" l="1"/>
  <c r="H29" i="15"/>
  <c r="U34" i="16"/>
  <c r="H30" i="15"/>
  <c r="V34" i="19"/>
  <c r="U47" i="17"/>
  <c r="T34" i="19"/>
  <c r="S47" i="17"/>
  <c r="S34" i="16"/>
  <c r="S33" i="16"/>
  <c r="R34" i="19"/>
  <c r="Q47" i="17"/>
  <c r="Q33" i="16"/>
  <c r="Q34" i="16"/>
  <c r="O47" i="16"/>
  <c r="O34" i="16"/>
  <c r="O33" i="16"/>
  <c r="Q12" i="34"/>
  <c r="U47" i="16" l="1"/>
  <c r="H44" i="15"/>
  <c r="S47" i="16"/>
  <c r="Q47" i="16"/>
  <c r="E65" i="34"/>
  <c r="K23" i="16" l="1"/>
  <c r="K24" i="17"/>
  <c r="K24" i="16"/>
  <c r="K45" i="16"/>
  <c r="K45" i="17"/>
  <c r="K22" i="17"/>
  <c r="I105" i="17"/>
  <c r="K52" i="17"/>
  <c r="K52" i="16"/>
  <c r="B6" i="24"/>
  <c r="M45" i="16" l="1"/>
  <c r="V90" i="20"/>
  <c r="U113" i="17" s="1"/>
  <c r="V58" i="20"/>
  <c r="R33" i="11"/>
  <c r="V62" i="20"/>
  <c r="V71" i="20"/>
  <c r="V48" i="20"/>
  <c r="V49" i="20"/>
  <c r="V50" i="20"/>
  <c r="V25" i="20"/>
  <c r="K36" i="17"/>
  <c r="V88" i="20"/>
  <c r="U111" i="17" s="1"/>
  <c r="V78" i="20"/>
  <c r="V52" i="20"/>
  <c r="V96" i="20"/>
  <c r="U119" i="17" s="1"/>
  <c r="V77" i="20"/>
  <c r="AL77" i="21"/>
  <c r="V112" i="20"/>
  <c r="U137" i="17" s="1"/>
  <c r="V97" i="20"/>
  <c r="U120" i="17" s="1"/>
  <c r="V45" i="20"/>
  <c r="V41" i="20"/>
  <c r="V56" i="20"/>
  <c r="V53" i="20"/>
  <c r="V89" i="20"/>
  <c r="U112" i="17" s="1"/>
  <c r="L64" i="19"/>
  <c r="N50" i="2"/>
  <c r="K124" i="17"/>
  <c r="M123" i="17"/>
  <c r="K98" i="17"/>
  <c r="K96" i="17"/>
  <c r="K63" i="17"/>
  <c r="M54" i="16"/>
  <c r="M54" i="17"/>
  <c r="M52" i="16"/>
  <c r="M52" i="17"/>
  <c r="M50" i="17"/>
  <c r="M50" i="16"/>
  <c r="M45" i="17"/>
  <c r="M40" i="16"/>
  <c r="M40" i="17"/>
  <c r="M33" i="17"/>
  <c r="M25" i="16"/>
  <c r="M25" i="17"/>
  <c r="K25" i="17"/>
  <c r="K25" i="16"/>
  <c r="M24" i="16"/>
  <c r="M24" i="17"/>
  <c r="M23" i="16"/>
  <c r="M23" i="17"/>
  <c r="M22" i="16"/>
  <c r="M22" i="17"/>
  <c r="K22" i="16"/>
  <c r="K21" i="16"/>
  <c r="K21" i="17"/>
  <c r="K72" i="17"/>
  <c r="K66" i="17"/>
  <c r="L76" i="19"/>
  <c r="K99" i="16" s="1"/>
  <c r="K118" i="17"/>
  <c r="L51" i="19"/>
  <c r="K74" i="16" s="1"/>
  <c r="L95" i="19"/>
  <c r="K33" i="17"/>
  <c r="K23" i="17"/>
  <c r="K35" i="17"/>
  <c r="L53" i="19"/>
  <c r="K77" i="17"/>
  <c r="L114" i="19"/>
  <c r="K40" i="17"/>
  <c r="K40" i="16"/>
  <c r="L90" i="19"/>
  <c r="K54" i="16"/>
  <c r="K54" i="17"/>
  <c r="K97" i="17"/>
  <c r="L74" i="19"/>
  <c r="K125" i="17"/>
  <c r="K123" i="17"/>
  <c r="K38" i="17"/>
  <c r="K50" i="16"/>
  <c r="K50" i="17"/>
  <c r="K65" i="17"/>
  <c r="K113" i="17"/>
  <c r="K62" i="17"/>
  <c r="E21" i="16"/>
  <c r="E21" i="17"/>
  <c r="F74" i="19"/>
  <c r="V48" i="19" l="1"/>
  <c r="U71" i="16" s="1"/>
  <c r="U71" i="17"/>
  <c r="V41" i="19"/>
  <c r="U62" i="16" s="1"/>
  <c r="U62" i="17"/>
  <c r="V77" i="19"/>
  <c r="U100" i="16" s="1"/>
  <c r="U100" i="17"/>
  <c r="V71" i="19"/>
  <c r="U94" i="16" s="1"/>
  <c r="U94" i="17"/>
  <c r="V62" i="19"/>
  <c r="U85" i="16" s="1"/>
  <c r="U85" i="17"/>
  <c r="V45" i="19"/>
  <c r="U67" i="16" s="1"/>
  <c r="U67" i="17"/>
  <c r="V56" i="19"/>
  <c r="U79" i="16" s="1"/>
  <c r="U79" i="17"/>
  <c r="V78" i="19"/>
  <c r="U101" i="16" s="1"/>
  <c r="U101" i="17"/>
  <c r="V58" i="19"/>
  <c r="U81" i="16" s="1"/>
  <c r="U81" i="17"/>
  <c r="V53" i="19"/>
  <c r="U76" i="16" s="1"/>
  <c r="U76" i="17"/>
  <c r="V25" i="19"/>
  <c r="U37" i="17"/>
  <c r="V49" i="19"/>
  <c r="U72" i="16" s="1"/>
  <c r="U72" i="17"/>
  <c r="V52" i="19"/>
  <c r="U75" i="16" s="1"/>
  <c r="U75" i="17"/>
  <c r="V50" i="19"/>
  <c r="U73" i="16" s="1"/>
  <c r="U73" i="17"/>
  <c r="V97" i="19"/>
  <c r="H34" i="3"/>
  <c r="V96" i="19"/>
  <c r="H33" i="3"/>
  <c r="V89" i="19"/>
  <c r="H26" i="3"/>
  <c r="V114" i="19"/>
  <c r="H50" i="2" s="1"/>
  <c r="H50" i="3"/>
  <c r="V90" i="19"/>
  <c r="H27" i="3"/>
  <c r="V88" i="19"/>
  <c r="H25" i="3"/>
  <c r="S84" i="17"/>
  <c r="V61" i="20"/>
  <c r="T114" i="19"/>
  <c r="S137" i="17"/>
  <c r="T97" i="19"/>
  <c r="S120" i="17"/>
  <c r="T96" i="19"/>
  <c r="S119" i="17"/>
  <c r="T90" i="19"/>
  <c r="S113" i="17"/>
  <c r="T89" i="19"/>
  <c r="S112" i="17"/>
  <c r="T88" i="19"/>
  <c r="S111" i="17"/>
  <c r="T78" i="19"/>
  <c r="S101" i="16" s="1"/>
  <c r="S101" i="17"/>
  <c r="T77" i="19"/>
  <c r="S100" i="16" s="1"/>
  <c r="S100" i="17"/>
  <c r="T71" i="19"/>
  <c r="S94" i="16" s="1"/>
  <c r="S94" i="17"/>
  <c r="T62" i="19"/>
  <c r="S85" i="16" s="1"/>
  <c r="S85" i="17"/>
  <c r="T61" i="19"/>
  <c r="S84" i="16" s="1"/>
  <c r="S81" i="17"/>
  <c r="T58" i="19"/>
  <c r="S81" i="16" s="1"/>
  <c r="S79" i="17"/>
  <c r="T56" i="19"/>
  <c r="S79" i="16" s="1"/>
  <c r="T53" i="19"/>
  <c r="S76" i="16" s="1"/>
  <c r="S76" i="17"/>
  <c r="T52" i="19"/>
  <c r="S75" i="16" s="1"/>
  <c r="S75" i="17"/>
  <c r="T50" i="19"/>
  <c r="S73" i="16" s="1"/>
  <c r="S73" i="17"/>
  <c r="T49" i="19"/>
  <c r="S72" i="16" s="1"/>
  <c r="S72" i="17"/>
  <c r="T48" i="19"/>
  <c r="S71" i="16" s="1"/>
  <c r="S71" i="17"/>
  <c r="T45" i="19"/>
  <c r="S67" i="16" s="1"/>
  <c r="S67" i="17"/>
  <c r="T41" i="19"/>
  <c r="S62" i="16" s="1"/>
  <c r="S62" i="17"/>
  <c r="T25" i="19"/>
  <c r="S37" i="17"/>
  <c r="R25" i="19"/>
  <c r="Q37" i="17"/>
  <c r="R114" i="19"/>
  <c r="P30" i="19"/>
  <c r="V30" i="20"/>
  <c r="P57" i="19"/>
  <c r="O80" i="16" s="1"/>
  <c r="V57" i="20"/>
  <c r="R50" i="19"/>
  <c r="Q73" i="16" s="1"/>
  <c r="Q73" i="17"/>
  <c r="R89" i="19"/>
  <c r="Q112" i="17"/>
  <c r="R88" i="19"/>
  <c r="Q111" i="17"/>
  <c r="R49" i="19"/>
  <c r="Q72" i="16" s="1"/>
  <c r="Q72" i="17"/>
  <c r="R97" i="19"/>
  <c r="Q120" i="17"/>
  <c r="R77" i="19"/>
  <c r="Q100" i="16" s="1"/>
  <c r="Q100" i="17"/>
  <c r="R48" i="19"/>
  <c r="Q71" i="16" s="1"/>
  <c r="Q71" i="17"/>
  <c r="R58" i="19"/>
  <c r="Q81" i="16" s="1"/>
  <c r="Q81" i="17"/>
  <c r="R78" i="19"/>
  <c r="P33" i="19"/>
  <c r="V33" i="20"/>
  <c r="R56" i="19"/>
  <c r="Q79" i="16" s="1"/>
  <c r="Q79" i="17"/>
  <c r="R96" i="19"/>
  <c r="Q119" i="17"/>
  <c r="R71" i="19"/>
  <c r="Q94" i="16" s="1"/>
  <c r="Q94" i="17"/>
  <c r="R62" i="19"/>
  <c r="Q85" i="16" s="1"/>
  <c r="Q85" i="17"/>
  <c r="R90" i="19"/>
  <c r="Q113" i="17"/>
  <c r="R61" i="19"/>
  <c r="Q84" i="16" s="1"/>
  <c r="Q84" i="17"/>
  <c r="R53" i="19"/>
  <c r="Q76" i="16" s="1"/>
  <c r="Q76" i="17"/>
  <c r="R41" i="19"/>
  <c r="Q62" i="16" s="1"/>
  <c r="Q62" i="17"/>
  <c r="R45" i="19"/>
  <c r="Q67" i="16" s="1"/>
  <c r="Q67" i="17"/>
  <c r="R52" i="19"/>
  <c r="Q75" i="16" s="1"/>
  <c r="Q75" i="17"/>
  <c r="O27" i="17"/>
  <c r="V17" i="20"/>
  <c r="U27" i="17" s="1"/>
  <c r="M70" i="17"/>
  <c r="O28" i="16"/>
  <c r="O28" i="17"/>
  <c r="M88" i="17"/>
  <c r="M97" i="17"/>
  <c r="V74" i="20"/>
  <c r="M96" i="17"/>
  <c r="V73" i="20"/>
  <c r="P78" i="19"/>
  <c r="P90" i="19"/>
  <c r="O113" i="17"/>
  <c r="P61" i="19"/>
  <c r="O84" i="16" s="1"/>
  <c r="O84" i="17"/>
  <c r="P71" i="19"/>
  <c r="O94" i="16" s="1"/>
  <c r="O94" i="17"/>
  <c r="P77" i="19"/>
  <c r="O100" i="16" s="1"/>
  <c r="O100" i="17"/>
  <c r="P88" i="19"/>
  <c r="O111" i="17"/>
  <c r="P96" i="19"/>
  <c r="O119" i="17"/>
  <c r="P89" i="19"/>
  <c r="O112" i="17"/>
  <c r="P97" i="19"/>
  <c r="O120" i="17"/>
  <c r="P114" i="19"/>
  <c r="P62" i="19"/>
  <c r="O85" i="16" s="1"/>
  <c r="O85" i="17"/>
  <c r="P58" i="19"/>
  <c r="O81" i="16" s="1"/>
  <c r="O81" i="17"/>
  <c r="O80" i="17"/>
  <c r="P56" i="19"/>
  <c r="O79" i="16" s="1"/>
  <c r="O79" i="17"/>
  <c r="P53" i="19"/>
  <c r="O76" i="16" s="1"/>
  <c r="O76" i="17"/>
  <c r="P52" i="19"/>
  <c r="O75" i="16" s="1"/>
  <c r="O75" i="17"/>
  <c r="P50" i="19"/>
  <c r="O73" i="16" s="1"/>
  <c r="O73" i="17"/>
  <c r="P49" i="19"/>
  <c r="O72" i="16" s="1"/>
  <c r="O72" i="17"/>
  <c r="P48" i="19"/>
  <c r="O71" i="16" s="1"/>
  <c r="O71" i="17"/>
  <c r="P45" i="19"/>
  <c r="O67" i="16" s="1"/>
  <c r="O67" i="17"/>
  <c r="M66" i="17"/>
  <c r="V44" i="20"/>
  <c r="M65" i="17"/>
  <c r="V43" i="20"/>
  <c r="P41" i="19"/>
  <c r="O62" i="16" s="1"/>
  <c r="O62" i="17"/>
  <c r="O46" i="17"/>
  <c r="O43" i="17"/>
  <c r="P25" i="19"/>
  <c r="O37" i="17"/>
  <c r="P17" i="19"/>
  <c r="N53" i="19"/>
  <c r="M119" i="17"/>
  <c r="O59" i="23"/>
  <c r="N89" i="19"/>
  <c r="N17" i="19"/>
  <c r="O78" i="23"/>
  <c r="M59" i="23"/>
  <c r="M20" i="23"/>
  <c r="K33" i="16" s="1"/>
  <c r="M28" i="17"/>
  <c r="M28" i="16"/>
  <c r="M70" i="16"/>
  <c r="K127" i="17"/>
  <c r="K101" i="17"/>
  <c r="K89" i="17"/>
  <c r="K88" i="17"/>
  <c r="K82" i="17"/>
  <c r="M72" i="17"/>
  <c r="K55" i="16"/>
  <c r="K53" i="17"/>
  <c r="K105" i="17"/>
  <c r="K55" i="17"/>
  <c r="N90" i="19"/>
  <c r="N78" i="19"/>
  <c r="N114" i="19"/>
  <c r="N45" i="19"/>
  <c r="M67" i="16" s="1"/>
  <c r="L113" i="19"/>
  <c r="L101" i="19"/>
  <c r="N101" i="19"/>
  <c r="L100" i="19"/>
  <c r="N100" i="19"/>
  <c r="N97" i="19"/>
  <c r="N96" i="19"/>
  <c r="L82" i="19"/>
  <c r="N82" i="19"/>
  <c r="L79" i="19"/>
  <c r="K102" i="16" s="1"/>
  <c r="N79" i="19"/>
  <c r="M102" i="16" s="1"/>
  <c r="N74" i="19"/>
  <c r="N73" i="19"/>
  <c r="M96" i="16" s="1"/>
  <c r="L73" i="19"/>
  <c r="K96" i="16" s="1"/>
  <c r="N71" i="19"/>
  <c r="L65" i="19"/>
  <c r="N65" i="19"/>
  <c r="N62" i="19"/>
  <c r="M85" i="16" s="1"/>
  <c r="L52" i="19"/>
  <c r="N52" i="19"/>
  <c r="N49" i="19"/>
  <c r="L44" i="19"/>
  <c r="K66" i="16" s="1"/>
  <c r="N44" i="19"/>
  <c r="M66" i="16" s="1"/>
  <c r="N43" i="19"/>
  <c r="N41" i="19"/>
  <c r="M62" i="16" s="1"/>
  <c r="M113" i="17"/>
  <c r="M62" i="17"/>
  <c r="V111" i="20"/>
  <c r="U136" i="17" s="1"/>
  <c r="K128" i="17"/>
  <c r="L102" i="19"/>
  <c r="K119" i="17"/>
  <c r="V95" i="20"/>
  <c r="U118" i="17" s="1"/>
  <c r="V94" i="20"/>
  <c r="U117" i="17" s="1"/>
  <c r="K115" i="17"/>
  <c r="V92" i="20"/>
  <c r="U115" i="17" s="1"/>
  <c r="N88" i="19"/>
  <c r="M111" i="17"/>
  <c r="L78" i="19"/>
  <c r="N77" i="19"/>
  <c r="M100" i="17"/>
  <c r="K99" i="17"/>
  <c r="V76" i="20"/>
  <c r="L75" i="19"/>
  <c r="K95" i="17"/>
  <c r="V72" i="20"/>
  <c r="M94" i="17"/>
  <c r="L70" i="19"/>
  <c r="L68" i="19"/>
  <c r="V68" i="20"/>
  <c r="K91" i="17"/>
  <c r="L66" i="19"/>
  <c r="V66" i="20"/>
  <c r="K87" i="17"/>
  <c r="V64" i="20"/>
  <c r="K86" i="17"/>
  <c r="V63" i="20"/>
  <c r="M85" i="17"/>
  <c r="N61" i="19"/>
  <c r="M84" i="17"/>
  <c r="L61" i="19"/>
  <c r="K84" i="17"/>
  <c r="L59" i="19"/>
  <c r="V59" i="20"/>
  <c r="N58" i="19"/>
  <c r="M81" i="16" s="1"/>
  <c r="M81" i="17"/>
  <c r="N57" i="19"/>
  <c r="M80" i="16" s="1"/>
  <c r="M80" i="17"/>
  <c r="N56" i="19"/>
  <c r="M79" i="16" s="1"/>
  <c r="M79" i="17"/>
  <c r="L54" i="19"/>
  <c r="V54" i="20"/>
  <c r="M76" i="17"/>
  <c r="M75" i="17"/>
  <c r="K74" i="17"/>
  <c r="V51" i="20"/>
  <c r="N50" i="19"/>
  <c r="M73" i="16" s="1"/>
  <c r="M73" i="17"/>
  <c r="K73" i="17"/>
  <c r="L50" i="19"/>
  <c r="K73" i="16" s="1"/>
  <c r="N48" i="19"/>
  <c r="M71" i="16" s="1"/>
  <c r="M71" i="17"/>
  <c r="K68" i="17"/>
  <c r="V46" i="20"/>
  <c r="M67" i="17"/>
  <c r="K67" i="17"/>
  <c r="N33" i="19"/>
  <c r="M46" i="17"/>
  <c r="L31" i="19"/>
  <c r="N30" i="19"/>
  <c r="M43" i="17"/>
  <c r="K43" i="17"/>
  <c r="L30" i="19"/>
  <c r="L27" i="19"/>
  <c r="K39" i="17" s="1"/>
  <c r="L26" i="19"/>
  <c r="V26" i="20"/>
  <c r="N25" i="19"/>
  <c r="M37" i="17"/>
  <c r="L24" i="19"/>
  <c r="V24" i="20"/>
  <c r="L23" i="19"/>
  <c r="K35" i="16" s="1"/>
  <c r="V23" i="20"/>
  <c r="L20" i="19"/>
  <c r="K32" i="16" s="1"/>
  <c r="V20" i="20"/>
  <c r="K27" i="17"/>
  <c r="L41" i="19"/>
  <c r="K62" i="16" s="1"/>
  <c r="K76" i="17"/>
  <c r="L45" i="19"/>
  <c r="K67" i="16" s="1"/>
  <c r="L88" i="19"/>
  <c r="L96" i="19"/>
  <c r="L71" i="19"/>
  <c r="L105" i="19"/>
  <c r="K94" i="17"/>
  <c r="K127" i="16"/>
  <c r="L63" i="19"/>
  <c r="K86" i="16" s="1"/>
  <c r="K44" i="17"/>
  <c r="K111" i="17"/>
  <c r="K32" i="17"/>
  <c r="L62" i="19"/>
  <c r="K85" i="16" s="1"/>
  <c r="K85" i="17"/>
  <c r="L57" i="19"/>
  <c r="K80" i="16" s="1"/>
  <c r="K80" i="17"/>
  <c r="M78" i="23"/>
  <c r="K70" i="17"/>
  <c r="K70" i="16"/>
  <c r="L56" i="19"/>
  <c r="K79" i="16" s="1"/>
  <c r="K79" i="17"/>
  <c r="K75" i="17"/>
  <c r="L46" i="19"/>
  <c r="K68" i="16" s="1"/>
  <c r="L72" i="19"/>
  <c r="L94" i="19"/>
  <c r="L43" i="19"/>
  <c r="L58" i="19"/>
  <c r="K81" i="16" s="1"/>
  <c r="K81" i="17"/>
  <c r="K117" i="17"/>
  <c r="K120" i="17"/>
  <c r="L97" i="19"/>
  <c r="L77" i="19"/>
  <c r="K100" i="17"/>
  <c r="J33" i="37"/>
  <c r="K37" i="17"/>
  <c r="L25" i="19"/>
  <c r="K37" i="16" s="1"/>
  <c r="L49" i="19"/>
  <c r="K71" i="17"/>
  <c r="L48" i="19"/>
  <c r="K71" i="16" s="1"/>
  <c r="L92" i="19"/>
  <c r="L33" i="19"/>
  <c r="K46" i="16" s="1"/>
  <c r="K46" i="17"/>
  <c r="K112" i="17"/>
  <c r="L89" i="19"/>
  <c r="K28" i="16"/>
  <c r="K28" i="17"/>
  <c r="L17" i="19"/>
  <c r="M124" i="17"/>
  <c r="M120" i="17"/>
  <c r="M112" i="17"/>
  <c r="M63" i="17"/>
  <c r="M21" i="16"/>
  <c r="M21" i="17"/>
  <c r="G24" i="17"/>
  <c r="H24" i="19"/>
  <c r="M25" i="41"/>
  <c r="U37" i="16" l="1"/>
  <c r="H33" i="15"/>
  <c r="H24" i="2"/>
  <c r="U111" i="16"/>
  <c r="V76" i="19"/>
  <c r="U99" i="16" s="1"/>
  <c r="U99" i="17"/>
  <c r="V68" i="19"/>
  <c r="U91" i="16" s="1"/>
  <c r="U91" i="17"/>
  <c r="V33" i="19"/>
  <c r="U46" i="17"/>
  <c r="H26" i="2"/>
  <c r="U113" i="16"/>
  <c r="H33" i="2"/>
  <c r="U120" i="16"/>
  <c r="V46" i="19"/>
  <c r="U68" i="16" s="1"/>
  <c r="U68" i="17"/>
  <c r="V63" i="19"/>
  <c r="U86" i="16" s="1"/>
  <c r="U86" i="17"/>
  <c r="V43" i="19"/>
  <c r="U65" i="16" s="1"/>
  <c r="U65" i="17"/>
  <c r="V20" i="19"/>
  <c r="U32" i="17"/>
  <c r="V26" i="19"/>
  <c r="U38" i="17"/>
  <c r="V54" i="19"/>
  <c r="U77" i="16" s="1"/>
  <c r="U77" i="17"/>
  <c r="V59" i="19"/>
  <c r="U82" i="16" s="1"/>
  <c r="U82" i="17"/>
  <c r="V73" i="19"/>
  <c r="U96" i="16" s="1"/>
  <c r="U96" i="17"/>
  <c r="V30" i="19"/>
  <c r="U43" i="17"/>
  <c r="V64" i="19"/>
  <c r="U87" i="16" s="1"/>
  <c r="U87" i="17"/>
  <c r="V44" i="19"/>
  <c r="U66" i="16" s="1"/>
  <c r="U66" i="17"/>
  <c r="V57" i="19"/>
  <c r="U80" i="16" s="1"/>
  <c r="U80" i="17"/>
  <c r="V61" i="19"/>
  <c r="U84" i="16" s="1"/>
  <c r="U84" i="17"/>
  <c r="V66" i="19"/>
  <c r="U89" i="16" s="1"/>
  <c r="U89" i="17"/>
  <c r="V24" i="19"/>
  <c r="U36" i="17"/>
  <c r="V51" i="19"/>
  <c r="U74" i="16" s="1"/>
  <c r="U74" i="17"/>
  <c r="H32" i="2"/>
  <c r="U119" i="16"/>
  <c r="V23" i="19"/>
  <c r="U35" i="17"/>
  <c r="V72" i="19"/>
  <c r="U95" i="16" s="1"/>
  <c r="U95" i="17"/>
  <c r="V74" i="19"/>
  <c r="U97" i="16" s="1"/>
  <c r="U97" i="17"/>
  <c r="H25" i="2"/>
  <c r="U112" i="16"/>
  <c r="V92" i="19"/>
  <c r="H29" i="3"/>
  <c r="V17" i="19"/>
  <c r="H15" i="3"/>
  <c r="V95" i="19"/>
  <c r="H32" i="3"/>
  <c r="V113" i="19"/>
  <c r="H49" i="2" s="1"/>
  <c r="H49" i="3"/>
  <c r="V94" i="19"/>
  <c r="H31" i="3"/>
  <c r="T113" i="19"/>
  <c r="S136" i="17"/>
  <c r="S128" i="17"/>
  <c r="T105" i="19"/>
  <c r="T102" i="19"/>
  <c r="S125" i="17"/>
  <c r="S120" i="16"/>
  <c r="S119" i="16"/>
  <c r="T95" i="19"/>
  <c r="S118" i="17"/>
  <c r="T94" i="19"/>
  <c r="S117" i="17"/>
  <c r="T92" i="19"/>
  <c r="S115" i="17"/>
  <c r="S113" i="16"/>
  <c r="S112" i="16"/>
  <c r="S111" i="16"/>
  <c r="T76" i="19"/>
  <c r="S99" i="16" s="1"/>
  <c r="S99" i="17"/>
  <c r="T74" i="19"/>
  <c r="S97" i="16" s="1"/>
  <c r="S97" i="17"/>
  <c r="T73" i="19"/>
  <c r="S96" i="16" s="1"/>
  <c r="S96" i="17"/>
  <c r="T72" i="19"/>
  <c r="S95" i="16" s="1"/>
  <c r="S95" i="17"/>
  <c r="T68" i="19"/>
  <c r="S91" i="16" s="1"/>
  <c r="S91" i="17"/>
  <c r="T66" i="19"/>
  <c r="S89" i="16" s="1"/>
  <c r="S89" i="17"/>
  <c r="T64" i="19"/>
  <c r="S87" i="16" s="1"/>
  <c r="S87" i="17"/>
  <c r="T63" i="19"/>
  <c r="S86" i="16" s="1"/>
  <c r="S86" i="17"/>
  <c r="T59" i="19"/>
  <c r="S82" i="16" s="1"/>
  <c r="S82" i="17"/>
  <c r="S80" i="17"/>
  <c r="T57" i="19"/>
  <c r="S80" i="16" s="1"/>
  <c r="T54" i="19"/>
  <c r="S77" i="16" s="1"/>
  <c r="S77" i="17"/>
  <c r="T51" i="19"/>
  <c r="S74" i="16" s="1"/>
  <c r="S74" i="17"/>
  <c r="T46" i="19"/>
  <c r="S68" i="16" s="1"/>
  <c r="S68" i="17"/>
  <c r="T44" i="19"/>
  <c r="S66" i="16" s="1"/>
  <c r="S66" i="17"/>
  <c r="T43" i="19"/>
  <c r="S65" i="16" s="1"/>
  <c r="S65" i="17"/>
  <c r="T33" i="19"/>
  <c r="S46" i="17"/>
  <c r="T30" i="19"/>
  <c r="S43" i="17"/>
  <c r="T26" i="19"/>
  <c r="S38" i="17"/>
  <c r="S37" i="16"/>
  <c r="T24" i="19"/>
  <c r="S36" i="17"/>
  <c r="S35" i="17"/>
  <c r="T23" i="19"/>
  <c r="T20" i="19"/>
  <c r="S32" i="17"/>
  <c r="T17" i="19"/>
  <c r="S27" i="17"/>
  <c r="Q127" i="16"/>
  <c r="Q127" i="17"/>
  <c r="Q88" i="17"/>
  <c r="Q88" i="16"/>
  <c r="Q137" i="17"/>
  <c r="Q53" i="17"/>
  <c r="Q53" i="16"/>
  <c r="Q55" i="16"/>
  <c r="Q55" i="17"/>
  <c r="Q70" i="17"/>
  <c r="Q70" i="16"/>
  <c r="Q105" i="17"/>
  <c r="Q105" i="16"/>
  <c r="R51" i="19"/>
  <c r="Q74" i="16" s="1"/>
  <c r="Q74" i="17"/>
  <c r="R92" i="19"/>
  <c r="Q115" i="17"/>
  <c r="R74" i="19"/>
  <c r="Q97" i="16" s="1"/>
  <c r="Q97" i="17"/>
  <c r="R33" i="19"/>
  <c r="Q46" i="17"/>
  <c r="R113" i="19"/>
  <c r="Q136" i="17"/>
  <c r="Q111" i="16"/>
  <c r="R30" i="19"/>
  <c r="Q43" i="17"/>
  <c r="R94" i="19"/>
  <c r="Q117" i="17"/>
  <c r="R68" i="19"/>
  <c r="Q91" i="16" s="1"/>
  <c r="Q91" i="17"/>
  <c r="R95" i="19"/>
  <c r="Q118" i="17"/>
  <c r="R46" i="19"/>
  <c r="Q68" i="16" s="1"/>
  <c r="Q68" i="17"/>
  <c r="P31" i="19"/>
  <c r="P35" i="19" s="1"/>
  <c r="V31" i="20"/>
  <c r="R63" i="19"/>
  <c r="Q86" i="16" s="1"/>
  <c r="Q86" i="17"/>
  <c r="R54" i="19"/>
  <c r="Q77" i="16" s="1"/>
  <c r="Q77" i="17"/>
  <c r="R59" i="19"/>
  <c r="Q82" i="16" s="1"/>
  <c r="Q82" i="17"/>
  <c r="R43" i="19"/>
  <c r="Q65" i="16" s="1"/>
  <c r="Q65" i="17"/>
  <c r="Q120" i="16"/>
  <c r="Q112" i="16"/>
  <c r="R76" i="19"/>
  <c r="Q99" i="16" s="1"/>
  <c r="Q99" i="17"/>
  <c r="R23" i="19"/>
  <c r="Q35" i="17"/>
  <c r="R64" i="19"/>
  <c r="Q87" i="16" s="1"/>
  <c r="Q87" i="17"/>
  <c r="R102" i="19"/>
  <c r="Q125" i="17"/>
  <c r="Q119" i="16"/>
  <c r="R26" i="19"/>
  <c r="Q38" i="17"/>
  <c r="R72" i="19"/>
  <c r="Q95" i="16" s="1"/>
  <c r="Q95" i="17"/>
  <c r="R44" i="19"/>
  <c r="Q66" i="16" s="1"/>
  <c r="Q66" i="17"/>
  <c r="R73" i="19"/>
  <c r="Q96" i="16" s="1"/>
  <c r="Q96" i="17"/>
  <c r="Q113" i="16"/>
  <c r="R20" i="19"/>
  <c r="Q32" i="17"/>
  <c r="R24" i="19"/>
  <c r="Q36" i="17"/>
  <c r="R66" i="19"/>
  <c r="Q89" i="16" s="1"/>
  <c r="Q89" i="17"/>
  <c r="R105" i="19"/>
  <c r="Q128" i="17"/>
  <c r="R57" i="19"/>
  <c r="Q80" i="16" s="1"/>
  <c r="Q80" i="17"/>
  <c r="Q37" i="16"/>
  <c r="R17" i="19"/>
  <c r="Q27" i="17"/>
  <c r="O127" i="17"/>
  <c r="O127" i="16"/>
  <c r="O88" i="17"/>
  <c r="O88" i="16"/>
  <c r="O137" i="17"/>
  <c r="O53" i="17"/>
  <c r="O53" i="16"/>
  <c r="O105" i="17"/>
  <c r="O105" i="16"/>
  <c r="O55" i="16"/>
  <c r="O55" i="17"/>
  <c r="M101" i="17"/>
  <c r="O70" i="17"/>
  <c r="O70" i="16"/>
  <c r="P98" i="20"/>
  <c r="P105" i="20" s="1"/>
  <c r="P76" i="19"/>
  <c r="O99" i="16" s="1"/>
  <c r="O99" i="17"/>
  <c r="P113" i="19"/>
  <c r="O136" i="17"/>
  <c r="P114" i="20"/>
  <c r="O111" i="16"/>
  <c r="P94" i="19"/>
  <c r="O117" i="17"/>
  <c r="O112" i="16"/>
  <c r="O113" i="16"/>
  <c r="P63" i="19"/>
  <c r="O86" i="16" s="1"/>
  <c r="O86" i="17"/>
  <c r="P64" i="19"/>
  <c r="O87" i="16" s="1"/>
  <c r="O87" i="17"/>
  <c r="P95" i="19"/>
  <c r="O118" i="17"/>
  <c r="P59" i="19"/>
  <c r="O82" i="16" s="1"/>
  <c r="O82" i="17"/>
  <c r="P66" i="19"/>
  <c r="O89" i="16" s="1"/>
  <c r="O89" i="17"/>
  <c r="P72" i="19"/>
  <c r="O95" i="16" s="1"/>
  <c r="O95" i="17"/>
  <c r="P102" i="19"/>
  <c r="O125" i="17"/>
  <c r="O119" i="16"/>
  <c r="P73" i="19"/>
  <c r="O96" i="16" s="1"/>
  <c r="O96" i="17"/>
  <c r="N70" i="19"/>
  <c r="N75" i="19"/>
  <c r="V75" i="20"/>
  <c r="P105" i="19"/>
  <c r="O128" i="17"/>
  <c r="O120" i="16"/>
  <c r="P74" i="19"/>
  <c r="O97" i="16" s="1"/>
  <c r="O97" i="17"/>
  <c r="P68" i="19"/>
  <c r="O91" i="16" s="1"/>
  <c r="O91" i="17"/>
  <c r="P92" i="19"/>
  <c r="O115" i="17"/>
  <c r="M92" i="17"/>
  <c r="V69" i="20"/>
  <c r="P54" i="19"/>
  <c r="O77" i="16" s="1"/>
  <c r="O77" i="17"/>
  <c r="P51" i="19"/>
  <c r="O74" i="16" s="1"/>
  <c r="O74" i="17"/>
  <c r="P46" i="19"/>
  <c r="O68" i="16" s="1"/>
  <c r="O68" i="17"/>
  <c r="P44" i="19"/>
  <c r="O66" i="16" s="1"/>
  <c r="O66" i="17"/>
  <c r="P43" i="19"/>
  <c r="O65" i="16" s="1"/>
  <c r="O65" i="17"/>
  <c r="O46" i="16"/>
  <c r="O44" i="17"/>
  <c r="O43" i="16"/>
  <c r="N27" i="19"/>
  <c r="M39" i="17" s="1"/>
  <c r="P26" i="19"/>
  <c r="O38" i="17"/>
  <c r="O37" i="16"/>
  <c r="P24" i="19"/>
  <c r="O36" i="17"/>
  <c r="P23" i="19"/>
  <c r="O35" i="17"/>
  <c r="P20" i="19"/>
  <c r="O32" i="17"/>
  <c r="M46" i="16"/>
  <c r="M98" i="17"/>
  <c r="M100" i="16"/>
  <c r="K100" i="16"/>
  <c r="M105" i="17"/>
  <c r="M120" i="16"/>
  <c r="M55" i="17"/>
  <c r="M55" i="16"/>
  <c r="M33" i="16"/>
  <c r="M127" i="17"/>
  <c r="M127" i="16"/>
  <c r="M53" i="17"/>
  <c r="N113" i="19"/>
  <c r="K39" i="16"/>
  <c r="N105" i="19"/>
  <c r="M128" i="17"/>
  <c r="N102" i="19"/>
  <c r="M125" i="17"/>
  <c r="N95" i="19"/>
  <c r="M118" i="17"/>
  <c r="N94" i="19"/>
  <c r="M117" i="17"/>
  <c r="N92" i="19"/>
  <c r="M115" i="17"/>
  <c r="N76" i="19"/>
  <c r="M99" i="16" s="1"/>
  <c r="M99" i="17"/>
  <c r="N72" i="19"/>
  <c r="M95" i="17"/>
  <c r="N68" i="19"/>
  <c r="M91" i="17"/>
  <c r="N66" i="19"/>
  <c r="M89" i="17"/>
  <c r="N64" i="19"/>
  <c r="M87" i="17"/>
  <c r="N63" i="19"/>
  <c r="M86" i="16" s="1"/>
  <c r="M86" i="17"/>
  <c r="N59" i="19"/>
  <c r="M82" i="17"/>
  <c r="N69" i="19"/>
  <c r="M92" i="16" s="1"/>
  <c r="N54" i="19"/>
  <c r="M77" i="17"/>
  <c r="N51" i="19"/>
  <c r="M74" i="16" s="1"/>
  <c r="M74" i="17"/>
  <c r="N46" i="19"/>
  <c r="M68" i="16" s="1"/>
  <c r="M68" i="17"/>
  <c r="N31" i="19"/>
  <c r="M44" i="17"/>
  <c r="N26" i="19"/>
  <c r="M38" i="17"/>
  <c r="M37" i="16"/>
  <c r="N24" i="19"/>
  <c r="M36" i="17"/>
  <c r="N23" i="19"/>
  <c r="M35" i="17"/>
  <c r="N20" i="19"/>
  <c r="M32" i="17"/>
  <c r="K120" i="16"/>
  <c r="K92" i="17"/>
  <c r="L69" i="19"/>
  <c r="K92" i="16" s="1"/>
  <c r="G84" i="23"/>
  <c r="K25" i="41"/>
  <c r="U43" i="16" l="1"/>
  <c r="H40" i="15"/>
  <c r="U38" i="16"/>
  <c r="H34" i="15"/>
  <c r="H14" i="2"/>
  <c r="H22" i="15"/>
  <c r="U32" i="16"/>
  <c r="H28" i="15"/>
  <c r="U36" i="16"/>
  <c r="H32" i="15"/>
  <c r="U35" i="16"/>
  <c r="H31" i="15"/>
  <c r="U46" i="16"/>
  <c r="H43" i="15"/>
  <c r="H30" i="2"/>
  <c r="U117" i="16"/>
  <c r="H28" i="2"/>
  <c r="U115" i="16"/>
  <c r="V69" i="19"/>
  <c r="U92" i="16" s="1"/>
  <c r="U92" i="17"/>
  <c r="V31" i="19"/>
  <c r="U44" i="17"/>
  <c r="H31" i="2"/>
  <c r="U118" i="16"/>
  <c r="V75" i="19"/>
  <c r="U98" i="16" s="1"/>
  <c r="U98" i="17"/>
  <c r="S128" i="16"/>
  <c r="S125" i="16"/>
  <c r="S118" i="16"/>
  <c r="S117" i="16"/>
  <c r="S115" i="16"/>
  <c r="T75" i="19"/>
  <c r="S98" i="16" s="1"/>
  <c r="S98" i="17"/>
  <c r="T69" i="19"/>
  <c r="S92" i="16" s="1"/>
  <c r="S92" i="17"/>
  <c r="S46" i="16"/>
  <c r="T31" i="19"/>
  <c r="S44" i="17"/>
  <c r="S43" i="16"/>
  <c r="S38" i="16"/>
  <c r="S36" i="16"/>
  <c r="S35" i="16"/>
  <c r="S32" i="16"/>
  <c r="O101" i="17"/>
  <c r="Q46" i="16"/>
  <c r="R69" i="19"/>
  <c r="Q92" i="16" s="1"/>
  <c r="Q92" i="17"/>
  <c r="Q32" i="16"/>
  <c r="Q125" i="16"/>
  <c r="Q43" i="16"/>
  <c r="P27" i="19"/>
  <c r="O39" i="16" s="1"/>
  <c r="Q118" i="16"/>
  <c r="Q128" i="16"/>
  <c r="Q38" i="16"/>
  <c r="R75" i="19"/>
  <c r="Q98" i="16" s="1"/>
  <c r="Q98" i="17"/>
  <c r="R31" i="19"/>
  <c r="Q44" i="17"/>
  <c r="Q35" i="16"/>
  <c r="Q115" i="16"/>
  <c r="P70" i="19"/>
  <c r="Q36" i="16"/>
  <c r="Q117" i="16"/>
  <c r="O101" i="16"/>
  <c r="M39" i="16"/>
  <c r="O115" i="16"/>
  <c r="O128" i="16"/>
  <c r="P75" i="19"/>
  <c r="O98" i="16" s="1"/>
  <c r="O98" i="17"/>
  <c r="O125" i="16"/>
  <c r="O118" i="16"/>
  <c r="O117" i="16"/>
  <c r="P69" i="19"/>
  <c r="O92" i="16" s="1"/>
  <c r="O92" i="17"/>
  <c r="O44" i="16"/>
  <c r="O38" i="16"/>
  <c r="O36" i="16"/>
  <c r="O35" i="16"/>
  <c r="O32" i="16"/>
  <c r="M35" i="16"/>
  <c r="M32" i="16"/>
  <c r="I121" i="17"/>
  <c r="I130" i="17" s="1"/>
  <c r="U44" i="16" l="1"/>
  <c r="H41" i="15"/>
  <c r="R70" i="19"/>
  <c r="S44" i="16"/>
  <c r="R27" i="19"/>
  <c r="Q39" i="16" s="1"/>
  <c r="O39" i="17"/>
  <c r="Q101" i="17"/>
  <c r="Q101" i="16"/>
  <c r="Q44" i="16"/>
  <c r="K75" i="23"/>
  <c r="I117" i="16" s="1"/>
  <c r="I75" i="23"/>
  <c r="F32" i="19"/>
  <c r="E51" i="16"/>
  <c r="Y23" i="26"/>
  <c r="T27" i="19" l="1"/>
  <c r="V27" i="20"/>
  <c r="V27" i="19" s="1"/>
  <c r="H35" i="15" s="1"/>
  <c r="T70" i="19"/>
  <c r="S93" i="17" s="1"/>
  <c r="V70" i="20"/>
  <c r="V70" i="19" s="1"/>
  <c r="Q39" i="17"/>
  <c r="M75" i="23"/>
  <c r="K117" i="16" s="1"/>
  <c r="O75" i="23"/>
  <c r="E51" i="17"/>
  <c r="U93" i="16" l="1"/>
  <c r="U93" i="17"/>
  <c r="U39" i="16"/>
  <c r="U39" i="17"/>
  <c r="S93" i="16"/>
  <c r="S39" i="16"/>
  <c r="S39" i="17"/>
  <c r="M117" i="16"/>
  <c r="J54" i="15"/>
  <c r="H54" i="15"/>
  <c r="X24" i="22" l="1"/>
  <c r="V24" i="22"/>
  <c r="R24" i="22"/>
  <c r="Y56" i="16" l="1"/>
  <c r="Y56" i="17"/>
  <c r="Z51" i="18" l="1"/>
  <c r="E124" i="17" l="1"/>
  <c r="M12" i="40"/>
  <c r="X51" i="18" l="1"/>
  <c r="W33" i="26"/>
  <c r="M22" i="40"/>
  <c r="D37" i="43"/>
  <c r="Z35" i="43"/>
  <c r="AI75" i="18" l="1"/>
  <c r="AK75" i="18" s="1"/>
  <c r="AJ41" i="26"/>
  <c r="I94" i="23"/>
  <c r="I59" i="23"/>
  <c r="G45" i="16"/>
  <c r="G95" i="17"/>
  <c r="G87" i="17"/>
  <c r="I78" i="23"/>
  <c r="G66" i="17"/>
  <c r="G28" i="16"/>
  <c r="I73" i="23"/>
  <c r="G63" i="17"/>
  <c r="G102" i="17"/>
  <c r="G97" i="17"/>
  <c r="G67" i="17"/>
  <c r="H33" i="19"/>
  <c r="H70" i="19"/>
  <c r="I45" i="23"/>
  <c r="H34" i="19"/>
  <c r="H27" i="19"/>
  <c r="G39" i="17" s="1"/>
  <c r="G84" i="17"/>
  <c r="H25" i="19"/>
  <c r="G37" i="16" s="1"/>
  <c r="G27" i="17"/>
  <c r="G96" i="17"/>
  <c r="H26" i="19"/>
  <c r="AL27" i="20"/>
  <c r="G88" i="17"/>
  <c r="H20" i="19"/>
  <c r="G82" i="17"/>
  <c r="G43" i="17"/>
  <c r="G98" i="17"/>
  <c r="G99" i="17"/>
  <c r="G94" i="17"/>
  <c r="G101" i="17"/>
  <c r="G74" i="17"/>
  <c r="G89" i="17"/>
  <c r="G81" i="17"/>
  <c r="G120" i="17"/>
  <c r="G45" i="17"/>
  <c r="I39" i="23"/>
  <c r="G91" i="17"/>
  <c r="H58" i="19"/>
  <c r="G81" i="16" s="1"/>
  <c r="G38" i="17"/>
  <c r="G113" i="17"/>
  <c r="G62" i="17"/>
  <c r="H31" i="19"/>
  <c r="G44" i="17"/>
  <c r="G55" i="16"/>
  <c r="G111" i="17"/>
  <c r="G72" i="17"/>
  <c r="G40" i="17"/>
  <c r="G22" i="17"/>
  <c r="G119" i="17"/>
  <c r="G46" i="17"/>
  <c r="G33" i="17"/>
  <c r="G115" i="17"/>
  <c r="I51" i="23"/>
  <c r="G52" i="16"/>
  <c r="G52" i="17"/>
  <c r="I71" i="23"/>
  <c r="G85" i="17"/>
  <c r="G28" i="17"/>
  <c r="G123" i="17"/>
  <c r="G54" i="17"/>
  <c r="G54" i="16"/>
  <c r="G76" i="17"/>
  <c r="G65" i="17"/>
  <c r="G25" i="17"/>
  <c r="W56" i="16"/>
  <c r="W56" i="17"/>
  <c r="K115" i="30" l="1"/>
  <c r="O93" i="23"/>
  <c r="O92" i="23"/>
  <c r="M92" i="23"/>
  <c r="M93" i="23"/>
  <c r="K94" i="23"/>
  <c r="K81" i="23"/>
  <c r="I123" i="16" s="1"/>
  <c r="K77" i="23"/>
  <c r="K73" i="23"/>
  <c r="K71" i="23"/>
  <c r="I113" i="16" s="1"/>
  <c r="K70" i="23"/>
  <c r="K69" i="23"/>
  <c r="K60" i="23"/>
  <c r="I101" i="16" s="1"/>
  <c r="K58" i="23"/>
  <c r="I98" i="16" s="1"/>
  <c r="K55" i="23"/>
  <c r="I94" i="16" s="1"/>
  <c r="K54" i="23"/>
  <c r="I91" i="16" s="1"/>
  <c r="K52" i="23"/>
  <c r="I89" i="16" s="1"/>
  <c r="K51" i="23"/>
  <c r="I88" i="16" s="1"/>
  <c r="K48" i="23"/>
  <c r="I84" i="16" s="1"/>
  <c r="K46" i="23"/>
  <c r="I82" i="16" s="1"/>
  <c r="K45" i="23"/>
  <c r="I77" i="16" s="1"/>
  <c r="K44" i="23"/>
  <c r="I76" i="16" s="1"/>
  <c r="K43" i="23"/>
  <c r="I75" i="16" s="1"/>
  <c r="K42" i="23"/>
  <c r="K41" i="23"/>
  <c r="I72" i="16" s="1"/>
  <c r="K39" i="23"/>
  <c r="I65" i="16" s="1"/>
  <c r="K37" i="23"/>
  <c r="I63" i="16" s="1"/>
  <c r="I111" i="16"/>
  <c r="K93" i="23"/>
  <c r="K92" i="23"/>
  <c r="I93" i="23"/>
  <c r="I84" i="23"/>
  <c r="I83" i="23"/>
  <c r="I82" i="23"/>
  <c r="I76" i="23"/>
  <c r="I74" i="23"/>
  <c r="I69" i="23"/>
  <c r="I63" i="23"/>
  <c r="I57" i="23"/>
  <c r="G97" i="16" s="1"/>
  <c r="I56" i="23"/>
  <c r="I54" i="23"/>
  <c r="I50" i="23"/>
  <c r="I49" i="23"/>
  <c r="I48" i="23"/>
  <c r="I30" i="23"/>
  <c r="I27" i="23"/>
  <c r="I26" i="23"/>
  <c r="G44" i="16" s="1"/>
  <c r="I25" i="23"/>
  <c r="I22" i="23"/>
  <c r="I21" i="23"/>
  <c r="G36" i="16" s="1"/>
  <c r="I20" i="23"/>
  <c r="G33" i="16" s="1"/>
  <c r="J17" i="19"/>
  <c r="I27" i="17"/>
  <c r="I81" i="23"/>
  <c r="G100" i="17"/>
  <c r="G112" i="17"/>
  <c r="G37" i="17"/>
  <c r="I46" i="23"/>
  <c r="G32" i="16"/>
  <c r="I60" i="23"/>
  <c r="I55" i="23"/>
  <c r="G118" i="17"/>
  <c r="G39" i="16"/>
  <c r="I37" i="23"/>
  <c r="G63" i="16" s="1"/>
  <c r="I43" i="23"/>
  <c r="G23" i="17"/>
  <c r="G47" i="17"/>
  <c r="G105" i="17"/>
  <c r="G77" i="17"/>
  <c r="I52" i="23"/>
  <c r="I41" i="23"/>
  <c r="G70" i="16"/>
  <c r="G68" i="17"/>
  <c r="G117" i="17"/>
  <c r="G92" i="17"/>
  <c r="G125" i="17"/>
  <c r="G46" i="16"/>
  <c r="G32" i="17"/>
  <c r="H101" i="19"/>
  <c r="G124" i="17"/>
  <c r="G86" i="17"/>
  <c r="G73" i="17"/>
  <c r="G55" i="17"/>
  <c r="G35" i="17"/>
  <c r="H23" i="19"/>
  <c r="G35" i="16" s="1"/>
  <c r="G128" i="17"/>
  <c r="G70" i="17"/>
  <c r="G53" i="17"/>
  <c r="G34" i="17"/>
  <c r="G127" i="17"/>
  <c r="G127" i="16"/>
  <c r="G75" i="17"/>
  <c r="I58" i="23"/>
  <c r="G79" i="17"/>
  <c r="H56" i="19"/>
  <c r="G79" i="16" s="1"/>
  <c r="I70" i="23"/>
  <c r="H17" i="19"/>
  <c r="G71" i="17"/>
  <c r="H48" i="19"/>
  <c r="G71" i="16" s="1"/>
  <c r="I44" i="23"/>
  <c r="I42" i="23"/>
  <c r="G36" i="17"/>
  <c r="G29" i="17"/>
  <c r="I77" i="23"/>
  <c r="G80" i="17"/>
  <c r="H57" i="19"/>
  <c r="G80" i="16" s="1"/>
  <c r="G50" i="17"/>
  <c r="G50" i="16"/>
  <c r="I92" i="23"/>
  <c r="D21" i="19"/>
  <c r="D34" i="19"/>
  <c r="D58" i="19"/>
  <c r="M137" i="17" l="1"/>
  <c r="M136" i="17"/>
  <c r="V49" i="2"/>
  <c r="U137" i="16" s="1"/>
  <c r="M94" i="23"/>
  <c r="O94" i="23"/>
  <c r="M81" i="23"/>
  <c r="K123" i="16" s="1"/>
  <c r="O81" i="23"/>
  <c r="M77" i="23"/>
  <c r="K119" i="16" s="1"/>
  <c r="O77" i="23"/>
  <c r="M73" i="23"/>
  <c r="O73" i="23"/>
  <c r="M71" i="23"/>
  <c r="K113" i="16" s="1"/>
  <c r="O71" i="23"/>
  <c r="M70" i="23"/>
  <c r="K112" i="16" s="1"/>
  <c r="O70" i="23"/>
  <c r="M69" i="23"/>
  <c r="K111" i="16" s="1"/>
  <c r="O69" i="23"/>
  <c r="M60" i="23"/>
  <c r="K101" i="16" s="1"/>
  <c r="O60" i="23"/>
  <c r="M101" i="16" s="1"/>
  <c r="M58" i="23"/>
  <c r="K98" i="16" s="1"/>
  <c r="O58" i="23"/>
  <c r="M98" i="16" s="1"/>
  <c r="M55" i="23"/>
  <c r="K94" i="16" s="1"/>
  <c r="O55" i="23"/>
  <c r="M94" i="16" s="1"/>
  <c r="M54" i="23"/>
  <c r="K91" i="16" s="1"/>
  <c r="O54" i="23"/>
  <c r="M91" i="16" s="1"/>
  <c r="M52" i="23"/>
  <c r="K89" i="16" s="1"/>
  <c r="O52" i="23"/>
  <c r="M89" i="16" s="1"/>
  <c r="M51" i="23"/>
  <c r="K88" i="16" s="1"/>
  <c r="O51" i="23"/>
  <c r="M88" i="16" s="1"/>
  <c r="M48" i="23"/>
  <c r="K84" i="16" s="1"/>
  <c r="O48" i="23"/>
  <c r="M84" i="16" s="1"/>
  <c r="M46" i="23"/>
  <c r="K82" i="16" s="1"/>
  <c r="O46" i="23"/>
  <c r="M82" i="16" s="1"/>
  <c r="M45" i="23"/>
  <c r="K77" i="16" s="1"/>
  <c r="O45" i="23"/>
  <c r="M77" i="16" s="1"/>
  <c r="M44" i="23"/>
  <c r="K76" i="16" s="1"/>
  <c r="O44" i="23"/>
  <c r="M76" i="16" s="1"/>
  <c r="M43" i="23"/>
  <c r="K75" i="16" s="1"/>
  <c r="O43" i="23"/>
  <c r="M75" i="16" s="1"/>
  <c r="M42" i="23"/>
  <c r="O42" i="23"/>
  <c r="M41" i="23"/>
  <c r="K72" i="16" s="1"/>
  <c r="O41" i="23"/>
  <c r="M72" i="16" s="1"/>
  <c r="M39" i="23"/>
  <c r="K65" i="16" s="1"/>
  <c r="O39" i="23"/>
  <c r="M65" i="16" s="1"/>
  <c r="M37" i="23"/>
  <c r="K63" i="16" s="1"/>
  <c r="O37" i="23"/>
  <c r="M63" i="16" s="1"/>
  <c r="K136" i="17"/>
  <c r="K137" i="17"/>
  <c r="I112" i="16"/>
  <c r="I119" i="16"/>
  <c r="I115" i="16"/>
  <c r="K84" i="23"/>
  <c r="I128" i="16" s="1"/>
  <c r="K83" i="23"/>
  <c r="K82" i="23"/>
  <c r="K76" i="23"/>
  <c r="I118" i="16" s="1"/>
  <c r="K74" i="23"/>
  <c r="I116" i="16" s="1"/>
  <c r="K63" i="23"/>
  <c r="K57" i="23"/>
  <c r="I97" i="16" s="1"/>
  <c r="K56" i="23"/>
  <c r="I95" i="16" s="1"/>
  <c r="K50" i="23"/>
  <c r="I87" i="16" s="1"/>
  <c r="K49" i="23"/>
  <c r="K30" i="23"/>
  <c r="K27" i="23"/>
  <c r="I47" i="16" s="1"/>
  <c r="K26" i="23"/>
  <c r="I44" i="16" s="1"/>
  <c r="K25" i="23"/>
  <c r="I43" i="16" s="1"/>
  <c r="K22" i="23"/>
  <c r="K21" i="23"/>
  <c r="I36" i="16" s="1"/>
  <c r="I136" i="17"/>
  <c r="I137" i="17"/>
  <c r="G53" i="16"/>
  <c r="G47" i="16"/>
  <c r="K20" i="23"/>
  <c r="G43" i="16"/>
  <c r="G38" i="16"/>
  <c r="J69" i="19"/>
  <c r="I92" i="16" s="1"/>
  <c r="I92" i="17"/>
  <c r="G124" i="16"/>
  <c r="G136" i="17"/>
  <c r="G137" i="17"/>
  <c r="T51" i="18"/>
  <c r="C25" i="16"/>
  <c r="M115" i="16" l="1"/>
  <c r="M112" i="16"/>
  <c r="M123" i="16"/>
  <c r="M111" i="16"/>
  <c r="M119" i="16"/>
  <c r="M113" i="16"/>
  <c r="K115" i="16"/>
  <c r="M84" i="23"/>
  <c r="O84" i="23"/>
  <c r="M83" i="23"/>
  <c r="K125" i="16" s="1"/>
  <c r="O83" i="23"/>
  <c r="M82" i="23"/>
  <c r="K124" i="16" s="1"/>
  <c r="O82" i="23"/>
  <c r="M76" i="23"/>
  <c r="O76" i="23"/>
  <c r="M74" i="23"/>
  <c r="O74" i="23"/>
  <c r="M63" i="23"/>
  <c r="O63" i="23"/>
  <c r="M57" i="23"/>
  <c r="K97" i="16" s="1"/>
  <c r="O57" i="23"/>
  <c r="M97" i="16" s="1"/>
  <c r="M56" i="23"/>
  <c r="K95" i="16" s="1"/>
  <c r="O56" i="23"/>
  <c r="M95" i="16" s="1"/>
  <c r="M50" i="23"/>
  <c r="K87" i="16" s="1"/>
  <c r="O50" i="23"/>
  <c r="M87" i="16" s="1"/>
  <c r="M49" i="23"/>
  <c r="O49" i="23"/>
  <c r="M30" i="23"/>
  <c r="K53" i="16" s="1"/>
  <c r="O30" i="23"/>
  <c r="M27" i="23"/>
  <c r="K47" i="16" s="1"/>
  <c r="O27" i="23"/>
  <c r="M47" i="16" s="1"/>
  <c r="M26" i="23"/>
  <c r="K44" i="16" s="1"/>
  <c r="O26" i="23"/>
  <c r="M25" i="23"/>
  <c r="K43" i="16" s="1"/>
  <c r="O25" i="23"/>
  <c r="M22" i="23"/>
  <c r="K38" i="16" s="1"/>
  <c r="O22" i="23"/>
  <c r="M21" i="23"/>
  <c r="K36" i="16" s="1"/>
  <c r="O21" i="23"/>
  <c r="I139" i="17"/>
  <c r="I125" i="16"/>
  <c r="I53" i="16"/>
  <c r="I124" i="16"/>
  <c r="I38" i="16"/>
  <c r="I33" i="16"/>
  <c r="P24" i="22"/>
  <c r="M105" i="16" l="1"/>
  <c r="M116" i="16"/>
  <c r="M128" i="16"/>
  <c r="M124" i="16"/>
  <c r="M118" i="16"/>
  <c r="M125" i="16"/>
  <c r="K116" i="16"/>
  <c r="K105" i="16"/>
  <c r="K128" i="16"/>
  <c r="K118" i="16"/>
  <c r="M53" i="16"/>
  <c r="M44" i="16"/>
  <c r="M43" i="16"/>
  <c r="M38" i="16"/>
  <c r="M36" i="16"/>
  <c r="S56" i="17"/>
  <c r="S56" i="16"/>
  <c r="AC9" i="20"/>
  <c r="F70" i="19" l="1"/>
  <c r="G78" i="23"/>
  <c r="H68" i="19"/>
  <c r="G91" i="16" s="1"/>
  <c r="H69" i="19"/>
  <c r="G92" i="16" s="1"/>
  <c r="H54" i="19"/>
  <c r="G77" i="16" s="1"/>
  <c r="H94" i="19"/>
  <c r="H45" i="19"/>
  <c r="G67" i="16" s="1"/>
  <c r="H113" i="19"/>
  <c r="H114" i="19"/>
  <c r="G43" i="23"/>
  <c r="H71" i="19"/>
  <c r="G94" i="16" s="1"/>
  <c r="H61" i="19"/>
  <c r="G84" i="16" s="1"/>
  <c r="G54" i="23"/>
  <c r="H79" i="19"/>
  <c r="G102" i="16" s="1"/>
  <c r="E98" i="17"/>
  <c r="E101" i="17"/>
  <c r="G74" i="23"/>
  <c r="F20" i="19"/>
  <c r="E97" i="17"/>
  <c r="G20" i="23"/>
  <c r="E33" i="16" s="1"/>
  <c r="G63" i="23"/>
  <c r="H88" i="19"/>
  <c r="E102" i="17"/>
  <c r="E23" i="16"/>
  <c r="H51" i="19"/>
  <c r="G74" i="16" s="1"/>
  <c r="F24" i="19"/>
  <c r="G27" i="23"/>
  <c r="G25" i="23"/>
  <c r="E43" i="16" s="1"/>
  <c r="H64" i="19"/>
  <c r="G87" i="16" s="1"/>
  <c r="G30" i="23"/>
  <c r="G57" i="23"/>
  <c r="G70" i="23"/>
  <c r="H66" i="19"/>
  <c r="G89" i="16" s="1"/>
  <c r="H105" i="19"/>
  <c r="G75" i="23"/>
  <c r="H62" i="19"/>
  <c r="G85" i="16" s="1"/>
  <c r="AE28" i="16"/>
  <c r="G82" i="23"/>
  <c r="E124" i="16" s="1"/>
  <c r="E99" i="17"/>
  <c r="H43" i="19"/>
  <c r="G65" i="16" s="1"/>
  <c r="H46" i="19"/>
  <c r="G68" i="16" s="1"/>
  <c r="H96" i="19"/>
  <c r="G59" i="23"/>
  <c r="G56" i="23"/>
  <c r="E79" i="17"/>
  <c r="E119" i="17"/>
  <c r="H73" i="19"/>
  <c r="G96" i="16" s="1"/>
  <c r="G73" i="23"/>
  <c r="G48" i="23"/>
  <c r="H53" i="19"/>
  <c r="G76" i="16" s="1"/>
  <c r="AE55" i="17"/>
  <c r="E89" i="17"/>
  <c r="E63" i="17"/>
  <c r="H78" i="19"/>
  <c r="G101" i="16" s="1"/>
  <c r="G81" i="23"/>
  <c r="G69" i="23"/>
  <c r="H93" i="19"/>
  <c r="G58" i="23"/>
  <c r="H97" i="19"/>
  <c r="E73" i="17"/>
  <c r="G93" i="23"/>
  <c r="G60" i="23"/>
  <c r="G46" i="23"/>
  <c r="H63" i="19"/>
  <c r="G86" i="16" s="1"/>
  <c r="E28" i="16"/>
  <c r="F57" i="19"/>
  <c r="E80" i="16" s="1"/>
  <c r="F27" i="19"/>
  <c r="E39" i="17" s="1"/>
  <c r="H77" i="19"/>
  <c r="G100" i="16" s="1"/>
  <c r="H95" i="19"/>
  <c r="G55" i="23"/>
  <c r="G26" i="23"/>
  <c r="D24" i="22"/>
  <c r="H102" i="19"/>
  <c r="E88" i="17"/>
  <c r="E137" i="17"/>
  <c r="G77" i="23"/>
  <c r="H72" i="19"/>
  <c r="G95" i="16" s="1"/>
  <c r="H59" i="19"/>
  <c r="G82" i="16" s="1"/>
  <c r="G42" i="23"/>
  <c r="F34" i="19"/>
  <c r="E50" i="16"/>
  <c r="F22" i="19"/>
  <c r="G22" i="23"/>
  <c r="E38" i="16" s="1"/>
  <c r="E95" i="17"/>
  <c r="G71" i="23"/>
  <c r="E118" i="17"/>
  <c r="G44" i="23"/>
  <c r="E75" i="17"/>
  <c r="H50" i="19"/>
  <c r="G73" i="16" s="1"/>
  <c r="H89" i="19"/>
  <c r="G94" i="23"/>
  <c r="F56" i="19"/>
  <c r="E79" i="16" s="1"/>
  <c r="E91" i="17"/>
  <c r="E33" i="17"/>
  <c r="E70" i="17"/>
  <c r="F62" i="19"/>
  <c r="E85" i="16" s="1"/>
  <c r="F17" i="19"/>
  <c r="E27" i="17"/>
  <c r="E52" i="17"/>
  <c r="E113" i="17"/>
  <c r="E120" i="17"/>
  <c r="E29" i="16"/>
  <c r="E29" i="17"/>
  <c r="E82" i="17"/>
  <c r="F31" i="19"/>
  <c r="G83" i="23"/>
  <c r="E54" i="16"/>
  <c r="E54" i="17"/>
  <c r="F23" i="19"/>
  <c r="E35" i="17"/>
  <c r="E85" i="17"/>
  <c r="G41" i="23"/>
  <c r="R21" i="15"/>
  <c r="P21" i="15"/>
  <c r="N21" i="15"/>
  <c r="L21" i="15"/>
  <c r="J21" i="15"/>
  <c r="H21" i="15"/>
  <c r="X22" i="18"/>
  <c r="T22" i="18"/>
  <c r="H82" i="19" l="1"/>
  <c r="G105" i="16" s="1"/>
  <c r="J82" i="19"/>
  <c r="F68" i="19"/>
  <c r="E91" i="16" s="1"/>
  <c r="F45" i="19"/>
  <c r="E67" i="16" s="1"/>
  <c r="F95" i="19"/>
  <c r="F82" i="19"/>
  <c r="E105" i="16" s="1"/>
  <c r="F89" i="19"/>
  <c r="E112" i="16" s="1"/>
  <c r="F64" i="19"/>
  <c r="F51" i="19"/>
  <c r="E74" i="16" s="1"/>
  <c r="F46" i="19"/>
  <c r="E68" i="16" s="1"/>
  <c r="G112" i="16"/>
  <c r="F100" i="19"/>
  <c r="E123" i="16" s="1"/>
  <c r="H100" i="19"/>
  <c r="G125" i="16"/>
  <c r="G120" i="16"/>
  <c r="F76" i="19"/>
  <c r="E99" i="16" s="1"/>
  <c r="H76" i="19"/>
  <c r="G99" i="16" s="1"/>
  <c r="F49" i="19"/>
  <c r="E72" i="16" s="1"/>
  <c r="H49" i="19"/>
  <c r="G72" i="16" s="1"/>
  <c r="F90" i="19"/>
  <c r="E113" i="16" s="1"/>
  <c r="H90" i="19"/>
  <c r="G119" i="16"/>
  <c r="G128" i="16"/>
  <c r="G111" i="16"/>
  <c r="F41" i="19"/>
  <c r="E62" i="16" s="1"/>
  <c r="H41" i="19"/>
  <c r="G62" i="16" s="1"/>
  <c r="G117" i="16"/>
  <c r="F44" i="19"/>
  <c r="E66" i="16" s="1"/>
  <c r="H44" i="19"/>
  <c r="G66" i="16" s="1"/>
  <c r="F52" i="19"/>
  <c r="E75" i="16" s="1"/>
  <c r="H52" i="19"/>
  <c r="G75" i="16" s="1"/>
  <c r="G118" i="16"/>
  <c r="G116" i="16"/>
  <c r="F92" i="19"/>
  <c r="E115" i="16" s="1"/>
  <c r="H92" i="19"/>
  <c r="F43" i="19"/>
  <c r="F65" i="19"/>
  <c r="H65" i="19"/>
  <c r="G88" i="16" s="1"/>
  <c r="F75" i="19"/>
  <c r="E98" i="16" s="1"/>
  <c r="H75" i="19"/>
  <c r="G98" i="16" s="1"/>
  <c r="E36" i="16"/>
  <c r="AC133" i="18"/>
  <c r="F59" i="19"/>
  <c r="E82" i="16" s="1"/>
  <c r="E125" i="17"/>
  <c r="E100" i="17"/>
  <c r="F94" i="19"/>
  <c r="E32" i="16"/>
  <c r="E44" i="17"/>
  <c r="E105" i="17"/>
  <c r="E52" i="16"/>
  <c r="E117" i="17"/>
  <c r="E111" i="17"/>
  <c r="E96" i="17"/>
  <c r="E74" i="17"/>
  <c r="F102" i="19"/>
  <c r="E80" i="17"/>
  <c r="F79" i="19"/>
  <c r="E102" i="16" s="1"/>
  <c r="E32" i="17"/>
  <c r="E67" i="17"/>
  <c r="E47" i="17"/>
  <c r="E50" i="17"/>
  <c r="E23" i="17"/>
  <c r="F96" i="19"/>
  <c r="E119" i="16" s="1"/>
  <c r="E34" i="17"/>
  <c r="E97" i="16"/>
  <c r="E28" i="17"/>
  <c r="E68" i="17"/>
  <c r="F63" i="19"/>
  <c r="E86" i="16" s="1"/>
  <c r="F78" i="19"/>
  <c r="E101" i="16" s="1"/>
  <c r="F73" i="19"/>
  <c r="E96" i="16" s="1"/>
  <c r="G39" i="23"/>
  <c r="E53" i="16"/>
  <c r="E53" i="17"/>
  <c r="F77" i="19"/>
  <c r="E100" i="16" s="1"/>
  <c r="G52" i="23"/>
  <c r="E39" i="16"/>
  <c r="F71" i="19"/>
  <c r="E94" i="16" s="1"/>
  <c r="E65" i="17"/>
  <c r="F54" i="19"/>
  <c r="E136" i="17"/>
  <c r="F69" i="19"/>
  <c r="E92" i="16" s="1"/>
  <c r="F48" i="19"/>
  <c r="E71" i="16" s="1"/>
  <c r="E71" i="17"/>
  <c r="F114" i="19"/>
  <c r="E84" i="17"/>
  <c r="F61" i="19"/>
  <c r="E84" i="16" s="1"/>
  <c r="E24" i="16"/>
  <c r="E24" i="17"/>
  <c r="E123" i="17"/>
  <c r="E112" i="17"/>
  <c r="F25" i="19"/>
  <c r="E37" i="17"/>
  <c r="G37" i="23"/>
  <c r="E63" i="16" s="1"/>
  <c r="E66" i="17"/>
  <c r="F58" i="19"/>
  <c r="E81" i="16" s="1"/>
  <c r="E81" i="17"/>
  <c r="E36" i="17"/>
  <c r="F97" i="19"/>
  <c r="F50" i="19"/>
  <c r="E73" i="16" s="1"/>
  <c r="F51" i="18"/>
  <c r="E62" i="17"/>
  <c r="E116" i="17"/>
  <c r="F93" i="19"/>
  <c r="G45" i="23"/>
  <c r="E115" i="17"/>
  <c r="E47" i="16"/>
  <c r="E86" i="17"/>
  <c r="E72" i="17"/>
  <c r="E76" i="17"/>
  <c r="E40" i="17"/>
  <c r="E40" i="16"/>
  <c r="F113" i="19"/>
  <c r="G49" i="23"/>
  <c r="E38" i="17"/>
  <c r="F33" i="19"/>
  <c r="E46" i="17"/>
  <c r="F88" i="19"/>
  <c r="F72" i="19"/>
  <c r="E95" i="16" s="1"/>
  <c r="F105" i="19"/>
  <c r="E128" i="17"/>
  <c r="E94" i="17"/>
  <c r="E22" i="17"/>
  <c r="E22" i="16"/>
  <c r="G76" i="23"/>
  <c r="E87" i="17"/>
  <c r="E55" i="16"/>
  <c r="E55" i="17"/>
  <c r="F66" i="19"/>
  <c r="F53" i="19"/>
  <c r="E76" i="16" s="1"/>
  <c r="G51" i="23"/>
  <c r="G50" i="23"/>
  <c r="E43" i="17"/>
  <c r="E45" i="17"/>
  <c r="E45" i="16"/>
  <c r="G92" i="23"/>
  <c r="E70" i="16"/>
  <c r="E77" i="17"/>
  <c r="E35" i="16"/>
  <c r="E34" i="16"/>
  <c r="E44" i="16"/>
  <c r="Y95" i="24"/>
  <c r="I105" i="16" l="1"/>
  <c r="E87" i="16"/>
  <c r="E88" i="16"/>
  <c r="E65" i="16"/>
  <c r="E89" i="16"/>
  <c r="G115" i="16"/>
  <c r="G123" i="16"/>
  <c r="G113" i="16"/>
  <c r="E117" i="16"/>
  <c r="E125" i="16"/>
  <c r="E77" i="16"/>
  <c r="E92" i="17"/>
  <c r="E118" i="16"/>
  <c r="E120" i="16"/>
  <c r="E128" i="16"/>
  <c r="E37" i="16"/>
  <c r="E46" i="16"/>
  <c r="E116" i="16"/>
  <c r="E111" i="16"/>
  <c r="M195" i="42"/>
  <c r="T24" i="22" l="1"/>
  <c r="L17" i="2" s="1"/>
  <c r="M192" i="42"/>
  <c r="AC36" i="18" l="1"/>
  <c r="D56" i="19"/>
  <c r="D25" i="19"/>
  <c r="D59" i="19"/>
  <c r="AG27" i="19"/>
  <c r="AL27" i="19" s="1"/>
  <c r="D79" i="19"/>
  <c r="D72" i="19"/>
  <c r="D77" i="19"/>
  <c r="D113" i="19"/>
  <c r="AD113" i="19" s="1"/>
  <c r="D54" i="19"/>
  <c r="D45" i="32"/>
  <c r="D44" i="19"/>
  <c r="D32" i="19"/>
  <c r="AD53" i="15"/>
  <c r="D24" i="32"/>
  <c r="D65" i="19"/>
  <c r="D27" i="19"/>
  <c r="AD27" i="19" s="1"/>
  <c r="AJ27" i="20"/>
  <c r="D68" i="19"/>
  <c r="D22" i="19"/>
  <c r="AI35" i="18"/>
  <c r="AK35" i="18" s="1"/>
  <c r="F36" i="15"/>
  <c r="X36" i="15" s="1"/>
  <c r="D43" i="19"/>
  <c r="D90" i="19"/>
  <c r="D31" i="19"/>
  <c r="D33" i="19"/>
  <c r="C55" i="16"/>
  <c r="AI34" i="18"/>
  <c r="F35" i="15"/>
  <c r="D17" i="32"/>
  <c r="D48" i="19"/>
  <c r="D78" i="19"/>
  <c r="D52" i="19"/>
  <c r="D23" i="19"/>
  <c r="D95" i="19"/>
  <c r="D46" i="19"/>
  <c r="D26" i="19"/>
  <c r="D76" i="19"/>
  <c r="D88" i="19"/>
  <c r="AE40" i="17"/>
  <c r="AE40" i="16"/>
  <c r="AD36" i="15" s="1"/>
  <c r="D24" i="19"/>
  <c r="D53" i="19"/>
  <c r="D74" i="19"/>
  <c r="D61" i="19"/>
  <c r="D30" i="19"/>
  <c r="D62" i="19"/>
  <c r="D70" i="19"/>
  <c r="AD70" i="19" s="1"/>
  <c r="D41" i="19"/>
  <c r="D20" i="19"/>
  <c r="AD20" i="19" s="1"/>
  <c r="D105" i="19"/>
  <c r="D57" i="19"/>
  <c r="D64" i="19"/>
  <c r="AK34" i="18"/>
  <c r="AE39" i="16"/>
  <c r="AE39" i="17"/>
  <c r="AJ39" i="17" s="1"/>
  <c r="D50" i="19"/>
  <c r="D75" i="19"/>
  <c r="D71" i="19"/>
  <c r="C22" i="17"/>
  <c r="D102" i="19"/>
  <c r="D101" i="19"/>
  <c r="D17" i="19"/>
  <c r="B24" i="22"/>
  <c r="D82" i="19"/>
  <c r="V22" i="18"/>
  <c r="V51" i="18"/>
  <c r="D17" i="2" s="1"/>
  <c r="H21" i="36"/>
  <c r="AH36" i="15" l="1"/>
  <c r="AJ36" i="15" s="1"/>
  <c r="AD35" i="15"/>
  <c r="AJ35" i="15" s="1"/>
  <c r="AJ39" i="16"/>
  <c r="C39" i="17"/>
  <c r="AB39" i="17" s="1"/>
  <c r="AH39" i="17" s="1"/>
  <c r="D48" i="32"/>
  <c r="D73" i="19"/>
  <c r="D93" i="19"/>
  <c r="D45" i="19"/>
  <c r="D97" i="19"/>
  <c r="D96" i="19"/>
  <c r="D92" i="19"/>
  <c r="C128" i="17"/>
  <c r="D51" i="19"/>
  <c r="Z25" i="37"/>
  <c r="D94" i="19"/>
  <c r="D63" i="19"/>
  <c r="C55" i="17"/>
  <c r="D51" i="18"/>
  <c r="D69" i="19"/>
  <c r="D114" i="19"/>
  <c r="D100" i="19"/>
  <c r="C44" i="26"/>
  <c r="D66" i="19"/>
  <c r="D89" i="19"/>
  <c r="D49" i="19"/>
  <c r="C40" i="16"/>
  <c r="AB40" i="16" s="1"/>
  <c r="AH40" i="16" s="1"/>
  <c r="AJ40" i="16" s="1"/>
  <c r="C40" i="17"/>
  <c r="AB40" i="17" s="1"/>
  <c r="AH40" i="17" s="1"/>
  <c r="AJ40" i="17" s="1"/>
  <c r="V36" i="15"/>
  <c r="V35" i="15"/>
  <c r="C39" i="16"/>
  <c r="AB39" i="16" s="1"/>
  <c r="AH39" i="16" s="1"/>
  <c r="J35" i="15"/>
  <c r="X35" i="15" s="1"/>
  <c r="AJ27" i="19"/>
  <c r="U56" i="17"/>
  <c r="U56" i="16"/>
  <c r="K12" i="34"/>
  <c r="M12" i="34" s="1"/>
  <c r="S12" i="34" s="1"/>
  <c r="K11" i="34"/>
  <c r="S11" i="34" s="1"/>
  <c r="L11" i="32"/>
  <c r="J13" i="33" s="1"/>
  <c r="D11" i="32"/>
  <c r="K14" i="31"/>
  <c r="C14" i="31"/>
  <c r="A8" i="31"/>
  <c r="A7" i="32" s="1"/>
  <c r="A7" i="33" s="1"/>
  <c r="AH35" i="15" l="1"/>
  <c r="D13" i="33"/>
  <c r="N24" i="22" l="1"/>
  <c r="AB8" i="18"/>
  <c r="AB12" i="17"/>
  <c r="A40" i="14"/>
  <c r="A6" i="14"/>
  <c r="A6" i="13"/>
  <c r="A40" i="13"/>
  <c r="A39" i="12"/>
  <c r="A6" i="12"/>
  <c r="A6" i="11"/>
  <c r="A42" i="11"/>
  <c r="A42" i="10"/>
  <c r="A6" i="10"/>
  <c r="A50" i="9"/>
  <c r="A49" i="8"/>
  <c r="A6" i="9"/>
  <c r="A6" i="8"/>
  <c r="AD49" i="2" l="1"/>
  <c r="AD50" i="2"/>
  <c r="S26" i="16"/>
  <c r="AD11" i="2"/>
  <c r="X11" i="2"/>
  <c r="N11" i="2"/>
  <c r="J11" i="2"/>
  <c r="R11" i="2" s="1"/>
  <c r="X12" i="2"/>
  <c r="V12" i="2"/>
  <c r="P12" i="2"/>
  <c r="N12" i="2"/>
  <c r="L12" i="2"/>
  <c r="J12" i="2"/>
  <c r="R12" i="2" s="1"/>
  <c r="H12" i="2"/>
  <c r="S26" i="17" l="1"/>
  <c r="AA23" i="41"/>
  <c r="D36" i="40" l="1"/>
  <c r="D22" i="40"/>
  <c r="D16" i="40"/>
  <c r="C47" i="39"/>
  <c r="C38" i="39"/>
  <c r="C28" i="39"/>
  <c r="C22" i="39"/>
  <c r="D24" i="40" l="1"/>
  <c r="D47" i="40" s="1"/>
  <c r="C30" i="39"/>
  <c r="C50" i="39" s="1"/>
  <c r="AI86" i="18" l="1"/>
  <c r="R22" i="18"/>
  <c r="Q26" i="16" l="1"/>
  <c r="H51" i="2"/>
  <c r="P59" i="22"/>
  <c r="R51" i="18"/>
  <c r="N41" i="43"/>
  <c r="Q56" i="16" l="1"/>
  <c r="Q56" i="17"/>
  <c r="J29" i="36"/>
  <c r="L24" i="22" l="1"/>
  <c r="O60" i="24"/>
  <c r="N51" i="18"/>
  <c r="N22" i="18"/>
  <c r="M44" i="26"/>
  <c r="O60" i="25"/>
  <c r="O67" i="25" s="1"/>
  <c r="O42" i="25"/>
  <c r="L69" i="22"/>
  <c r="N88" i="21"/>
  <c r="N98" i="20"/>
  <c r="N105" i="20" s="1"/>
  <c r="N35" i="20"/>
  <c r="N28" i="20"/>
  <c r="N133" i="18"/>
  <c r="N92" i="18"/>
  <c r="N43" i="18"/>
  <c r="O56" i="17" l="1"/>
  <c r="O56" i="16"/>
  <c r="M56" i="17"/>
  <c r="M56" i="16"/>
  <c r="L33" i="37"/>
  <c r="K56" i="16"/>
  <c r="M60" i="25"/>
  <c r="M60" i="24"/>
  <c r="K56" i="17"/>
  <c r="L51" i="18"/>
  <c r="L22" i="18"/>
  <c r="J24" i="22"/>
  <c r="N37" i="20"/>
  <c r="L70" i="21" l="1"/>
  <c r="L79" i="21" s="1"/>
  <c r="L88" i="21"/>
  <c r="L52" i="21"/>
  <c r="L56" i="21" s="1"/>
  <c r="L82" i="21" l="1"/>
  <c r="N17" i="28" l="1"/>
  <c r="C63" i="17"/>
  <c r="AE93" i="17" l="1"/>
  <c r="AJ70" i="20"/>
  <c r="AL70" i="20" s="1"/>
  <c r="AG70" i="19"/>
  <c r="AE93" i="16" s="1"/>
  <c r="AB93" i="17"/>
  <c r="AH93" i="17" l="1"/>
  <c r="AJ93" i="17" s="1"/>
  <c r="N23" i="15" l="1"/>
  <c r="F22" i="18"/>
  <c r="E44" i="26"/>
  <c r="U26" i="17"/>
  <c r="U26" i="16"/>
  <c r="W79" i="23"/>
  <c r="E56" i="16" l="1"/>
  <c r="E56" i="17"/>
  <c r="E48" i="16"/>
  <c r="G25" i="41"/>
  <c r="R33" i="37" l="1"/>
  <c r="C124" i="17" l="1"/>
  <c r="M16" i="40"/>
  <c r="M36" i="40" l="1"/>
  <c r="M24" i="40"/>
  <c r="Y35" i="41" l="1"/>
  <c r="Y25" i="41"/>
  <c r="W25" i="41"/>
  <c r="U35" i="41"/>
  <c r="U25" i="41"/>
  <c r="S35" i="41"/>
  <c r="S25" i="41"/>
  <c r="Q35" i="41"/>
  <c r="Q25" i="41"/>
  <c r="O35" i="41"/>
  <c r="O25" i="41"/>
  <c r="M35" i="41"/>
  <c r="K35" i="41"/>
  <c r="I35" i="41"/>
  <c r="I25" i="41"/>
  <c r="G35" i="41"/>
  <c r="G38" i="41" l="1"/>
  <c r="W38" i="41"/>
  <c r="I38" i="41"/>
  <c r="M38" i="41"/>
  <c r="Q38" i="41"/>
  <c r="U38" i="41"/>
  <c r="Y38" i="41"/>
  <c r="K38" i="41"/>
  <c r="O38" i="41"/>
  <c r="S38" i="41"/>
  <c r="F20" i="33"/>
  <c r="H20" i="33"/>
  <c r="J17" i="33"/>
  <c r="A41" i="12" l="1"/>
  <c r="W26" i="17" l="1"/>
  <c r="W23" i="26"/>
  <c r="W26" i="16" l="1"/>
  <c r="F20" i="15" l="1"/>
  <c r="AI50" i="18"/>
  <c r="AK50" i="18" s="1"/>
  <c r="F53" i="15"/>
  <c r="N53" i="15"/>
  <c r="AG23" i="22"/>
  <c r="AI23" i="22" s="1"/>
  <c r="Y22" i="24"/>
  <c r="Y27" i="24"/>
  <c r="Y30" i="24"/>
  <c r="Y60" i="24"/>
  <c r="Y78" i="24"/>
  <c r="Y85" i="24" s="1"/>
  <c r="J22" i="18" l="1"/>
  <c r="J51" i="18"/>
  <c r="K60" i="24"/>
  <c r="X53" i="15"/>
  <c r="AH53" i="15" s="1"/>
  <c r="AJ53" i="15" s="1"/>
  <c r="H24" i="22"/>
  <c r="V53" i="15"/>
  <c r="AB55" i="17"/>
  <c r="AH55" i="17" s="1"/>
  <c r="AJ55" i="17" s="1"/>
  <c r="AB55" i="16"/>
  <c r="AH55" i="16" s="1"/>
  <c r="AJ55" i="16" s="1"/>
  <c r="Y32" i="24"/>
  <c r="Y64" i="24" s="1"/>
  <c r="Y88" i="24" s="1"/>
  <c r="I56" i="17" l="1"/>
  <c r="I56" i="16"/>
  <c r="U121" i="16"/>
  <c r="U130" i="16" s="1"/>
  <c r="Z43" i="37" l="1"/>
  <c r="AE22" i="16"/>
  <c r="F23" i="15"/>
  <c r="V23" i="15"/>
  <c r="AD24" i="22"/>
  <c r="AC51" i="18"/>
  <c r="AF51" i="18"/>
  <c r="AA42" i="3"/>
  <c r="J42" i="3"/>
  <c r="T42" i="3" s="1"/>
  <c r="F24" i="22"/>
  <c r="C21" i="17"/>
  <c r="C21" i="16"/>
  <c r="AB21" i="16" s="1"/>
  <c r="E35" i="41"/>
  <c r="C35" i="41"/>
  <c r="AA34" i="41"/>
  <c r="AA33" i="41"/>
  <c r="AA32" i="41"/>
  <c r="AA31" i="41"/>
  <c r="AA30" i="41"/>
  <c r="C25" i="41"/>
  <c r="AA24" i="41"/>
  <c r="AA22" i="41"/>
  <c r="AA21" i="41"/>
  <c r="AA20" i="41"/>
  <c r="AA19" i="41"/>
  <c r="AA17" i="41"/>
  <c r="AA16" i="41"/>
  <c r="AA15" i="41"/>
  <c r="AA14" i="41"/>
  <c r="L54" i="15" l="1"/>
  <c r="H22" i="18"/>
  <c r="I60" i="24"/>
  <c r="AD42" i="3"/>
  <c r="AF42" i="3" s="1"/>
  <c r="AB128" i="17"/>
  <c r="R42" i="3"/>
  <c r="H51" i="18"/>
  <c r="E38" i="41"/>
  <c r="AA25" i="41"/>
  <c r="C38" i="41"/>
  <c r="AA35" i="41"/>
  <c r="G56" i="17" l="1"/>
  <c r="D54" i="15"/>
  <c r="G56" i="16"/>
  <c r="C25" i="17"/>
  <c r="Q76" i="25"/>
  <c r="AA38" i="41"/>
  <c r="N43" i="37" l="1"/>
  <c r="N59" i="22"/>
  <c r="N47" i="22"/>
  <c r="P80" i="20"/>
  <c r="Q60" i="24"/>
  <c r="P52" i="21"/>
  <c r="P56" i="21" s="1"/>
  <c r="O44" i="26"/>
  <c r="N25" i="28"/>
  <c r="N28" i="28" s="1"/>
  <c r="P70" i="21"/>
  <c r="P79" i="21" s="1"/>
  <c r="N33" i="28"/>
  <c r="Q95" i="24"/>
  <c r="O26" i="17" l="1"/>
  <c r="O26" i="16"/>
  <c r="R43" i="18"/>
  <c r="P82" i="21"/>
  <c r="O103" i="17"/>
  <c r="O139" i="17"/>
  <c r="Q26" i="17" l="1"/>
  <c r="A52" i="9"/>
  <c r="M16" i="34" l="1"/>
  <c r="E49" i="9"/>
  <c r="M100" i="42"/>
  <c r="O202" i="42"/>
  <c r="G26" i="31"/>
  <c r="K116" i="30"/>
  <c r="N37" i="43"/>
  <c r="V43" i="18" l="1"/>
  <c r="D16" i="2" s="1"/>
  <c r="V36" i="18"/>
  <c r="D15" i="2" s="1"/>
  <c r="V92" i="18"/>
  <c r="D18" i="2" s="1"/>
  <c r="V110" i="18"/>
  <c r="V116" i="18" s="1"/>
  <c r="V133" i="18" l="1"/>
  <c r="Y31" i="23" l="1"/>
  <c r="Y23" i="23" l="1"/>
  <c r="A42" i="14"/>
  <c r="A42" i="13"/>
  <c r="A44" i="11"/>
  <c r="A44" i="10"/>
  <c r="A51" i="8"/>
  <c r="M26" i="16" l="1"/>
  <c r="Y61" i="23"/>
  <c r="Y79" i="23"/>
  <c r="Y86" i="23" s="1"/>
  <c r="M26" i="17" l="1"/>
  <c r="O61" i="23"/>
  <c r="T98" i="20"/>
  <c r="C24" i="16" l="1"/>
  <c r="C24" i="17"/>
  <c r="J18" i="33"/>
  <c r="AA31" i="23" l="1"/>
  <c r="AA95" i="24" l="1"/>
  <c r="Z35" i="19"/>
  <c r="Z36" i="18"/>
  <c r="Z22" i="18"/>
  <c r="Z26" i="18" s="1"/>
  <c r="Z28" i="19"/>
  <c r="Z92" i="18"/>
  <c r="AA60" i="24"/>
  <c r="AA23" i="23"/>
  <c r="Z110" i="18"/>
  <c r="Z116" i="18" s="1"/>
  <c r="AA78" i="24"/>
  <c r="AA85" i="24" s="1"/>
  <c r="Z98" i="20"/>
  <c r="Z105" i="20" s="1"/>
  <c r="AA28" i="23"/>
  <c r="Z43" i="18"/>
  <c r="M194" i="42"/>
  <c r="AA96" i="23" l="1"/>
  <c r="Y48" i="16"/>
  <c r="Y103" i="17"/>
  <c r="Y41" i="17"/>
  <c r="Z80" i="19"/>
  <c r="Z80" i="20"/>
  <c r="Y26" i="16"/>
  <c r="Y30" i="16" s="1"/>
  <c r="Y48" i="17"/>
  <c r="Y121" i="17"/>
  <c r="Y130" i="17" s="1"/>
  <c r="Y26" i="17"/>
  <c r="AA33" i="23"/>
  <c r="AA79" i="23"/>
  <c r="AA86" i="23" s="1"/>
  <c r="Y103" i="16"/>
  <c r="AA61" i="23"/>
  <c r="Z98" i="19"/>
  <c r="Z107" i="19" s="1"/>
  <c r="Y41" i="16"/>
  <c r="X37" i="43"/>
  <c r="V37" i="43"/>
  <c r="P37" i="43"/>
  <c r="J37" i="43"/>
  <c r="H37" i="43"/>
  <c r="F37" i="43"/>
  <c r="B37" i="43"/>
  <c r="AD114" i="20" l="1"/>
  <c r="AC22" i="18"/>
  <c r="AC26" i="18" s="1"/>
  <c r="G28" i="9"/>
  <c r="P18" i="6"/>
  <c r="C29" i="16"/>
  <c r="C71" i="17"/>
  <c r="C80" i="17"/>
  <c r="C101" i="17"/>
  <c r="C112" i="30"/>
  <c r="AG42" i="25"/>
  <c r="P18" i="5"/>
  <c r="C23" i="16"/>
  <c r="AA39" i="27"/>
  <c r="G39" i="9"/>
  <c r="AD95" i="24"/>
  <c r="C37" i="17"/>
  <c r="AL85" i="21"/>
  <c r="AG37" i="27"/>
  <c r="AI37" i="27" s="1"/>
  <c r="AE22" i="17"/>
  <c r="F19" i="6"/>
  <c r="C154" i="30"/>
  <c r="AD42" i="25"/>
  <c r="AD46" i="25" s="1"/>
  <c r="C52" i="17"/>
  <c r="C84" i="17"/>
  <c r="C35" i="17"/>
  <c r="C33" i="17"/>
  <c r="AD60" i="24"/>
  <c r="C94" i="17"/>
  <c r="B26" i="6"/>
  <c r="C118" i="17"/>
  <c r="C97" i="17"/>
  <c r="C96" i="17"/>
  <c r="AG95" i="24"/>
  <c r="AD60" i="25"/>
  <c r="AD67" i="25" s="1"/>
  <c r="C127" i="17"/>
  <c r="C26" i="31"/>
  <c r="AC96" i="23"/>
  <c r="P25" i="5"/>
  <c r="AE96" i="17"/>
  <c r="L37" i="15"/>
  <c r="C102" i="17"/>
  <c r="AD47" i="22"/>
  <c r="C79" i="17"/>
  <c r="AG101" i="19"/>
  <c r="C24" i="30"/>
  <c r="E94" i="23"/>
  <c r="AF22" i="18"/>
  <c r="B19" i="6"/>
  <c r="C99" i="17"/>
  <c r="D22" i="18"/>
  <c r="AD69" i="22"/>
  <c r="C81" i="17"/>
  <c r="AD59" i="22"/>
  <c r="AI21" i="23"/>
  <c r="C52" i="16"/>
  <c r="C115" i="17"/>
  <c r="C36" i="17"/>
  <c r="C23" i="17"/>
  <c r="C65" i="17"/>
  <c r="Y121" i="16"/>
  <c r="Y130" i="16" s="1"/>
  <c r="AA65" i="23"/>
  <c r="AA89" i="23" s="1"/>
  <c r="AI22" i="18" l="1"/>
  <c r="AK22" i="18" s="1"/>
  <c r="C72" i="17"/>
  <c r="C44" i="17"/>
  <c r="C68" i="17"/>
  <c r="B21" i="5"/>
  <c r="C91" i="17"/>
  <c r="C120" i="17"/>
  <c r="C98" i="17"/>
  <c r="C119" i="17"/>
  <c r="C74" i="17"/>
  <c r="C66" i="17"/>
  <c r="C45" i="17"/>
  <c r="C47" i="17"/>
  <c r="C86" i="17"/>
  <c r="C95" i="17"/>
  <c r="B29" i="5"/>
  <c r="D110" i="18"/>
  <c r="D116" i="18" s="1"/>
  <c r="E93" i="23"/>
  <c r="C137" i="17"/>
  <c r="C111" i="17"/>
  <c r="C85" i="17"/>
  <c r="C125" i="17"/>
  <c r="C87" i="17"/>
  <c r="C77" i="17"/>
  <c r="C100" i="17"/>
  <c r="C28" i="16"/>
  <c r="AB28" i="16" s="1"/>
  <c r="C105" i="17"/>
  <c r="C92" i="17"/>
  <c r="AE137" i="17"/>
  <c r="AA50" i="3"/>
  <c r="D133" i="18"/>
  <c r="C34" i="17"/>
  <c r="C27" i="17"/>
  <c r="C50" i="17"/>
  <c r="C28" i="17"/>
  <c r="C43" i="17"/>
  <c r="C127" i="16"/>
  <c r="C70" i="17"/>
  <c r="C70" i="16"/>
  <c r="B29" i="6"/>
  <c r="C54" i="16"/>
  <c r="C54" i="17"/>
  <c r="C89" i="17"/>
  <c r="C82" i="17"/>
  <c r="C75" i="17"/>
  <c r="D92" i="18"/>
  <c r="C62" i="17"/>
  <c r="C38" i="17"/>
  <c r="C32" i="17"/>
  <c r="C50" i="16"/>
  <c r="C29" i="17"/>
  <c r="C67" i="17"/>
  <c r="C51" i="17"/>
  <c r="C51" i="16"/>
  <c r="C76" i="17"/>
  <c r="C73" i="17"/>
  <c r="C112" i="17"/>
  <c r="C113" i="17"/>
  <c r="C26" i="17"/>
  <c r="C22" i="16"/>
  <c r="C26" i="16" s="1"/>
  <c r="D21" i="15"/>
  <c r="D25" i="15" s="1"/>
  <c r="C46" i="17"/>
  <c r="C123" i="17"/>
  <c r="C53" i="17"/>
  <c r="C117" i="17"/>
  <c r="C116" i="17"/>
  <c r="C88" i="17"/>
  <c r="V17" i="29"/>
  <c r="V17" i="28"/>
  <c r="C41" i="17" l="1"/>
  <c r="C56" i="17"/>
  <c r="D34" i="2"/>
  <c r="D42" i="2" s="1"/>
  <c r="D37" i="15"/>
  <c r="D45" i="15"/>
  <c r="C136" i="17"/>
  <c r="G26" i="17"/>
  <c r="G30" i="17" s="1"/>
  <c r="G26" i="16"/>
  <c r="G30" i="16" s="1"/>
  <c r="G41" i="17"/>
  <c r="G41" i="16"/>
  <c r="G48" i="17"/>
  <c r="G103" i="17"/>
  <c r="G48" i="16"/>
  <c r="G121" i="17"/>
  <c r="G130" i="17" s="1"/>
  <c r="AB80" i="19"/>
  <c r="AB35" i="19"/>
  <c r="AB28" i="19"/>
  <c r="D56" i="15" l="1"/>
  <c r="AB37" i="19"/>
  <c r="AB84" i="19" s="1"/>
  <c r="G103" i="16"/>
  <c r="G121" i="16"/>
  <c r="G130" i="16" s="1"/>
  <c r="G58" i="17"/>
  <c r="G107" i="17" s="1"/>
  <c r="G133" i="17" s="1"/>
  <c r="G58" i="16"/>
  <c r="G107" i="16" l="1"/>
  <c r="G133" i="16" s="1"/>
  <c r="AJ77" i="20" l="1"/>
  <c r="J70" i="21"/>
  <c r="J79" i="21" s="1"/>
  <c r="I34" i="10"/>
  <c r="P32" i="6"/>
  <c r="L25" i="37"/>
  <c r="L17" i="28"/>
  <c r="L20" i="22"/>
  <c r="Q78" i="24"/>
  <c r="Q85" i="24" s="1"/>
  <c r="Q30" i="24"/>
  <c r="L26" i="22" l="1"/>
  <c r="H25" i="29"/>
  <c r="J88" i="21"/>
  <c r="I26" i="17" l="1"/>
  <c r="I26" i="16"/>
  <c r="K15" i="30"/>
  <c r="AB93" i="16"/>
  <c r="AH93" i="16" s="1"/>
  <c r="AJ93" i="16" s="1"/>
  <c r="AJ21" i="24"/>
  <c r="AL21" i="24" s="1"/>
  <c r="V47" i="22"/>
  <c r="V59" i="22"/>
  <c r="V33" i="29"/>
  <c r="V25" i="28"/>
  <c r="V28" i="28" s="1"/>
  <c r="V25" i="29"/>
  <c r="V28" i="29" s="1"/>
  <c r="P28" i="20"/>
  <c r="P116" i="19"/>
  <c r="P28" i="19"/>
  <c r="P37" i="19" s="1"/>
  <c r="AB21" i="17" l="1"/>
  <c r="AF93" i="23"/>
  <c r="AF94" i="23"/>
  <c r="L43" i="18"/>
  <c r="L110" i="18"/>
  <c r="L116" i="18" s="1"/>
  <c r="L26" i="18"/>
  <c r="L36" i="18"/>
  <c r="AJ70" i="19"/>
  <c r="AL70" i="19" s="1"/>
  <c r="N70" i="21"/>
  <c r="N79" i="21" s="1"/>
  <c r="L25" i="29"/>
  <c r="L28" i="27"/>
  <c r="M23" i="26"/>
  <c r="O78" i="24"/>
  <c r="O85" i="24" s="1"/>
  <c r="L47" i="22"/>
  <c r="M33" i="26"/>
  <c r="L19" i="27"/>
  <c r="O30" i="24"/>
  <c r="L59" i="22"/>
  <c r="L17" i="29"/>
  <c r="O27" i="24"/>
  <c r="L25" i="28"/>
  <c r="L28" i="28" s="1"/>
  <c r="N52" i="21"/>
  <c r="N56" i="21" s="1"/>
  <c r="V33" i="28"/>
  <c r="V37" i="28" s="1"/>
  <c r="V20" i="22"/>
  <c r="V69" i="22"/>
  <c r="V37" i="29"/>
  <c r="K26" i="17" l="1"/>
  <c r="K26" i="16"/>
  <c r="M61" i="23"/>
  <c r="N82" i="21"/>
  <c r="H35" i="3"/>
  <c r="H43" i="3" s="1"/>
  <c r="L53" i="18"/>
  <c r="L96" i="18" s="1"/>
  <c r="AG45" i="22"/>
  <c r="AI45" i="22" s="1"/>
  <c r="G30" i="24"/>
  <c r="AG27" i="24"/>
  <c r="AE100" i="17"/>
  <c r="AK86" i="18"/>
  <c r="M30" i="16"/>
  <c r="L28" i="29"/>
  <c r="M37" i="26"/>
  <c r="M49" i="26" s="1"/>
  <c r="L32" i="27"/>
  <c r="M121" i="17"/>
  <c r="M130" i="17" s="1"/>
  <c r="M30" i="17"/>
  <c r="L51" i="22"/>
  <c r="L62" i="22" s="1"/>
  <c r="L74" i="22" s="1"/>
  <c r="O28" i="23"/>
  <c r="O79" i="23"/>
  <c r="O86" i="23" s="1"/>
  <c r="M41" i="17"/>
  <c r="M48" i="17"/>
  <c r="O31" i="23"/>
  <c r="N28" i="19"/>
  <c r="M103" i="17"/>
  <c r="N80" i="20"/>
  <c r="L45" i="15"/>
  <c r="L25" i="15"/>
  <c r="M48" i="16" l="1"/>
  <c r="L56" i="15"/>
  <c r="F28" i="19"/>
  <c r="F35" i="19"/>
  <c r="G23" i="23"/>
  <c r="G28" i="23"/>
  <c r="Y58" i="16"/>
  <c r="Y107" i="16" s="1"/>
  <c r="Y133" i="16" s="1"/>
  <c r="M103" i="16"/>
  <c r="M121" i="16"/>
  <c r="M130" i="16" s="1"/>
  <c r="M58" i="17"/>
  <c r="M139" i="17"/>
  <c r="N84" i="20"/>
  <c r="N108" i="20" s="1"/>
  <c r="L34" i="2"/>
  <c r="Z53" i="18" l="1"/>
  <c r="Z96" i="18" s="1"/>
  <c r="Z119" i="18" s="1"/>
  <c r="G79" i="23"/>
  <c r="G86" i="23" s="1"/>
  <c r="G61" i="23"/>
  <c r="G31" i="23"/>
  <c r="F98" i="19"/>
  <c r="F107" i="19" s="1"/>
  <c r="G33" i="23" l="1"/>
  <c r="G65" i="23" s="1"/>
  <c r="G89" i="23" s="1"/>
  <c r="F80" i="19"/>
  <c r="S31" i="23" l="1"/>
  <c r="L22" i="39"/>
  <c r="L47" i="39"/>
  <c r="L38" i="39"/>
  <c r="L28" i="39"/>
  <c r="L30" i="39" l="1"/>
  <c r="L50" i="39" l="1"/>
  <c r="L52" i="39" s="1"/>
  <c r="C46" i="16"/>
  <c r="X114" i="20" l="1"/>
  <c r="M47" i="40"/>
  <c r="M49" i="40" s="1"/>
  <c r="D49" i="40" l="1"/>
  <c r="C52" i="39"/>
  <c r="E59" i="23"/>
  <c r="AF59" i="23" s="1"/>
  <c r="E60" i="23"/>
  <c r="C79" i="16"/>
  <c r="AD54" i="19"/>
  <c r="X35" i="19"/>
  <c r="X28" i="19"/>
  <c r="X98" i="19"/>
  <c r="X107" i="19" s="1"/>
  <c r="F12" i="40" l="1"/>
  <c r="F49" i="40" s="1"/>
  <c r="H12" i="40" s="1"/>
  <c r="E12" i="39"/>
  <c r="E52" i="39" s="1"/>
  <c r="X37" i="19"/>
  <c r="C34" i="16"/>
  <c r="C100" i="16"/>
  <c r="AB100" i="16" s="1"/>
  <c r="AD21" i="19"/>
  <c r="E52" i="23"/>
  <c r="AF52" i="23" s="1"/>
  <c r="AK66" i="18"/>
  <c r="E70" i="23"/>
  <c r="E48" i="23"/>
  <c r="AE35" i="17"/>
  <c r="E58" i="23"/>
  <c r="E30" i="23"/>
  <c r="P54" i="15" s="1"/>
  <c r="P23" i="6"/>
  <c r="C99" i="16"/>
  <c r="AC43" i="18"/>
  <c r="AG22" i="19"/>
  <c r="AI66" i="18"/>
  <c r="E22" i="23"/>
  <c r="E77" i="23"/>
  <c r="AE92" i="17"/>
  <c r="E26" i="23"/>
  <c r="AJ19" i="25"/>
  <c r="F30" i="2"/>
  <c r="AD28" i="20"/>
  <c r="AA47" i="22"/>
  <c r="G23" i="12" s="1"/>
  <c r="C80" i="16"/>
  <c r="AC110" i="18"/>
  <c r="AC116" i="18" s="1"/>
  <c r="C92" i="16"/>
  <c r="C101" i="16"/>
  <c r="AI43" i="23"/>
  <c r="AI74" i="23"/>
  <c r="E63" i="23"/>
  <c r="C71" i="16"/>
  <c r="P35" i="5"/>
  <c r="E69" i="23"/>
  <c r="E74" i="23"/>
  <c r="I25" i="10"/>
  <c r="C66" i="16"/>
  <c r="E25" i="23"/>
  <c r="C81" i="16"/>
  <c r="E57" i="23"/>
  <c r="AC92" i="18"/>
  <c r="E43" i="23"/>
  <c r="AF43" i="23" s="1"/>
  <c r="E20" i="23"/>
  <c r="AF20" i="23" s="1"/>
  <c r="E27" i="23"/>
  <c r="AF27" i="23" s="1"/>
  <c r="E54" i="23"/>
  <c r="F28" i="2"/>
  <c r="E21" i="23"/>
  <c r="AJ32" i="25"/>
  <c r="E81" i="23"/>
  <c r="X80" i="19"/>
  <c r="AC79" i="23"/>
  <c r="AC86" i="23" s="1"/>
  <c r="AC61" i="23"/>
  <c r="AC31" i="23"/>
  <c r="AC28" i="23"/>
  <c r="AC23" i="23"/>
  <c r="H49" i="40" l="1"/>
  <c r="G12" i="39"/>
  <c r="G52" i="39" s="1"/>
  <c r="P45" i="15"/>
  <c r="AF21" i="23"/>
  <c r="AF22" i="23"/>
  <c r="C53" i="16"/>
  <c r="C56" i="16" s="1"/>
  <c r="AD114" i="19"/>
  <c r="C45" i="16"/>
  <c r="C35" i="16"/>
  <c r="AB35" i="16" s="1"/>
  <c r="C37" i="16"/>
  <c r="C32" i="16"/>
  <c r="AD100" i="19"/>
  <c r="C43" i="16"/>
  <c r="C84" i="16"/>
  <c r="C33" i="16"/>
  <c r="C38" i="16"/>
  <c r="C112" i="16"/>
  <c r="C98" i="16"/>
  <c r="C116" i="16"/>
  <c r="C47" i="16"/>
  <c r="C123" i="16"/>
  <c r="C44" i="16"/>
  <c r="C36" i="16"/>
  <c r="AD51" i="19"/>
  <c r="C74" i="16"/>
  <c r="AD59" i="19"/>
  <c r="E103" i="16"/>
  <c r="E103" i="17"/>
  <c r="AB23" i="16"/>
  <c r="E41" i="16"/>
  <c r="E41" i="17"/>
  <c r="E121" i="17"/>
  <c r="E130" i="17" s="1"/>
  <c r="E121" i="16"/>
  <c r="AB24" i="17"/>
  <c r="E48" i="17"/>
  <c r="E42" i="23"/>
  <c r="E82" i="23"/>
  <c r="C67" i="16"/>
  <c r="C102" i="16"/>
  <c r="C73" i="16"/>
  <c r="C89" i="16"/>
  <c r="C86" i="16"/>
  <c r="C85" i="16"/>
  <c r="AC53" i="18"/>
  <c r="AC96" i="18" s="1"/>
  <c r="AC119" i="18" s="1"/>
  <c r="AC137" i="18" s="1"/>
  <c r="E50" i="23"/>
  <c r="E73" i="23"/>
  <c r="E45" i="23"/>
  <c r="C77" i="16" s="1"/>
  <c r="E92" i="23"/>
  <c r="E41" i="23"/>
  <c r="C72" i="16" s="1"/>
  <c r="C62" i="16"/>
  <c r="D28" i="19"/>
  <c r="C96" i="16"/>
  <c r="D35" i="19"/>
  <c r="E56" i="23"/>
  <c r="E44" i="23"/>
  <c r="C76" i="16" s="1"/>
  <c r="E76" i="23"/>
  <c r="E39" i="23"/>
  <c r="C65" i="16" s="1"/>
  <c r="E84" i="23"/>
  <c r="AF84" i="23" s="1"/>
  <c r="E71" i="23"/>
  <c r="E37" i="23"/>
  <c r="C63" i="16" s="1"/>
  <c r="E49" i="23"/>
  <c r="E46" i="23"/>
  <c r="AF46" i="23" s="1"/>
  <c r="E83" i="23"/>
  <c r="C68" i="16"/>
  <c r="E55" i="23"/>
  <c r="C97" i="16"/>
  <c r="E78" i="23"/>
  <c r="E75" i="23"/>
  <c r="AF75" i="23" s="1"/>
  <c r="C91" i="16"/>
  <c r="C75" i="16"/>
  <c r="E51" i="23"/>
  <c r="AD43" i="19"/>
  <c r="AD101" i="19"/>
  <c r="X84" i="19"/>
  <c r="X110" i="19" s="1"/>
  <c r="AC33" i="23"/>
  <c r="AC65" i="23" s="1"/>
  <c r="AC89" i="23" s="1"/>
  <c r="AC101" i="23" s="1"/>
  <c r="J12" i="40" l="1"/>
  <c r="J49" i="40" s="1"/>
  <c r="I12" i="39"/>
  <c r="I52" i="39" s="1"/>
  <c r="C41" i="16"/>
  <c r="AF78" i="23"/>
  <c r="D37" i="19"/>
  <c r="H45" i="15"/>
  <c r="H37" i="15"/>
  <c r="C115" i="16"/>
  <c r="C118" i="16"/>
  <c r="C125" i="16"/>
  <c r="C124" i="16"/>
  <c r="AF92" i="23"/>
  <c r="AF96" i="23" s="1"/>
  <c r="P51" i="2"/>
  <c r="C119" i="16"/>
  <c r="C111" i="16"/>
  <c r="C105" i="16"/>
  <c r="C95" i="16"/>
  <c r="AB22" i="17"/>
  <c r="E26" i="17"/>
  <c r="E30" i="17" s="1"/>
  <c r="E58" i="17" s="1"/>
  <c r="E107" i="17" s="1"/>
  <c r="AB22" i="16"/>
  <c r="E26" i="16"/>
  <c r="C87" i="16"/>
  <c r="C113" i="16"/>
  <c r="C94" i="16"/>
  <c r="C128" i="16"/>
  <c r="C82" i="16"/>
  <c r="C117" i="16"/>
  <c r="C88" i="16"/>
  <c r="C120" i="16"/>
  <c r="Z33" i="37"/>
  <c r="Z45" i="37" s="1"/>
  <c r="E130" i="16"/>
  <c r="D80" i="19"/>
  <c r="C139" i="17"/>
  <c r="D98" i="19"/>
  <c r="D107" i="19" s="1"/>
  <c r="D116" i="19"/>
  <c r="C121" i="17"/>
  <c r="C130" i="17" s="1"/>
  <c r="J19" i="33"/>
  <c r="J16" i="33"/>
  <c r="D20" i="33"/>
  <c r="AB137" i="16" l="1"/>
  <c r="E30" i="16"/>
  <c r="E58" i="16" s="1"/>
  <c r="E107" i="16" s="1"/>
  <c r="E133" i="16" s="1"/>
  <c r="AB26" i="16"/>
  <c r="E133" i="17"/>
  <c r="D84" i="19"/>
  <c r="D110" i="19" s="1"/>
  <c r="D120" i="19" s="1"/>
  <c r="J20" i="33"/>
  <c r="P20" i="22"/>
  <c r="H29" i="36"/>
  <c r="N35" i="19" l="1"/>
  <c r="N37" i="19" l="1"/>
  <c r="B34" i="6"/>
  <c r="B39" i="6" s="1"/>
  <c r="AE105" i="17"/>
  <c r="P47" i="22"/>
  <c r="P69" i="22"/>
  <c r="R52" i="21"/>
  <c r="R56" i="21" s="1"/>
  <c r="L42" i="2"/>
  <c r="A6" i="34"/>
  <c r="F34" i="6" l="1"/>
  <c r="S23" i="23"/>
  <c r="AA49" i="3"/>
  <c r="G30" i="9"/>
  <c r="R35" i="19"/>
  <c r="S28" i="23"/>
  <c r="L51" i="2"/>
  <c r="S61" i="23"/>
  <c r="A6" i="37"/>
  <c r="T9" i="37"/>
  <c r="B9" i="37"/>
  <c r="S33" i="23" l="1"/>
  <c r="S65" i="23" s="1"/>
  <c r="R98" i="19"/>
  <c r="R107" i="19" s="1"/>
  <c r="R80" i="19"/>
  <c r="S79" i="23"/>
  <c r="S86" i="23" s="1"/>
  <c r="S96" i="23"/>
  <c r="R28" i="19"/>
  <c r="R37" i="19" l="1"/>
  <c r="S89" i="23"/>
  <c r="S101" i="23" s="1"/>
  <c r="A6" i="43"/>
  <c r="T9" i="43"/>
  <c r="B9" i="43"/>
  <c r="AD12" i="29"/>
  <c r="AD12" i="28"/>
  <c r="AD12" i="27"/>
  <c r="AE14" i="26"/>
  <c r="AG12" i="25"/>
  <c r="AG12" i="24"/>
  <c r="AI13" i="23"/>
  <c r="AD10" i="22"/>
  <c r="AG11" i="21"/>
  <c r="AG11" i="20"/>
  <c r="AG11" i="19"/>
  <c r="AF10" i="18"/>
  <c r="AE14" i="17"/>
  <c r="AA12" i="29"/>
  <c r="AA12" i="28"/>
  <c r="AA12" i="27"/>
  <c r="AB14" i="26"/>
  <c r="AD12" i="25"/>
  <c r="AD12" i="24"/>
  <c r="AF13" i="23"/>
  <c r="AA10" i="22"/>
  <c r="AD11" i="21"/>
  <c r="AD11" i="20"/>
  <c r="AD11" i="19"/>
  <c r="AC10" i="18"/>
  <c r="AB14" i="17"/>
  <c r="T11" i="29"/>
  <c r="T11" i="28"/>
  <c r="T11" i="27"/>
  <c r="U13" i="26"/>
  <c r="W11" i="25"/>
  <c r="W11" i="24"/>
  <c r="W12" i="23"/>
  <c r="T9" i="22"/>
  <c r="V10" i="21"/>
  <c r="V10" i="20"/>
  <c r="V10" i="19"/>
  <c r="V9" i="18"/>
  <c r="U13" i="17"/>
  <c r="B11" i="29"/>
  <c r="B11" i="28"/>
  <c r="B11" i="27"/>
  <c r="C13" i="26"/>
  <c r="E11" i="25"/>
  <c r="E11" i="24"/>
  <c r="E12" i="23"/>
  <c r="B9" i="22"/>
  <c r="D10" i="21"/>
  <c r="D10" i="20"/>
  <c r="D10" i="19"/>
  <c r="D9" i="18"/>
  <c r="C13" i="17"/>
  <c r="A6" i="29"/>
  <c r="A6" i="28"/>
  <c r="A6" i="27"/>
  <c r="A6" i="26"/>
  <c r="B6" i="25"/>
  <c r="B6" i="23"/>
  <c r="A6" i="22"/>
  <c r="B6" i="21"/>
  <c r="B6" i="20"/>
  <c r="B6" i="19"/>
  <c r="B6" i="18"/>
  <c r="A6" i="17"/>
  <c r="AD13" i="15"/>
  <c r="AB13" i="15"/>
  <c r="F13" i="15"/>
  <c r="F12" i="15"/>
  <c r="D13" i="15"/>
  <c r="P15" i="6"/>
  <c r="N15" i="6"/>
  <c r="D15" i="6"/>
  <c r="D14" i="6"/>
  <c r="B15" i="6"/>
  <c r="N15" i="5"/>
  <c r="P15" i="5"/>
  <c r="D15" i="5"/>
  <c r="D14" i="5"/>
  <c r="B15" i="5"/>
  <c r="L119" i="18" l="1"/>
  <c r="B37" i="5"/>
  <c r="F29" i="15"/>
  <c r="AI50" i="23"/>
  <c r="AG17" i="19"/>
  <c r="AI83" i="18"/>
  <c r="AK83" i="18" s="1"/>
  <c r="AI56" i="23"/>
  <c r="AI60" i="23"/>
  <c r="AD98" i="20"/>
  <c r="AD105" i="20" s="1"/>
  <c r="AI26" i="23"/>
  <c r="AD35" i="20"/>
  <c r="AD37" i="20" s="1"/>
  <c r="X116" i="19" l="1"/>
  <c r="X120" i="19" s="1"/>
  <c r="Q48" i="17"/>
  <c r="Q33" i="26"/>
  <c r="P88" i="21"/>
  <c r="P92" i="21" s="1"/>
  <c r="Q41" i="17"/>
  <c r="N69" i="22"/>
  <c r="F29" i="5"/>
  <c r="V34" i="15"/>
  <c r="Q22" i="24"/>
  <c r="R26" i="18"/>
  <c r="F26" i="6"/>
  <c r="F29" i="6" s="1"/>
  <c r="F39" i="6" s="1"/>
  <c r="F37" i="5"/>
  <c r="AF57" i="23"/>
  <c r="M107" i="17" l="1"/>
  <c r="M133" i="17" s="1"/>
  <c r="M143" i="17" s="1"/>
  <c r="Q103" i="17"/>
  <c r="Q103" i="16"/>
  <c r="R88" i="21"/>
  <c r="R116" i="19"/>
  <c r="R84" i="19"/>
  <c r="R110" i="19" s="1"/>
  <c r="Q121" i="17"/>
  <c r="Q130" i="17" s="1"/>
  <c r="Q121" i="16"/>
  <c r="Q130" i="16" s="1"/>
  <c r="P98" i="19"/>
  <c r="P107" i="19" s="1"/>
  <c r="Q48" i="16"/>
  <c r="Q41" i="16"/>
  <c r="P80" i="19"/>
  <c r="P84" i="19" l="1"/>
  <c r="P110" i="19" s="1"/>
  <c r="P120" i="19" s="1"/>
  <c r="R120" i="19"/>
  <c r="Q139" i="17"/>
  <c r="AD17" i="29" l="1"/>
  <c r="AA17" i="28"/>
  <c r="AD25" i="29"/>
  <c r="AA25" i="28"/>
  <c r="AD33" i="29"/>
  <c r="AD76" i="25" l="1"/>
  <c r="AF58" i="23"/>
  <c r="AA28" i="27"/>
  <c r="AB44" i="26"/>
  <c r="AD27" i="24"/>
  <c r="AA19" i="27"/>
  <c r="AF77" i="23"/>
  <c r="AD30" i="24"/>
  <c r="AD80" i="20"/>
  <c r="AB33" i="26"/>
  <c r="AF56" i="23"/>
  <c r="AA59" i="22"/>
  <c r="AD52" i="21"/>
  <c r="AD56" i="21" s="1"/>
  <c r="AD22" i="24"/>
  <c r="AF41" i="23"/>
  <c r="AD70" i="21"/>
  <c r="AD79" i="21" s="1"/>
  <c r="AA20" i="22"/>
  <c r="AF44" i="23"/>
  <c r="AF69" i="23"/>
  <c r="AD78" i="24"/>
  <c r="AD85" i="24" s="1"/>
  <c r="AB23" i="26"/>
  <c r="AF74" i="23"/>
  <c r="AF30" i="23"/>
  <c r="AF31" i="23" s="1"/>
  <c r="AF54" i="23"/>
  <c r="AF48" i="23"/>
  <c r="AF63" i="23"/>
  <c r="AF39" i="23"/>
  <c r="AF45" i="23"/>
  <c r="AF50" i="23"/>
  <c r="AF76" i="23"/>
  <c r="AF42" i="23"/>
  <c r="AD28" i="29"/>
  <c r="AF55" i="23"/>
  <c r="AA28" i="28"/>
  <c r="H43" i="37"/>
  <c r="F43" i="37"/>
  <c r="D43" i="37"/>
  <c r="B43" i="37"/>
  <c r="H33" i="37"/>
  <c r="F33" i="37"/>
  <c r="D33" i="37"/>
  <c r="B33" i="37"/>
  <c r="H25" i="37"/>
  <c r="F25" i="37"/>
  <c r="D25" i="37"/>
  <c r="B25" i="37"/>
  <c r="AB37" i="26" l="1"/>
  <c r="AB49" i="26" s="1"/>
  <c r="K147" i="30"/>
  <c r="AD70" i="25"/>
  <c r="AD80" i="25" s="1"/>
  <c r="AD84" i="20"/>
  <c r="AD108" i="20" s="1"/>
  <c r="AD37" i="29"/>
  <c r="AA26" i="22"/>
  <c r="AA51" i="22" s="1"/>
  <c r="AA62" i="22" s="1"/>
  <c r="AA32" i="27"/>
  <c r="AA44" i="27" s="1"/>
  <c r="N98" i="19"/>
  <c r="N107" i="19" s="1"/>
  <c r="AD32" i="24"/>
  <c r="AD64" i="24" s="1"/>
  <c r="AF26" i="23"/>
  <c r="AD82" i="21"/>
  <c r="AF49" i="23"/>
  <c r="AF81" i="23"/>
  <c r="AF51" i="23"/>
  <c r="AF70" i="23"/>
  <c r="AF73" i="23"/>
  <c r="AF71" i="23"/>
  <c r="AF83" i="23"/>
  <c r="AF82" i="23"/>
  <c r="D45" i="37"/>
  <c r="H45" i="37"/>
  <c r="F45" i="37"/>
  <c r="B45" i="37"/>
  <c r="AA74" i="22" l="1"/>
  <c r="AD88" i="24"/>
  <c r="AD100" i="24" s="1"/>
  <c r="N80" i="19"/>
  <c r="AB98" i="19"/>
  <c r="G188" i="42" l="1"/>
  <c r="N84" i="19"/>
  <c r="N110" i="19" s="1"/>
  <c r="F25" i="29"/>
  <c r="D25" i="29"/>
  <c r="B25" i="29"/>
  <c r="H17" i="29"/>
  <c r="F17" i="29"/>
  <c r="D17" i="29"/>
  <c r="B17" i="29"/>
  <c r="F25" i="28"/>
  <c r="D25" i="28"/>
  <c r="B25" i="28"/>
  <c r="H25" i="28"/>
  <c r="F17" i="28"/>
  <c r="D17" i="28"/>
  <c r="B17" i="28"/>
  <c r="H17" i="28"/>
  <c r="H28" i="27"/>
  <c r="F28" i="27"/>
  <c r="D28" i="27"/>
  <c r="B28" i="27"/>
  <c r="H19" i="27"/>
  <c r="F19" i="27"/>
  <c r="D19" i="27"/>
  <c r="B19" i="27"/>
  <c r="I33" i="26"/>
  <c r="G33" i="26"/>
  <c r="E33" i="26"/>
  <c r="C33" i="26"/>
  <c r="I23" i="26"/>
  <c r="G23" i="26"/>
  <c r="E23" i="26"/>
  <c r="C23" i="26"/>
  <c r="K60" i="25"/>
  <c r="K67" i="25" s="1"/>
  <c r="I60" i="25"/>
  <c r="I67" i="25" s="1"/>
  <c r="G60" i="25"/>
  <c r="G67" i="25" s="1"/>
  <c r="E60" i="25"/>
  <c r="E67" i="25" s="1"/>
  <c r="K42" i="25"/>
  <c r="K46" i="25" s="1"/>
  <c r="I42" i="25"/>
  <c r="I46" i="25" s="1"/>
  <c r="G42" i="25"/>
  <c r="G46" i="25" s="1"/>
  <c r="E42" i="25"/>
  <c r="E46" i="25" s="1"/>
  <c r="K78" i="24"/>
  <c r="K85" i="24" s="1"/>
  <c r="I78" i="24"/>
  <c r="I85" i="24" s="1"/>
  <c r="G78" i="24"/>
  <c r="G85" i="24" s="1"/>
  <c r="E78" i="24"/>
  <c r="E85" i="24" s="1"/>
  <c r="G60" i="24"/>
  <c r="E60" i="24"/>
  <c r="K30" i="24"/>
  <c r="I30" i="24"/>
  <c r="E30" i="24"/>
  <c r="K27" i="24"/>
  <c r="I27" i="24"/>
  <c r="G27" i="24"/>
  <c r="E27" i="24"/>
  <c r="K22" i="24"/>
  <c r="I22" i="24"/>
  <c r="G22" i="24"/>
  <c r="E22" i="24"/>
  <c r="K31" i="23"/>
  <c r="I31" i="23"/>
  <c r="E31" i="23"/>
  <c r="K28" i="23"/>
  <c r="H59" i="22"/>
  <c r="F59" i="22"/>
  <c r="D59" i="22"/>
  <c r="B59" i="22"/>
  <c r="H47" i="22"/>
  <c r="F47" i="22"/>
  <c r="D47" i="22"/>
  <c r="B47" i="22"/>
  <c r="H20" i="22"/>
  <c r="F20" i="22"/>
  <c r="D20" i="22"/>
  <c r="B20" i="22"/>
  <c r="H70" i="21"/>
  <c r="H79" i="21" s="1"/>
  <c r="F70" i="21"/>
  <c r="F79" i="21" s="1"/>
  <c r="D70" i="21"/>
  <c r="D79" i="21" s="1"/>
  <c r="J52" i="21"/>
  <c r="J56" i="21" s="1"/>
  <c r="J82" i="21" s="1"/>
  <c r="H52" i="21"/>
  <c r="H56" i="21" s="1"/>
  <c r="F52" i="21"/>
  <c r="F56" i="21" s="1"/>
  <c r="D52" i="21"/>
  <c r="D56" i="21" s="1"/>
  <c r="J98" i="20"/>
  <c r="J105" i="20" s="1"/>
  <c r="H98" i="20"/>
  <c r="H105" i="20" s="1"/>
  <c r="F98" i="20"/>
  <c r="F105" i="20" s="1"/>
  <c r="D98" i="20"/>
  <c r="D105" i="20" s="1"/>
  <c r="J80" i="20"/>
  <c r="H80" i="20"/>
  <c r="F80" i="20"/>
  <c r="D80" i="20"/>
  <c r="J35" i="20"/>
  <c r="H35" i="20"/>
  <c r="F35" i="20"/>
  <c r="D35" i="20"/>
  <c r="J28" i="20"/>
  <c r="H28" i="20"/>
  <c r="F28" i="20"/>
  <c r="D28" i="20"/>
  <c r="G110" i="19"/>
  <c r="J35" i="19"/>
  <c r="H35" i="19"/>
  <c r="J110" i="18"/>
  <c r="J116" i="18" s="1"/>
  <c r="H110" i="18"/>
  <c r="H116" i="18" s="1"/>
  <c r="F110" i="18"/>
  <c r="F116" i="18" s="1"/>
  <c r="J92" i="18"/>
  <c r="H92" i="18"/>
  <c r="F92" i="18"/>
  <c r="J43" i="18"/>
  <c r="H43" i="18"/>
  <c r="F43" i="18"/>
  <c r="D43" i="18"/>
  <c r="J36" i="18"/>
  <c r="H36" i="18"/>
  <c r="F36" i="18"/>
  <c r="D36" i="18"/>
  <c r="J26" i="18"/>
  <c r="H26" i="18"/>
  <c r="F26" i="18"/>
  <c r="J37" i="20" l="1"/>
  <c r="J84" i="20" s="1"/>
  <c r="J108" i="20" s="1"/>
  <c r="H37" i="20"/>
  <c r="H84" i="20" s="1"/>
  <c r="H108" i="20" s="1"/>
  <c r="C37" i="26"/>
  <c r="C49" i="26" s="1"/>
  <c r="F37" i="20"/>
  <c r="F84" i="20" s="1"/>
  <c r="F108" i="20" s="1"/>
  <c r="D37" i="20"/>
  <c r="D84" i="20" s="1"/>
  <c r="D108" i="20" s="1"/>
  <c r="G70" i="25"/>
  <c r="I70" i="25"/>
  <c r="D28" i="29"/>
  <c r="V26" i="22"/>
  <c r="V51" i="22" s="1"/>
  <c r="V62" i="22" s="1"/>
  <c r="V74" i="22" s="1"/>
  <c r="F28" i="29"/>
  <c r="J53" i="18"/>
  <c r="J96" i="18" s="1"/>
  <c r="J119" i="18" s="1"/>
  <c r="H26" i="22"/>
  <c r="H51" i="22" s="1"/>
  <c r="H62" i="22" s="1"/>
  <c r="P26" i="22"/>
  <c r="P51" i="22" s="1"/>
  <c r="P62" i="22" s="1"/>
  <c r="P74" i="22" s="1"/>
  <c r="Q30" i="17"/>
  <c r="Q58" i="17" s="1"/>
  <c r="Q107" i="17" s="1"/>
  <c r="Q133" i="17" s="1"/>
  <c r="Q143" i="17" s="1"/>
  <c r="F32" i="27"/>
  <c r="H28" i="29"/>
  <c r="K70" i="25"/>
  <c r="G37" i="26"/>
  <c r="D32" i="27"/>
  <c r="I37" i="26"/>
  <c r="D28" i="28"/>
  <c r="H32" i="27"/>
  <c r="H28" i="19"/>
  <c r="H98" i="19"/>
  <c r="H107" i="19" s="1"/>
  <c r="H53" i="18"/>
  <c r="H96" i="18" s="1"/>
  <c r="H119" i="18" s="1"/>
  <c r="B26" i="22"/>
  <c r="B51" i="22" s="1"/>
  <c r="B62" i="22" s="1"/>
  <c r="J80" i="19"/>
  <c r="J28" i="19"/>
  <c r="I79" i="23"/>
  <c r="I86" i="23" s="1"/>
  <c r="F82" i="21"/>
  <c r="F53" i="18"/>
  <c r="F96" i="18" s="1"/>
  <c r="F119" i="18" s="1"/>
  <c r="H80" i="19"/>
  <c r="D26" i="22"/>
  <c r="D51" i="22" s="1"/>
  <c r="D62" i="22" s="1"/>
  <c r="B32" i="27"/>
  <c r="E70" i="25"/>
  <c r="E37" i="26"/>
  <c r="E49" i="26" s="1"/>
  <c r="K23" i="23"/>
  <c r="E79" i="23"/>
  <c r="E86" i="23" s="1"/>
  <c r="J98" i="19"/>
  <c r="J107" i="19" s="1"/>
  <c r="I23" i="23"/>
  <c r="E28" i="23"/>
  <c r="H28" i="28"/>
  <c r="F26" i="22"/>
  <c r="F51" i="22" s="1"/>
  <c r="F62" i="22" s="1"/>
  <c r="H82" i="21"/>
  <c r="B28" i="29"/>
  <c r="B28" i="28"/>
  <c r="F28" i="28"/>
  <c r="D82" i="21"/>
  <c r="I28" i="23"/>
  <c r="G32" i="24"/>
  <c r="G64" i="24" s="1"/>
  <c r="G88" i="24" s="1"/>
  <c r="I32" i="24"/>
  <c r="I64" i="24" s="1"/>
  <c r="I88" i="24" s="1"/>
  <c r="K32" i="24"/>
  <c r="K64" i="24" s="1"/>
  <c r="K88" i="24" s="1"/>
  <c r="E32" i="24"/>
  <c r="E64" i="24" s="1"/>
  <c r="E88" i="24" s="1"/>
  <c r="K79" i="23"/>
  <c r="K86" i="23" s="1"/>
  <c r="I61" i="23"/>
  <c r="E61" i="23"/>
  <c r="K61" i="23"/>
  <c r="J37" i="19" l="1"/>
  <c r="J84" i="19" s="1"/>
  <c r="J110" i="19" s="1"/>
  <c r="H37" i="19"/>
  <c r="H84" i="19" s="1"/>
  <c r="H110" i="19" s="1"/>
  <c r="K33" i="23"/>
  <c r="K65" i="23" s="1"/>
  <c r="I33" i="23"/>
  <c r="I65" i="23" s="1"/>
  <c r="I89" i="23" s="1"/>
  <c r="A5" i="14"/>
  <c r="A5" i="13"/>
  <c r="A5" i="12"/>
  <c r="A5" i="11"/>
  <c r="A5" i="10"/>
  <c r="A5" i="9"/>
  <c r="A5" i="8"/>
  <c r="K39" i="9" l="1"/>
  <c r="K28" i="9"/>
  <c r="K40" i="9"/>
  <c r="U25" i="14"/>
  <c r="U20" i="14"/>
  <c r="K41" i="9"/>
  <c r="U21" i="14"/>
  <c r="U22" i="14"/>
  <c r="V22" i="11"/>
  <c r="V33" i="11"/>
  <c r="V21" i="11"/>
  <c r="V20" i="11"/>
  <c r="K89" i="23"/>
  <c r="AD48" i="18"/>
  <c r="C32" i="10" l="1"/>
  <c r="M32" i="10" s="1"/>
  <c r="E32" i="10"/>
  <c r="T32" i="11"/>
  <c r="V32" i="11"/>
  <c r="K32" i="11"/>
  <c r="I32" i="11"/>
  <c r="K42" i="9"/>
  <c r="K30" i="9"/>
  <c r="R40" i="15"/>
  <c r="O32" i="10" l="1"/>
  <c r="E32" i="7"/>
  <c r="K137" i="30"/>
  <c r="K135" i="30"/>
  <c r="T92" i="18" l="1"/>
  <c r="X92" i="18"/>
  <c r="R92" i="18"/>
  <c r="W48" i="17" l="1"/>
  <c r="O121" i="17"/>
  <c r="O130" i="17" s="1"/>
  <c r="S121" i="17"/>
  <c r="S130" i="17" s="1"/>
  <c r="V80" i="19"/>
  <c r="H18" i="2" s="1"/>
  <c r="O48" i="17"/>
  <c r="S48" i="17"/>
  <c r="T80" i="19"/>
  <c r="I48" i="17" l="1"/>
  <c r="S41" i="17" l="1"/>
  <c r="W41" i="17"/>
  <c r="O41" i="17"/>
  <c r="W30" i="16"/>
  <c r="W30" i="17"/>
  <c r="P43" i="37" l="1"/>
  <c r="V43" i="37"/>
  <c r="W96" i="23"/>
  <c r="U60" i="24"/>
  <c r="X43" i="37"/>
  <c r="L43" i="37"/>
  <c r="L45" i="37" s="1"/>
  <c r="X33" i="37"/>
  <c r="W28" i="23"/>
  <c r="P16" i="2" s="1"/>
  <c r="Q31" i="23"/>
  <c r="Q96" i="23"/>
  <c r="W31" i="23"/>
  <c r="P17" i="2" s="1"/>
  <c r="V33" i="37"/>
  <c r="P33" i="37"/>
  <c r="Y96" i="23"/>
  <c r="W60" i="24"/>
  <c r="U96" i="23"/>
  <c r="S60" i="24"/>
  <c r="O96" i="23"/>
  <c r="R43" i="37"/>
  <c r="U31" i="23"/>
  <c r="T43" i="37"/>
  <c r="T33" i="37"/>
  <c r="N33" i="37"/>
  <c r="N45" i="37" s="1"/>
  <c r="W139" i="17"/>
  <c r="S139" i="17"/>
  <c r="W103" i="17"/>
  <c r="S103" i="17"/>
  <c r="U23" i="23"/>
  <c r="Y139" i="17"/>
  <c r="Q28" i="23"/>
  <c r="W58" i="17"/>
  <c r="P45" i="37" l="1"/>
  <c r="W48" i="16"/>
  <c r="I41" i="17"/>
  <c r="I30" i="17"/>
  <c r="I30" i="16"/>
  <c r="K96" i="23"/>
  <c r="B69" i="22"/>
  <c r="T45" i="37"/>
  <c r="S41" i="16"/>
  <c r="Y28" i="23"/>
  <c r="W23" i="23"/>
  <c r="P15" i="2" s="1"/>
  <c r="O41" i="16"/>
  <c r="Q23" i="23"/>
  <c r="W41" i="16"/>
  <c r="S121" i="16"/>
  <c r="S130" i="16" s="1"/>
  <c r="W86" i="23"/>
  <c r="R25" i="37"/>
  <c r="T25" i="37"/>
  <c r="V25" i="37"/>
  <c r="X25" i="37"/>
  <c r="N25" i="37"/>
  <c r="P25" i="37"/>
  <c r="U28" i="23"/>
  <c r="V45" i="37"/>
  <c r="O48" i="16"/>
  <c r="U79" i="23"/>
  <c r="U86" i="23" s="1"/>
  <c r="R45" i="37"/>
  <c r="S48" i="16"/>
  <c r="W107" i="17"/>
  <c r="X45" i="37"/>
  <c r="Y33" i="23" l="1"/>
  <c r="Y65" i="23" s="1"/>
  <c r="Y89" i="23" s="1"/>
  <c r="Y101" i="23" s="1"/>
  <c r="Q33" i="23"/>
  <c r="AA101" i="23"/>
  <c r="W33" i="23"/>
  <c r="U33" i="23"/>
  <c r="AI57" i="23"/>
  <c r="I121" i="16"/>
  <c r="I130" i="16" s="1"/>
  <c r="I48" i="16"/>
  <c r="I58" i="17"/>
  <c r="I41" i="16"/>
  <c r="I96" i="23"/>
  <c r="I103" i="16"/>
  <c r="I103" i="17"/>
  <c r="W58" i="16"/>
  <c r="I107" i="17" l="1"/>
  <c r="I133" i="17" s="1"/>
  <c r="I143" i="17" s="1"/>
  <c r="K101" i="23"/>
  <c r="I58" i="16"/>
  <c r="I107" i="16" s="1"/>
  <c r="I133" i="16" s="1"/>
  <c r="P28" i="5" l="1"/>
  <c r="J49" i="3" l="1"/>
  <c r="G25" i="11"/>
  <c r="K25" i="11" s="1"/>
  <c r="I42" i="10"/>
  <c r="I35" i="10"/>
  <c r="I40" i="13"/>
  <c r="N28" i="15" l="1"/>
  <c r="N37" i="15" s="1"/>
  <c r="G96" i="23" l="1"/>
  <c r="G101" i="23" l="1"/>
  <c r="AA51" i="3" l="1"/>
  <c r="R34" i="11" l="1"/>
  <c r="V34" i="11" s="1"/>
  <c r="AG30" i="19"/>
  <c r="AI27" i="23" l="1"/>
  <c r="Q30" i="16" l="1"/>
  <c r="Q58" i="16" l="1"/>
  <c r="Q107" i="16" s="1"/>
  <c r="Q133" i="16" s="1"/>
  <c r="AI55" i="23"/>
  <c r="AG54" i="19"/>
  <c r="AG59" i="19"/>
  <c r="AI52" i="23"/>
  <c r="AG56" i="19"/>
  <c r="AG24" i="19"/>
  <c r="AI49" i="23"/>
  <c r="AI71" i="23"/>
  <c r="AI92" i="23"/>
  <c r="AI58" i="23"/>
  <c r="AI48" i="23"/>
  <c r="P33" i="6"/>
  <c r="AG65" i="19"/>
  <c r="AG75" i="19"/>
  <c r="AG94" i="19"/>
  <c r="AG44" i="19"/>
  <c r="AF92" i="18"/>
  <c r="AI82" i="23"/>
  <c r="AG74" i="19"/>
  <c r="AG48" i="19"/>
  <c r="AI30" i="23"/>
  <c r="AG96" i="19"/>
  <c r="AI45" i="23"/>
  <c r="AI39" i="23"/>
  <c r="AI37" i="23"/>
  <c r="AG71" i="19"/>
  <c r="AG73" i="19"/>
  <c r="AE96" i="16" s="1"/>
  <c r="AG88" i="19"/>
  <c r="AI70" i="23"/>
  <c r="AG31" i="19"/>
  <c r="AG97" i="19"/>
  <c r="AG53" i="19"/>
  <c r="AI83" i="23"/>
  <c r="AG58" i="19"/>
  <c r="AG25" i="19"/>
  <c r="P24" i="6"/>
  <c r="AG23" i="19"/>
  <c r="AE35" i="16" s="1"/>
  <c r="AG95" i="19"/>
  <c r="AG51" i="19"/>
  <c r="P26" i="5"/>
  <c r="AG79" i="19"/>
  <c r="AG61" i="19"/>
  <c r="AG32" i="19"/>
  <c r="AG78" i="19"/>
  <c r="AI76" i="23"/>
  <c r="AG93" i="19"/>
  <c r="AG50" i="19"/>
  <c r="AG34" i="19"/>
  <c r="AG52" i="19"/>
  <c r="AI73" i="23"/>
  <c r="AI22" i="23"/>
  <c r="AI59" i="23"/>
  <c r="AI20" i="23"/>
  <c r="AI51" i="23"/>
  <c r="AG41" i="19"/>
  <c r="AI54" i="23"/>
  <c r="AD40" i="2"/>
  <c r="P20" i="5"/>
  <c r="AG100" i="19"/>
  <c r="AG33" i="19"/>
  <c r="AI69" i="23"/>
  <c r="P36" i="5"/>
  <c r="AG57" i="19"/>
  <c r="AG49" i="19"/>
  <c r="AG89" i="19"/>
  <c r="AI78" i="23"/>
  <c r="AG43" i="19"/>
  <c r="AI81" i="23"/>
  <c r="AI41" i="23"/>
  <c r="AI75" i="23"/>
  <c r="AG72" i="19"/>
  <c r="AG68" i="19"/>
  <c r="AI46" i="23"/>
  <c r="AG63" i="19"/>
  <c r="AG21" i="19"/>
  <c r="AI25" i="23"/>
  <c r="AG46" i="19"/>
  <c r="AI63" i="23"/>
  <c r="AI77" i="23"/>
  <c r="AG26" i="19"/>
  <c r="P25" i="6"/>
  <c r="AD20" i="22"/>
  <c r="AD26" i="22" s="1"/>
  <c r="AD51" i="22" s="1"/>
  <c r="AD62" i="22" s="1"/>
  <c r="AG90" i="19"/>
  <c r="AG82" i="19"/>
  <c r="AG64" i="19"/>
  <c r="P19" i="5"/>
  <c r="AG105" i="19"/>
  <c r="AG102" i="19"/>
  <c r="P27" i="5"/>
  <c r="AI42" i="23"/>
  <c r="AG20" i="19"/>
  <c r="AG62" i="19"/>
  <c r="AG77" i="19"/>
  <c r="AI44" i="23"/>
  <c r="AG92" i="19"/>
  <c r="AG76" i="19"/>
  <c r="AG45" i="19"/>
  <c r="AG66" i="19"/>
  <c r="AE84" i="16" l="1"/>
  <c r="AI31" i="23"/>
  <c r="AE53" i="16"/>
  <c r="AE128" i="17"/>
  <c r="AH128" i="17" s="1"/>
  <c r="AJ128" i="17" s="1"/>
  <c r="AL105" i="19"/>
  <c r="AE95" i="16"/>
  <c r="AL22" i="23"/>
  <c r="AN22" i="23" s="1"/>
  <c r="AE100" i="16"/>
  <c r="I26" i="13"/>
  <c r="I27" i="13" s="1"/>
  <c r="I32" i="13"/>
  <c r="I33" i="13" s="1"/>
  <c r="AD31" i="15"/>
  <c r="AI23" i="23"/>
  <c r="AI28" i="23"/>
  <c r="AI79" i="23"/>
  <c r="AI86" i="23" s="1"/>
  <c r="AI61" i="23"/>
  <c r="AD41" i="2"/>
  <c r="AD28" i="2"/>
  <c r="P26" i="6"/>
  <c r="AD30" i="2"/>
  <c r="AD33" i="2"/>
  <c r="AD29" i="2"/>
  <c r="AD25" i="2"/>
  <c r="AD38" i="2"/>
  <c r="AD36" i="2"/>
  <c r="AD32" i="2"/>
  <c r="AD37" i="2"/>
  <c r="AD24" i="2"/>
  <c r="AD31" i="2"/>
  <c r="AG69" i="19"/>
  <c r="AE136" i="17"/>
  <c r="AD19" i="2"/>
  <c r="AI96" i="23"/>
  <c r="AD48" i="2"/>
  <c r="AD26" i="2"/>
  <c r="AD51" i="2" l="1"/>
  <c r="AE136" i="16"/>
  <c r="AC103" i="23"/>
  <c r="AG80" i="19"/>
  <c r="AD18" i="2" s="1"/>
  <c r="AE92" i="16"/>
  <c r="AI33" i="23"/>
  <c r="AI65" i="23" s="1"/>
  <c r="AI89" i="23" s="1"/>
  <c r="AI101" i="23" s="1"/>
  <c r="T98" i="19"/>
  <c r="T107" i="19" s="1"/>
  <c r="V98" i="19"/>
  <c r="V107" i="19" s="1"/>
  <c r="T35" i="19"/>
  <c r="V35" i="19"/>
  <c r="H16" i="2" s="1"/>
  <c r="T28" i="19"/>
  <c r="V28" i="19"/>
  <c r="H15" i="2" s="1"/>
  <c r="V37" i="19" l="1"/>
  <c r="V84" i="19" s="1"/>
  <c r="V110" i="19" s="1"/>
  <c r="T37" i="19"/>
  <c r="T84" i="19" s="1"/>
  <c r="T110" i="19" s="1"/>
  <c r="K64" i="30"/>
  <c r="AJ73" i="25"/>
  <c r="F32" i="15"/>
  <c r="F34" i="15"/>
  <c r="AI62" i="18"/>
  <c r="J43" i="37"/>
  <c r="N51" i="15"/>
  <c r="N54" i="15" s="1"/>
  <c r="F33" i="15"/>
  <c r="AJ74" i="25"/>
  <c r="AL74" i="25" s="1"/>
  <c r="J45" i="37" l="1"/>
  <c r="K121" i="17"/>
  <c r="K130" i="17" s="1"/>
  <c r="K48" i="17"/>
  <c r="J25" i="37"/>
  <c r="K30" i="17"/>
  <c r="K41" i="17"/>
  <c r="K103" i="17"/>
  <c r="M23" i="23"/>
  <c r="K30" i="16"/>
  <c r="M28" i="23"/>
  <c r="M79" i="23"/>
  <c r="M86" i="23" s="1"/>
  <c r="K139" i="17"/>
  <c r="L35" i="19"/>
  <c r="L80" i="19"/>
  <c r="M31" i="23"/>
  <c r="L28" i="19"/>
  <c r="M96" i="23"/>
  <c r="L98" i="19"/>
  <c r="L107" i="19" s="1"/>
  <c r="L37" i="19" l="1"/>
  <c r="L84" i="19" s="1"/>
  <c r="L110" i="19" s="1"/>
  <c r="M33" i="23"/>
  <c r="M65" i="23" s="1"/>
  <c r="M89" i="23" s="1"/>
  <c r="M101" i="23" s="1"/>
  <c r="K121" i="16"/>
  <c r="K130" i="16" s="1"/>
  <c r="K58" i="17"/>
  <c r="K107" i="17" s="1"/>
  <c r="K133" i="17" s="1"/>
  <c r="K143" i="17" s="1"/>
  <c r="K41" i="16"/>
  <c r="K48" i="16"/>
  <c r="K103" i="16"/>
  <c r="AB35" i="17"/>
  <c r="AH35" i="17" s="1"/>
  <c r="AJ35" i="17" s="1"/>
  <c r="AJ23" i="20"/>
  <c r="AL23" i="20" s="1"/>
  <c r="V31" i="15"/>
  <c r="K58" i="16" l="1"/>
  <c r="K107" i="16" s="1"/>
  <c r="K133" i="16" s="1"/>
  <c r="AD23" i="19"/>
  <c r="AJ23" i="19" l="1"/>
  <c r="AL23" i="19" s="1"/>
  <c r="J31" i="15"/>
  <c r="AH35" i="16"/>
  <c r="AJ35" i="16" s="1"/>
  <c r="C65" i="34" l="1"/>
  <c r="AE71" i="17" l="1"/>
  <c r="AB71" i="17" l="1"/>
  <c r="AH71" i="17" s="1"/>
  <c r="AJ71" i="17" s="1"/>
  <c r="AJ48" i="20" l="1"/>
  <c r="AL48" i="20" s="1"/>
  <c r="AE71" i="16" l="1"/>
  <c r="AD48" i="19"/>
  <c r="AJ48" i="19" s="1"/>
  <c r="AL48" i="19" s="1"/>
  <c r="AB71" i="16"/>
  <c r="AH71" i="16" l="1"/>
  <c r="AJ71" i="16" s="1"/>
  <c r="U95" i="24" l="1"/>
  <c r="U78" i="24"/>
  <c r="U85" i="24" s="1"/>
  <c r="U30" i="24"/>
  <c r="U27" i="24"/>
  <c r="U22" i="24"/>
  <c r="U76" i="25"/>
  <c r="U60" i="25"/>
  <c r="U67" i="25" s="1"/>
  <c r="U32" i="24" l="1"/>
  <c r="U64" i="24" l="1"/>
  <c r="U88" i="24" s="1"/>
  <c r="U100" i="24" s="1"/>
  <c r="AL50" i="25"/>
  <c r="M193" i="42" l="1"/>
  <c r="M199" i="42"/>
  <c r="X13" i="15"/>
  <c r="V13" i="15"/>
  <c r="R13" i="15"/>
  <c r="P13" i="15"/>
  <c r="N13" i="15"/>
  <c r="L13" i="15"/>
  <c r="J13" i="15"/>
  <c r="H13" i="15"/>
  <c r="AD12" i="15"/>
  <c r="X12" i="15"/>
  <c r="R12" i="15"/>
  <c r="N12" i="15"/>
  <c r="J12" i="15"/>
  <c r="M198" i="42" l="1"/>
  <c r="AJ55" i="24"/>
  <c r="AL55" i="24" s="1"/>
  <c r="AL38" i="25"/>
  <c r="AJ38" i="25"/>
  <c r="AL56" i="23" l="1"/>
  <c r="AN56" i="23" s="1"/>
  <c r="R28" i="20" l="1"/>
  <c r="AL73" i="25" l="1"/>
  <c r="AL52" i="25"/>
  <c r="AL39" i="25"/>
  <c r="AL37" i="25"/>
  <c r="AL36" i="25"/>
  <c r="AL31" i="25"/>
  <c r="AL32" i="25"/>
  <c r="AL33" i="25"/>
  <c r="AL30" i="25"/>
  <c r="AL24" i="25"/>
  <c r="AL25" i="25"/>
  <c r="AL26" i="25"/>
  <c r="AL27" i="25"/>
  <c r="AL28" i="25"/>
  <c r="AL23" i="25"/>
  <c r="AL21" i="25"/>
  <c r="AL19" i="25"/>
  <c r="AL41" i="24"/>
  <c r="AL24" i="24"/>
  <c r="AN25" i="23"/>
  <c r="AL27" i="21"/>
  <c r="AL28" i="21"/>
  <c r="AL29" i="21"/>
  <c r="AL30" i="21"/>
  <c r="AL26" i="21"/>
  <c r="AL22" i="21"/>
  <c r="AL23" i="21"/>
  <c r="AL24" i="21"/>
  <c r="V52" i="15" l="1"/>
  <c r="V51" i="15"/>
  <c r="V50" i="15"/>
  <c r="V49" i="15"/>
  <c r="V48" i="15"/>
  <c r="N45" i="15"/>
  <c r="V44" i="15"/>
  <c r="V43" i="15"/>
  <c r="V42" i="15"/>
  <c r="V41" i="15"/>
  <c r="V40" i="15"/>
  <c r="V33" i="15"/>
  <c r="V32" i="15"/>
  <c r="V30" i="15"/>
  <c r="V28" i="15"/>
  <c r="V24" i="15"/>
  <c r="R25" i="15"/>
  <c r="P25" i="15"/>
  <c r="N25" i="15"/>
  <c r="V54" i="15" l="1"/>
  <c r="V45" i="15"/>
  <c r="N56" i="15"/>
  <c r="AE44" i="26" l="1"/>
  <c r="AJ44" i="26" s="1"/>
  <c r="K94" i="30" l="1"/>
  <c r="J18" i="6"/>
  <c r="F16" i="15"/>
  <c r="F17" i="15"/>
  <c r="F18" i="15"/>
  <c r="F19" i="15"/>
  <c r="F22" i="15"/>
  <c r="X23" i="15"/>
  <c r="F24" i="15"/>
  <c r="F28" i="15"/>
  <c r="F30" i="15"/>
  <c r="F40" i="15"/>
  <c r="F41" i="15"/>
  <c r="F42" i="15"/>
  <c r="F43" i="15"/>
  <c r="F49" i="15"/>
  <c r="X49" i="15" s="1"/>
  <c r="F50" i="15"/>
  <c r="X50" i="15" s="1"/>
  <c r="F52" i="15"/>
  <c r="X52" i="15" s="1"/>
  <c r="X16" i="15" l="1"/>
  <c r="F21" i="15"/>
  <c r="F25" i="15" s="1"/>
  <c r="X18" i="15"/>
  <c r="X24" i="15"/>
  <c r="X19" i="15"/>
  <c r="X17" i="15"/>
  <c r="X20" i="15"/>
  <c r="X21" i="15" l="1"/>
  <c r="J33" i="28"/>
  <c r="AI128" i="18" l="1"/>
  <c r="AK128" i="18" s="1"/>
  <c r="K39" i="30" l="1"/>
  <c r="Z12" i="43"/>
  <c r="Z41" i="43"/>
  <c r="B41" i="43"/>
  <c r="D41" i="43"/>
  <c r="F41" i="43"/>
  <c r="H41" i="43"/>
  <c r="L41" i="43"/>
  <c r="T41" i="43"/>
  <c r="V41" i="43"/>
  <c r="X41" i="43"/>
  <c r="V43" i="43" l="1"/>
  <c r="F43" i="43"/>
  <c r="B43" i="43"/>
  <c r="B45" i="43" s="1"/>
  <c r="D12" i="43" s="1"/>
  <c r="L43" i="43"/>
  <c r="D43" i="43"/>
  <c r="X43" i="43"/>
  <c r="H43" i="43"/>
  <c r="D45" i="43" l="1"/>
  <c r="F12" i="43" s="1"/>
  <c r="F45" i="43" l="1"/>
  <c r="H12" i="43" s="1"/>
  <c r="H45" i="43" l="1"/>
  <c r="J12" i="43" s="1"/>
  <c r="AL57" i="23" l="1"/>
  <c r="AN57" i="23" s="1"/>
  <c r="M201" i="42" l="1"/>
  <c r="AJ56" i="24"/>
  <c r="AL56" i="24" s="1"/>
  <c r="AJ49" i="21" l="1"/>
  <c r="AL49" i="21" s="1"/>
  <c r="AD74" i="22" l="1"/>
  <c r="X69" i="22" l="1"/>
  <c r="X59" i="22"/>
  <c r="X47" i="22"/>
  <c r="X20" i="22"/>
  <c r="T69" i="22"/>
  <c r="T59" i="22"/>
  <c r="T47" i="22"/>
  <c r="L18" i="2" s="1"/>
  <c r="T20" i="22"/>
  <c r="L15" i="2" s="1"/>
  <c r="R69" i="22"/>
  <c r="R59" i="22"/>
  <c r="R47" i="22"/>
  <c r="R20" i="22"/>
  <c r="N20" i="22"/>
  <c r="J69" i="22"/>
  <c r="J59" i="22"/>
  <c r="J47" i="22"/>
  <c r="J20" i="22"/>
  <c r="H69" i="22"/>
  <c r="F69" i="22"/>
  <c r="L20" i="2" l="1"/>
  <c r="J26" i="22"/>
  <c r="J51" i="22" s="1"/>
  <c r="J62" i="22" s="1"/>
  <c r="J74" i="22" s="1"/>
  <c r="R26" i="22"/>
  <c r="R51" i="22" s="1"/>
  <c r="R62" i="22" s="1"/>
  <c r="R74" i="22" s="1"/>
  <c r="H74" i="22"/>
  <c r="X26" i="22"/>
  <c r="X51" i="22" s="1"/>
  <c r="X62" i="22" s="1"/>
  <c r="X74" i="22" s="1"/>
  <c r="F74" i="22"/>
  <c r="T26" i="22"/>
  <c r="T51" i="22" s="1"/>
  <c r="T62" i="22" s="1"/>
  <c r="T74" i="22" s="1"/>
  <c r="P17" i="29"/>
  <c r="G25" i="14" l="1"/>
  <c r="K25" i="14" s="1"/>
  <c r="G25" i="13" l="1"/>
  <c r="G40" i="7"/>
  <c r="AN42" i="23" l="1"/>
  <c r="AJ24" i="25"/>
  <c r="AJ41" i="24"/>
  <c r="AL42" i="23" l="1"/>
  <c r="AA34" i="3" l="1"/>
  <c r="AI87" i="18" l="1"/>
  <c r="AK87" i="18" s="1"/>
  <c r="AI88" i="18"/>
  <c r="AK88" i="18" s="1"/>
  <c r="AE101" i="17"/>
  <c r="AE66" i="17"/>
  <c r="AG46" i="22" l="1"/>
  <c r="AI46" i="22" s="1"/>
  <c r="AG30" i="22"/>
  <c r="AI30" i="22" s="1"/>
  <c r="AE97" i="17" l="1"/>
  <c r="AN49" i="23" l="1"/>
  <c r="AJ31" i="25"/>
  <c r="AJ48" i="24"/>
  <c r="AL48" i="24" s="1"/>
  <c r="AL49" i="23" l="1"/>
  <c r="R80" i="20" l="1"/>
  <c r="AL25" i="23" l="1"/>
  <c r="AA42" i="25" l="1"/>
  <c r="Y42" i="25"/>
  <c r="W42" i="25"/>
  <c r="S42" i="25"/>
  <c r="AF60" i="23" l="1"/>
  <c r="W103" i="16"/>
  <c r="W107" i="16" s="1"/>
  <c r="W61" i="23"/>
  <c r="P18" i="2" s="1"/>
  <c r="A39" i="13"/>
  <c r="A41" i="11"/>
  <c r="A41" i="10"/>
  <c r="A49" i="9"/>
  <c r="W65" i="23" l="1"/>
  <c r="W89" i="23" s="1"/>
  <c r="W101" i="23" s="1"/>
  <c r="Q31" i="14"/>
  <c r="U31" i="14" s="1"/>
  <c r="AL59" i="25"/>
  <c r="Q24" i="14"/>
  <c r="U24" i="14" s="1"/>
  <c r="G32" i="14"/>
  <c r="K32" i="14" s="1"/>
  <c r="R31" i="11"/>
  <c r="V31" i="11" s="1"/>
  <c r="G33" i="11"/>
  <c r="K33" i="11" s="1"/>
  <c r="G31" i="11"/>
  <c r="K31" i="11" s="1"/>
  <c r="G24" i="11"/>
  <c r="K24" i="11" s="1"/>
  <c r="AJ75" i="20"/>
  <c r="AL75" i="20" s="1"/>
  <c r="AJ62" i="20"/>
  <c r="AL62" i="20" s="1"/>
  <c r="G20" i="11"/>
  <c r="K20" i="11" s="1"/>
  <c r="AE27" i="17"/>
  <c r="AE28" i="17"/>
  <c r="AE127" i="16"/>
  <c r="AE139" i="17"/>
  <c r="AE76" i="17"/>
  <c r="AE75" i="17"/>
  <c r="AE74" i="17"/>
  <c r="AE73" i="17"/>
  <c r="AE72" i="17"/>
  <c r="AE70" i="17"/>
  <c r="AE70" i="16"/>
  <c r="AG37" i="22"/>
  <c r="AI37" i="22" s="1"/>
  <c r="AG36" i="22"/>
  <c r="AI36" i="22" s="1"/>
  <c r="AG35" i="22"/>
  <c r="AI35" i="22" s="1"/>
  <c r="AG34" i="22"/>
  <c r="AI34" i="22" s="1"/>
  <c r="AG32" i="22"/>
  <c r="AI32" i="22" s="1"/>
  <c r="AE54" i="17"/>
  <c r="AE53" i="17"/>
  <c r="AE54" i="16"/>
  <c r="AE52" i="16"/>
  <c r="AE51" i="16"/>
  <c r="AE101" i="16"/>
  <c r="AE97" i="16"/>
  <c r="AE74" i="16"/>
  <c r="AE73" i="16"/>
  <c r="AE66" i="16"/>
  <c r="AG28" i="20"/>
  <c r="G33" i="8" l="1"/>
  <c r="AD23" i="15"/>
  <c r="AH23" i="15" s="1"/>
  <c r="AJ23" i="15" s="1"/>
  <c r="AD50" i="15"/>
  <c r="AH50" i="15" s="1"/>
  <c r="AJ50" i="15" s="1"/>
  <c r="AD52" i="15"/>
  <c r="AH52" i="15" s="1"/>
  <c r="AJ52" i="15" s="1"/>
  <c r="AD49" i="15"/>
  <c r="AH49" i="15" s="1"/>
  <c r="AJ49" i="15" s="1"/>
  <c r="G30" i="11"/>
  <c r="K30" i="11" s="1"/>
  <c r="R30" i="11"/>
  <c r="V30" i="11" s="1"/>
  <c r="AL54" i="21"/>
  <c r="R24" i="11"/>
  <c r="V24" i="11" s="1"/>
  <c r="G24" i="14"/>
  <c r="K24" i="14" s="1"/>
  <c r="G26" i="14"/>
  <c r="K26" i="14" s="1"/>
  <c r="G31" i="14"/>
  <c r="K31" i="14" s="1"/>
  <c r="AJ93" i="24"/>
  <c r="AL93" i="24" s="1"/>
  <c r="Q32" i="14"/>
  <c r="U32" i="14" s="1"/>
  <c r="R23" i="11"/>
  <c r="V23" i="11" s="1"/>
  <c r="N14" i="2"/>
  <c r="AE72" i="16"/>
  <c r="AE75" i="16"/>
  <c r="AG16" i="22"/>
  <c r="AI16" i="22" s="1"/>
  <c r="Q23" i="14"/>
  <c r="U23" i="14" s="1"/>
  <c r="G20" i="12"/>
  <c r="K20" i="12" s="1"/>
  <c r="AE76" i="16"/>
  <c r="AG33" i="22"/>
  <c r="AI33" i="22" s="1"/>
  <c r="G34" i="11"/>
  <c r="K34" i="11" s="1"/>
  <c r="AJ31" i="21"/>
  <c r="AL31" i="21" s="1"/>
  <c r="G32" i="13" l="1"/>
  <c r="G31" i="13"/>
  <c r="G24" i="13"/>
  <c r="J28" i="5" l="1"/>
  <c r="J19" i="5"/>
  <c r="H14" i="5"/>
  <c r="P14" i="5" s="1"/>
  <c r="L14" i="5"/>
  <c r="F15" i="5"/>
  <c r="H15" i="5"/>
  <c r="J15" i="5"/>
  <c r="L15" i="5"/>
  <c r="J20" i="5"/>
  <c r="P21" i="5"/>
  <c r="P29" i="5"/>
  <c r="P37" i="5"/>
  <c r="P32" i="5" l="1"/>
  <c r="P42" i="5" s="1"/>
  <c r="J27" i="5"/>
  <c r="J26" i="5"/>
  <c r="J36" i="5"/>
  <c r="J35" i="5"/>
  <c r="J25" i="5"/>
  <c r="L116" i="19"/>
  <c r="K140" i="30" l="1"/>
  <c r="G11" i="42"/>
  <c r="J37" i="5"/>
  <c r="J29" i="5"/>
  <c r="L92" i="21"/>
  <c r="L120" i="19" l="1"/>
  <c r="AE138" i="16" l="1"/>
  <c r="Z35" i="20"/>
  <c r="X35" i="20"/>
  <c r="V35" i="20"/>
  <c r="H17" i="3" s="1"/>
  <c r="T35" i="20"/>
  <c r="R35" i="20"/>
  <c r="P35" i="20"/>
  <c r="L35" i="20"/>
  <c r="Z28" i="20"/>
  <c r="X28" i="20"/>
  <c r="V28" i="20"/>
  <c r="H16" i="3" s="1"/>
  <c r="T28" i="20"/>
  <c r="L28" i="20"/>
  <c r="AG35" i="20"/>
  <c r="AG37" i="20" s="1"/>
  <c r="R37" i="20" l="1"/>
  <c r="P37" i="20"/>
  <c r="P84" i="20" s="1"/>
  <c r="P108" i="20" s="1"/>
  <c r="P118" i="20" s="1"/>
  <c r="V37" i="20"/>
  <c r="T37" i="20"/>
  <c r="X37" i="20"/>
  <c r="L37" i="20"/>
  <c r="K88" i="30" l="1"/>
  <c r="AE102" i="17"/>
  <c r="AE99" i="17"/>
  <c r="AE98" i="17"/>
  <c r="AE95" i="17"/>
  <c r="AE94" i="17"/>
  <c r="AE91" i="17"/>
  <c r="AE89" i="17"/>
  <c r="AE88" i="17"/>
  <c r="AE87" i="17"/>
  <c r="AE86" i="17"/>
  <c r="AE85" i="17"/>
  <c r="AJ84" i="17"/>
  <c r="AE82" i="17"/>
  <c r="AE81" i="17"/>
  <c r="AE80" i="17"/>
  <c r="AE79" i="17"/>
  <c r="AE77" i="17"/>
  <c r="AE68" i="17"/>
  <c r="AE67" i="17"/>
  <c r="AE65" i="17"/>
  <c r="AE63" i="17"/>
  <c r="AE33" i="17"/>
  <c r="AE38" i="17"/>
  <c r="AE36" i="17"/>
  <c r="AE47" i="17"/>
  <c r="AE44" i="17"/>
  <c r="AE127" i="17"/>
  <c r="AE124" i="17"/>
  <c r="AE125" i="17"/>
  <c r="AE123" i="17"/>
  <c r="AE120" i="17"/>
  <c r="AE119" i="17"/>
  <c r="AE118" i="17"/>
  <c r="AE117" i="17"/>
  <c r="AE116" i="17"/>
  <c r="AE115" i="17"/>
  <c r="AE113" i="17"/>
  <c r="AE112" i="17"/>
  <c r="AE111" i="17"/>
  <c r="AE63" i="16" l="1"/>
  <c r="AE62" i="16"/>
  <c r="AE62" i="17"/>
  <c r="AE121" i="17"/>
  <c r="AE130" i="17" s="1"/>
  <c r="G23" i="11" l="1"/>
  <c r="K23" i="11" s="1"/>
  <c r="P41" i="43" l="1"/>
  <c r="P43" i="43" s="1"/>
  <c r="AF43" i="18" l="1"/>
  <c r="X43" i="18"/>
  <c r="T43" i="18"/>
  <c r="AD17" i="2" l="1"/>
  <c r="AA18" i="3"/>
  <c r="AG30" i="24"/>
  <c r="AA30" i="24"/>
  <c r="W30" i="24"/>
  <c r="S30" i="24"/>
  <c r="M30" i="24"/>
  <c r="AG22" i="24"/>
  <c r="AA22" i="24"/>
  <c r="W22" i="24"/>
  <c r="S22" i="24"/>
  <c r="M22" i="24"/>
  <c r="AA27" i="24"/>
  <c r="W27" i="24"/>
  <c r="S27" i="24"/>
  <c r="Q27" i="24"/>
  <c r="Q32" i="24" s="1"/>
  <c r="M27" i="24"/>
  <c r="AE50" i="16"/>
  <c r="AE29" i="16"/>
  <c r="AE25" i="16"/>
  <c r="AE24" i="16"/>
  <c r="AE23" i="16"/>
  <c r="AE52" i="17"/>
  <c r="AE51" i="17"/>
  <c r="AE50" i="17"/>
  <c r="AE46" i="17"/>
  <c r="AE45" i="17"/>
  <c r="AE43" i="17"/>
  <c r="AE37" i="17"/>
  <c r="AE34" i="17"/>
  <c r="AE32" i="17"/>
  <c r="AE29" i="17"/>
  <c r="AE25" i="17"/>
  <c r="AE24" i="17"/>
  <c r="AE23" i="17"/>
  <c r="AJ25" i="24"/>
  <c r="AL25" i="24" s="1"/>
  <c r="AJ24" i="24"/>
  <c r="AE56" i="16" l="1"/>
  <c r="AE56" i="17"/>
  <c r="AD48" i="15"/>
  <c r="AD17" i="15"/>
  <c r="AD24" i="15"/>
  <c r="AH24" i="15" s="1"/>
  <c r="AJ24" i="15" s="1"/>
  <c r="AD18" i="15"/>
  <c r="AH18" i="15" s="1"/>
  <c r="AJ18" i="15" s="1"/>
  <c r="AD51" i="15"/>
  <c r="AD19" i="15"/>
  <c r="AH19" i="15" s="1"/>
  <c r="AJ19" i="15" s="1"/>
  <c r="AD20" i="15"/>
  <c r="AH20" i="15" s="1"/>
  <c r="AJ20" i="15" s="1"/>
  <c r="G22" i="14"/>
  <c r="K22" i="14" s="1"/>
  <c r="AE48" i="17"/>
  <c r="AG32" i="24"/>
  <c r="C48" i="17"/>
  <c r="Q64" i="24"/>
  <c r="S32" i="24"/>
  <c r="S64" i="24" s="1"/>
  <c r="AA32" i="24"/>
  <c r="AA64" i="24" s="1"/>
  <c r="AJ29" i="24"/>
  <c r="AL29" i="24" s="1"/>
  <c r="M32" i="24"/>
  <c r="M64" i="24" s="1"/>
  <c r="W32" i="24"/>
  <c r="W64" i="24" s="1"/>
  <c r="AE41" i="17"/>
  <c r="C30" i="17"/>
  <c r="AH17" i="15" l="1"/>
  <c r="AJ17" i="15" s="1"/>
  <c r="G22" i="13"/>
  <c r="K22" i="13" s="1"/>
  <c r="AJ30" i="24"/>
  <c r="AL30" i="24" s="1"/>
  <c r="R41" i="15"/>
  <c r="R51" i="15"/>
  <c r="R54" i="15" s="1"/>
  <c r="AG22" i="22"/>
  <c r="AI22" i="22" s="1"/>
  <c r="AG19" i="22"/>
  <c r="AI19" i="22" s="1"/>
  <c r="C30" i="16"/>
  <c r="AJ41" i="25"/>
  <c r="AJ40" i="25"/>
  <c r="AL40" i="25" s="1"/>
  <c r="AJ39" i="25"/>
  <c r="AJ37" i="25"/>
  <c r="AJ36" i="25"/>
  <c r="AJ34" i="25"/>
  <c r="AL34" i="25" s="1"/>
  <c r="AJ33" i="25"/>
  <c r="AJ30" i="25"/>
  <c r="AJ28" i="25"/>
  <c r="AJ27" i="25"/>
  <c r="AJ26" i="25"/>
  <c r="AJ25" i="25"/>
  <c r="AJ23" i="25"/>
  <c r="AJ21" i="25"/>
  <c r="AJ58" i="24"/>
  <c r="AL58" i="24" s="1"/>
  <c r="AJ57" i="24"/>
  <c r="AL57" i="24" s="1"/>
  <c r="AJ54" i="24"/>
  <c r="AL54" i="24" s="1"/>
  <c r="AJ53" i="24"/>
  <c r="AL53" i="24" s="1"/>
  <c r="AJ51" i="24"/>
  <c r="AL51" i="24" s="1"/>
  <c r="AJ49" i="24"/>
  <c r="AL49" i="24" s="1"/>
  <c r="AJ45" i="24"/>
  <c r="AL45" i="24" s="1"/>
  <c r="AJ44" i="24"/>
  <c r="AL44" i="24" s="1"/>
  <c r="AJ42" i="24"/>
  <c r="AL42" i="24" s="1"/>
  <c r="AE105" i="16"/>
  <c r="AE91" i="16"/>
  <c r="AE68" i="16"/>
  <c r="AG114" i="20"/>
  <c r="AJ34" i="20"/>
  <c r="AL34" i="20" s="1"/>
  <c r="AJ33" i="20"/>
  <c r="AL33" i="20" s="1"/>
  <c r="AJ32" i="20"/>
  <c r="AL32" i="20" s="1"/>
  <c r="AJ31" i="20"/>
  <c r="AL31" i="20" s="1"/>
  <c r="AA17" i="3"/>
  <c r="AJ26" i="20"/>
  <c r="AL26" i="20" s="1"/>
  <c r="AJ25" i="20"/>
  <c r="AL25" i="20" s="1"/>
  <c r="AJ24" i="20"/>
  <c r="AL24" i="20" s="1"/>
  <c r="AJ22" i="20"/>
  <c r="AL22" i="20" s="1"/>
  <c r="AJ21" i="20"/>
  <c r="AL21" i="20" s="1"/>
  <c r="AL27" i="23" l="1"/>
  <c r="AN27" i="23" s="1"/>
  <c r="R44" i="15"/>
  <c r="R45" i="15" s="1"/>
  <c r="AL21" i="23"/>
  <c r="AN21" i="23" s="1"/>
  <c r="R32" i="15"/>
  <c r="R34" i="15"/>
  <c r="B74" i="22"/>
  <c r="AJ42" i="25"/>
  <c r="AL42" i="25" s="1"/>
  <c r="AB27" i="16"/>
  <c r="AE27" i="16"/>
  <c r="AD22" i="15" s="1"/>
  <c r="C48" i="16"/>
  <c r="AL30" i="23"/>
  <c r="AN30" i="23" s="1"/>
  <c r="AE67" i="16"/>
  <c r="AE79" i="16"/>
  <c r="AE88" i="16"/>
  <c r="AE94" i="16"/>
  <c r="AE102" i="16"/>
  <c r="AE46" i="16"/>
  <c r="AJ30" i="20"/>
  <c r="AE77" i="16"/>
  <c r="AE82" i="16"/>
  <c r="AE33" i="16"/>
  <c r="AE38" i="16"/>
  <c r="AE45" i="16"/>
  <c r="AE65" i="16"/>
  <c r="AE81" i="16"/>
  <c r="AE86" i="16"/>
  <c r="AE32" i="16"/>
  <c r="AE37" i="16"/>
  <c r="AE44" i="16"/>
  <c r="AE98" i="16"/>
  <c r="AE34" i="16"/>
  <c r="AE87" i="16"/>
  <c r="AE80" i="16"/>
  <c r="AE85" i="16"/>
  <c r="AE89" i="16"/>
  <c r="AE99" i="16"/>
  <c r="AE36" i="16"/>
  <c r="AE47" i="16"/>
  <c r="AD25" i="19"/>
  <c r="C58" i="17"/>
  <c r="AD24" i="19"/>
  <c r="AD34" i="19"/>
  <c r="AD26" i="19"/>
  <c r="AD22" i="19"/>
  <c r="AD33" i="19"/>
  <c r="AG35" i="19"/>
  <c r="AD16" i="2" s="1"/>
  <c r="AE43" i="16"/>
  <c r="AD32" i="19"/>
  <c r="AG116" i="19"/>
  <c r="AD30" i="19"/>
  <c r="AG98" i="19"/>
  <c r="AG107" i="19" s="1"/>
  <c r="AD31" i="19"/>
  <c r="AG28" i="19"/>
  <c r="AF28" i="23"/>
  <c r="AL26" i="23"/>
  <c r="AN26" i="23" s="1"/>
  <c r="AJ59" i="24"/>
  <c r="AL59" i="24" s="1"/>
  <c r="AJ43" i="24"/>
  <c r="AL43" i="24" s="1"/>
  <c r="AJ47" i="24"/>
  <c r="AL47" i="24" s="1"/>
  <c r="AJ50" i="24"/>
  <c r="AL50" i="24" s="1"/>
  <c r="AJ40" i="24"/>
  <c r="AL40" i="24" s="1"/>
  <c r="AJ36" i="24"/>
  <c r="AL36" i="24" s="1"/>
  <c r="AJ38" i="24"/>
  <c r="AL38" i="24" s="1"/>
  <c r="AJ17" i="20"/>
  <c r="AL17" i="20" s="1"/>
  <c r="AJ20" i="20"/>
  <c r="J15" i="3"/>
  <c r="AI49" i="18"/>
  <c r="AK49" i="18" s="1"/>
  <c r="AI47" i="18"/>
  <c r="AK47" i="18" s="1"/>
  <c r="AI46" i="18"/>
  <c r="AK46" i="18" s="1"/>
  <c r="F48" i="15"/>
  <c r="AI41" i="18"/>
  <c r="AK41" i="18" s="1"/>
  <c r="AI40" i="18"/>
  <c r="AK40" i="18" s="1"/>
  <c r="AI39" i="18"/>
  <c r="AK39" i="18" s="1"/>
  <c r="AI38" i="18"/>
  <c r="AK38" i="18" s="1"/>
  <c r="AI32" i="18"/>
  <c r="AK32" i="18" s="1"/>
  <c r="AI30" i="18"/>
  <c r="AK30" i="18" s="1"/>
  <c r="AI28" i="18"/>
  <c r="AK28" i="18" s="1"/>
  <c r="AI23" i="18"/>
  <c r="AK23" i="18" s="1"/>
  <c r="AI21" i="18"/>
  <c r="AK21" i="18" s="1"/>
  <c r="AI20" i="18"/>
  <c r="AK20" i="18" s="1"/>
  <c r="AI19" i="18"/>
  <c r="AK19" i="18" s="1"/>
  <c r="AI18" i="18"/>
  <c r="AK18" i="18" s="1"/>
  <c r="AF36" i="18"/>
  <c r="X36" i="18"/>
  <c r="T36" i="18"/>
  <c r="R36" i="18"/>
  <c r="X26" i="18"/>
  <c r="AA13" i="3"/>
  <c r="Y13" i="3"/>
  <c r="F13" i="3"/>
  <c r="F12" i="3"/>
  <c r="D13" i="3"/>
  <c r="AB102" i="17"/>
  <c r="AE103" i="17"/>
  <c r="AG52" i="21"/>
  <c r="Z52" i="21"/>
  <c r="Z56" i="21" s="1"/>
  <c r="X52" i="21"/>
  <c r="V52" i="21"/>
  <c r="V56" i="21" s="1"/>
  <c r="T52" i="21"/>
  <c r="T56" i="21" s="1"/>
  <c r="AG80" i="20"/>
  <c r="AA19" i="3" s="1"/>
  <c r="X80" i="20"/>
  <c r="V80" i="20"/>
  <c r="H19" i="3" s="1"/>
  <c r="T80" i="20"/>
  <c r="L80" i="20"/>
  <c r="AA46" i="25"/>
  <c r="Y46" i="25"/>
  <c r="W46" i="25"/>
  <c r="S46" i="25"/>
  <c r="O46" i="25"/>
  <c r="AG60" i="24"/>
  <c r="AE41" i="16" l="1"/>
  <c r="AG37" i="19"/>
  <c r="AG84" i="19" s="1"/>
  <c r="AG110" i="19" s="1"/>
  <c r="AG120" i="19" s="1"/>
  <c r="R53" i="18"/>
  <c r="R96" i="18" s="1"/>
  <c r="X84" i="20"/>
  <c r="AD40" i="15"/>
  <c r="AD44" i="15"/>
  <c r="AD41" i="15"/>
  <c r="AD42" i="15"/>
  <c r="AD43" i="15"/>
  <c r="AD54" i="15"/>
  <c r="AD32" i="15"/>
  <c r="AD33" i="15"/>
  <c r="AD34" i="15"/>
  <c r="AD30" i="15"/>
  <c r="AD28" i="15"/>
  <c r="AD29" i="15"/>
  <c r="AA16" i="3"/>
  <c r="AD15" i="2"/>
  <c r="AJ33" i="19"/>
  <c r="AL33" i="19" s="1"/>
  <c r="J43" i="15"/>
  <c r="X43" i="15" s="1"/>
  <c r="AJ34" i="19"/>
  <c r="AL34" i="19" s="1"/>
  <c r="J44" i="15"/>
  <c r="AJ30" i="19"/>
  <c r="AL30" i="19" s="1"/>
  <c r="J40" i="15"/>
  <c r="AJ31" i="19"/>
  <c r="AL31" i="19" s="1"/>
  <c r="J41" i="15"/>
  <c r="X41" i="15" s="1"/>
  <c r="AJ32" i="19"/>
  <c r="AL32" i="19" s="1"/>
  <c r="J42" i="15"/>
  <c r="X42" i="15" s="1"/>
  <c r="AJ26" i="19"/>
  <c r="AL26" i="19" s="1"/>
  <c r="J34" i="15"/>
  <c r="AJ25" i="19"/>
  <c r="AL25" i="19" s="1"/>
  <c r="J33" i="15"/>
  <c r="AJ24" i="19"/>
  <c r="AL24" i="19" s="1"/>
  <c r="J32" i="15"/>
  <c r="X32" i="15" s="1"/>
  <c r="AJ22" i="19"/>
  <c r="AL22" i="19" s="1"/>
  <c r="J30" i="15"/>
  <c r="X30" i="15" s="1"/>
  <c r="AJ21" i="19"/>
  <c r="AL21" i="19" s="1"/>
  <c r="J29" i="15"/>
  <c r="AJ20" i="19"/>
  <c r="AL20" i="19" s="1"/>
  <c r="J28" i="15"/>
  <c r="X48" i="15"/>
  <c r="AI29" i="18"/>
  <c r="AK29" i="18" s="1"/>
  <c r="AI33" i="18"/>
  <c r="AK33" i="18" s="1"/>
  <c r="AI31" i="18"/>
  <c r="X31" i="15"/>
  <c r="AH31" i="15" s="1"/>
  <c r="AJ31" i="15" s="1"/>
  <c r="AI42" i="18"/>
  <c r="F44" i="15"/>
  <c r="AI48" i="18"/>
  <c r="AK48" i="18" s="1"/>
  <c r="F51" i="15"/>
  <c r="X51" i="15" s="1"/>
  <c r="AH51" i="15" s="1"/>
  <c r="AJ51" i="15" s="1"/>
  <c r="J17" i="3"/>
  <c r="G22" i="11"/>
  <c r="K22" i="11" s="1"/>
  <c r="J16" i="3"/>
  <c r="G21" i="11"/>
  <c r="K21" i="11" s="1"/>
  <c r="G23" i="14"/>
  <c r="K23" i="14" s="1"/>
  <c r="AJ35" i="20"/>
  <c r="AL35" i="20" s="1"/>
  <c r="AL30" i="20"/>
  <c r="AJ28" i="20"/>
  <c r="AL28" i="20" s="1"/>
  <c r="AL20" i="20"/>
  <c r="AG56" i="21"/>
  <c r="AL52" i="21"/>
  <c r="G20" i="10"/>
  <c r="K20" i="10" s="1"/>
  <c r="X56" i="21"/>
  <c r="AI25" i="18"/>
  <c r="AK25" i="18" s="1"/>
  <c r="AH27" i="16"/>
  <c r="AJ27" i="16" s="1"/>
  <c r="C58" i="16"/>
  <c r="AI24" i="18"/>
  <c r="AK24" i="18" s="1"/>
  <c r="L84" i="20"/>
  <c r="AE48" i="16"/>
  <c r="V84" i="20"/>
  <c r="AG46" i="25"/>
  <c r="X53" i="18"/>
  <c r="X96" i="18" s="1"/>
  <c r="AI45" i="18"/>
  <c r="G23" i="9"/>
  <c r="K23" i="9" s="1"/>
  <c r="G22" i="9"/>
  <c r="K22" i="9" s="1"/>
  <c r="T84" i="20"/>
  <c r="AG24" i="22"/>
  <c r="AI24" i="22" s="1"/>
  <c r="G22" i="12"/>
  <c r="K22" i="12" s="1"/>
  <c r="N17" i="2"/>
  <c r="AG20" i="22"/>
  <c r="AI20" i="22" s="1"/>
  <c r="G21" i="12"/>
  <c r="K21" i="12" s="1"/>
  <c r="N15" i="2"/>
  <c r="AG84" i="20"/>
  <c r="AD35" i="19"/>
  <c r="J16" i="2" s="1"/>
  <c r="R84" i="20"/>
  <c r="AL31" i="23"/>
  <c r="AN31" i="23" s="1"/>
  <c r="R17" i="2"/>
  <c r="R16" i="2"/>
  <c r="AG64" i="24"/>
  <c r="AL28" i="23"/>
  <c r="AN28" i="23" s="1"/>
  <c r="AE103" i="16"/>
  <c r="AJ60" i="24"/>
  <c r="AL60" i="24" s="1"/>
  <c r="AD28" i="19"/>
  <c r="AB79" i="17"/>
  <c r="AB81" i="17"/>
  <c r="AB96" i="17"/>
  <c r="AB80" i="17"/>
  <c r="AA41" i="3"/>
  <c r="AA39" i="3"/>
  <c r="AA38" i="3"/>
  <c r="AA37" i="3"/>
  <c r="AA33" i="3"/>
  <c r="AA32" i="3"/>
  <c r="AA31" i="3"/>
  <c r="AA30" i="3"/>
  <c r="F54" i="15" l="1"/>
  <c r="AK45" i="18"/>
  <c r="AI51" i="18"/>
  <c r="AK51" i="18" s="1"/>
  <c r="G23" i="7"/>
  <c r="AJ37" i="20"/>
  <c r="AL37" i="20" s="1"/>
  <c r="J15" i="2"/>
  <c r="AD37" i="15"/>
  <c r="AH30" i="15"/>
  <c r="AJ30" i="15" s="1"/>
  <c r="AH41" i="15"/>
  <c r="AJ41" i="15" s="1"/>
  <c r="AH32" i="15"/>
  <c r="AJ32" i="15" s="1"/>
  <c r="AH43" i="15"/>
  <c r="AJ43" i="15" s="1"/>
  <c r="AH42" i="15"/>
  <c r="AJ42" i="15" s="1"/>
  <c r="AD45" i="15"/>
  <c r="G23" i="13"/>
  <c r="AI43" i="18"/>
  <c r="AJ35" i="19"/>
  <c r="AL35" i="19" s="1"/>
  <c r="J45" i="15"/>
  <c r="X40" i="15"/>
  <c r="AH40" i="15" s="1"/>
  <c r="AJ40" i="15" s="1"/>
  <c r="X33" i="15"/>
  <c r="AH33" i="15" s="1"/>
  <c r="AJ33" i="15" s="1"/>
  <c r="X34" i="15"/>
  <c r="AH34" i="15" s="1"/>
  <c r="AJ34" i="15" s="1"/>
  <c r="AJ28" i="19"/>
  <c r="AL28" i="19" s="1"/>
  <c r="J37" i="15"/>
  <c r="X28" i="15"/>
  <c r="AH28" i="15" s="1"/>
  <c r="AJ28" i="15" s="1"/>
  <c r="AI36" i="18"/>
  <c r="AH48" i="15"/>
  <c r="AJ48" i="15" s="1"/>
  <c r="X44" i="15"/>
  <c r="F45" i="15"/>
  <c r="G21" i="9"/>
  <c r="K21" i="9" s="1"/>
  <c r="G22" i="10"/>
  <c r="K22" i="10" s="1"/>
  <c r="G20" i="9"/>
  <c r="K20" i="9" s="1"/>
  <c r="AG26" i="22"/>
  <c r="AI26" i="22" s="1"/>
  <c r="G21" i="10"/>
  <c r="K21" i="10" s="1"/>
  <c r="X54" i="15" l="1"/>
  <c r="AH54" i="15" s="1"/>
  <c r="AJ54" i="15" s="1"/>
  <c r="K23" i="13"/>
  <c r="AH44" i="15"/>
  <c r="AJ44" i="15" s="1"/>
  <c r="X45" i="15"/>
  <c r="AH45" i="15" s="1"/>
  <c r="AJ45" i="15" s="1"/>
  <c r="F37" i="15"/>
  <c r="F56" i="15" s="1"/>
  <c r="G20" i="7"/>
  <c r="AJ112" i="20"/>
  <c r="AL112" i="20" s="1"/>
  <c r="J50" i="3"/>
  <c r="N29" i="5" l="1"/>
  <c r="AA29" i="3"/>
  <c r="AA27" i="3"/>
  <c r="AA26" i="3"/>
  <c r="AA25" i="3"/>
  <c r="AA20" i="3"/>
  <c r="AH102" i="17"/>
  <c r="AJ102" i="17" s="1"/>
  <c r="AH96" i="17"/>
  <c r="AJ96" i="17" s="1"/>
  <c r="AH81" i="17"/>
  <c r="AJ81" i="17" s="1"/>
  <c r="AH80" i="17"/>
  <c r="AJ80" i="17" s="1"/>
  <c r="AH79" i="17"/>
  <c r="AJ79" i="17" s="1"/>
  <c r="AJ51" i="21" l="1"/>
  <c r="AL51" i="21" s="1"/>
  <c r="AJ50" i="21"/>
  <c r="AL50" i="21" s="1"/>
  <c r="AJ48" i="21"/>
  <c r="AL48" i="21" s="1"/>
  <c r="AJ47" i="21"/>
  <c r="AL47" i="21" s="1"/>
  <c r="AJ46" i="21"/>
  <c r="AL46" i="21" s="1"/>
  <c r="AJ45" i="21"/>
  <c r="AL45" i="21" s="1"/>
  <c r="AJ44" i="21"/>
  <c r="AL44" i="21" s="1"/>
  <c r="AJ43" i="21"/>
  <c r="AJ42" i="21"/>
  <c r="AL42" i="21" s="1"/>
  <c r="AJ41" i="21"/>
  <c r="AL41" i="21" s="1"/>
  <c r="AJ39" i="21"/>
  <c r="AL39" i="21" s="1"/>
  <c r="AJ38" i="21"/>
  <c r="AL38" i="21" s="1"/>
  <c r="AJ37" i="21"/>
  <c r="AL37" i="21" s="1"/>
  <c r="AJ36" i="21"/>
  <c r="AL36" i="21" s="1"/>
  <c r="AJ35" i="21"/>
  <c r="AL35" i="21" s="1"/>
  <c r="AJ34" i="21"/>
  <c r="AL34" i="21" s="1"/>
  <c r="AJ32" i="21"/>
  <c r="AL32" i="21" s="1"/>
  <c r="AJ30" i="21"/>
  <c r="AJ29" i="21"/>
  <c r="AJ28" i="21"/>
  <c r="AJ27" i="21"/>
  <c r="AJ26" i="21"/>
  <c r="AJ24" i="21"/>
  <c r="AJ23" i="21"/>
  <c r="AJ22" i="21"/>
  <c r="AJ21" i="21"/>
  <c r="AL21" i="21" s="1"/>
  <c r="AJ79" i="20"/>
  <c r="AL79" i="20" s="1"/>
  <c r="AJ78" i="20"/>
  <c r="AL78" i="20" s="1"/>
  <c r="AL77" i="20"/>
  <c r="AJ76" i="20"/>
  <c r="AL76" i="20" s="1"/>
  <c r="AJ74" i="20"/>
  <c r="AL74" i="20" s="1"/>
  <c r="AJ73" i="20"/>
  <c r="AL73" i="20" s="1"/>
  <c r="AJ72" i="20"/>
  <c r="AL72" i="20" s="1"/>
  <c r="AJ71" i="20"/>
  <c r="AL71" i="20" s="1"/>
  <c r="AJ69" i="20"/>
  <c r="AL69" i="20" s="1"/>
  <c r="AJ66" i="20"/>
  <c r="AL66" i="20" s="1"/>
  <c r="AJ65" i="20"/>
  <c r="AL65" i="20" s="1"/>
  <c r="AJ64" i="20"/>
  <c r="AL64" i="20" s="1"/>
  <c r="AJ63" i="20"/>
  <c r="AL63" i="20" s="1"/>
  <c r="AJ61" i="20"/>
  <c r="AL61" i="20" s="1"/>
  <c r="AJ59" i="20"/>
  <c r="AL59" i="20" s="1"/>
  <c r="AJ58" i="20"/>
  <c r="AL58" i="20" s="1"/>
  <c r="AJ57" i="20"/>
  <c r="AL57" i="20" s="1"/>
  <c r="AJ56" i="20"/>
  <c r="AL56" i="20" s="1"/>
  <c r="AJ54" i="20"/>
  <c r="AL54" i="20" s="1"/>
  <c r="AJ53" i="20"/>
  <c r="AL53" i="20" s="1"/>
  <c r="AJ52" i="20"/>
  <c r="AL52" i="20" s="1"/>
  <c r="AJ51" i="20"/>
  <c r="AL51" i="20" s="1"/>
  <c r="AJ50" i="20"/>
  <c r="AL50" i="20" s="1"/>
  <c r="AJ49" i="20"/>
  <c r="AL49" i="20" s="1"/>
  <c r="AJ46" i="20"/>
  <c r="AL46" i="20" s="1"/>
  <c r="AJ45" i="20"/>
  <c r="AL45" i="20" s="1"/>
  <c r="AJ44" i="20"/>
  <c r="AL44" i="20" s="1"/>
  <c r="AJ43" i="20"/>
  <c r="AL43" i="20" s="1"/>
  <c r="AJ41" i="20"/>
  <c r="AL41" i="20" s="1"/>
  <c r="J116" i="19"/>
  <c r="AJ86" i="21" l="1"/>
  <c r="AL86" i="21" s="1"/>
  <c r="AL56" i="21"/>
  <c r="AJ19" i="21"/>
  <c r="AL19" i="21" s="1"/>
  <c r="AJ68" i="20"/>
  <c r="AL68" i="20" s="1"/>
  <c r="AB96" i="16"/>
  <c r="AB80" i="16"/>
  <c r="AB79" i="16"/>
  <c r="AB81" i="16"/>
  <c r="AB102" i="16"/>
  <c r="J120" i="19" l="1"/>
  <c r="AH102" i="16"/>
  <c r="AJ102" i="16" s="1"/>
  <c r="AH96" i="16"/>
  <c r="AJ96" i="16" s="1"/>
  <c r="AH81" i="16"/>
  <c r="AJ81" i="16" s="1"/>
  <c r="AH80" i="16"/>
  <c r="AJ80" i="16" s="1"/>
  <c r="AH79" i="16"/>
  <c r="AJ79" i="16" s="1"/>
  <c r="AJ52" i="21"/>
  <c r="J19" i="3"/>
  <c r="AJ80" i="20"/>
  <c r="G26" i="11" l="1"/>
  <c r="G23" i="10"/>
  <c r="K23" i="10" s="1"/>
  <c r="AL80" i="20"/>
  <c r="O23" i="26" l="1"/>
  <c r="AD19" i="27"/>
  <c r="AD28" i="27"/>
  <c r="AD39" i="27"/>
  <c r="AG39" i="27" s="1"/>
  <c r="AD33" i="28"/>
  <c r="AG32" i="28"/>
  <c r="AI32" i="28" s="1"/>
  <c r="AG31" i="28"/>
  <c r="AI31" i="28" s="1"/>
  <c r="AD25" i="28"/>
  <c r="AG24" i="28"/>
  <c r="AI24" i="28" s="1"/>
  <c r="AG23" i="28"/>
  <c r="AI23" i="28" s="1"/>
  <c r="AG22" i="28"/>
  <c r="AI22" i="28" s="1"/>
  <c r="AE23" i="26"/>
  <c r="D26" i="5"/>
  <c r="AE33" i="26"/>
  <c r="AH42" i="26"/>
  <c r="AJ42" i="26" s="1"/>
  <c r="A38" i="12"/>
  <c r="A48" i="8"/>
  <c r="AE37" i="26" l="1"/>
  <c r="D36" i="5"/>
  <c r="D35" i="5"/>
  <c r="AH31" i="26"/>
  <c r="AJ31" i="26" s="1"/>
  <c r="D28" i="5"/>
  <c r="L28" i="5" s="1"/>
  <c r="S28" i="5" s="1"/>
  <c r="U28" i="5" s="1"/>
  <c r="AH30" i="26"/>
  <c r="AJ30" i="26" s="1"/>
  <c r="D27" i="5"/>
  <c r="AH29" i="26"/>
  <c r="AJ29" i="26" s="1"/>
  <c r="AH28" i="26"/>
  <c r="AJ28" i="26" s="1"/>
  <c r="D25" i="5"/>
  <c r="AH21" i="26"/>
  <c r="AJ21" i="26" s="1"/>
  <c r="D20" i="5"/>
  <c r="L20" i="5" s="1"/>
  <c r="S20" i="5" s="1"/>
  <c r="U20" i="5" s="1"/>
  <c r="AH20" i="26"/>
  <c r="AJ20" i="26" s="1"/>
  <c r="D19" i="5"/>
  <c r="L19" i="5" s="1"/>
  <c r="S19" i="5" s="1"/>
  <c r="U19" i="5" s="1"/>
  <c r="AH19" i="26"/>
  <c r="AJ19" i="26" s="1"/>
  <c r="D18" i="5"/>
  <c r="H36" i="5"/>
  <c r="AG36" i="27"/>
  <c r="AI36" i="27" s="1"/>
  <c r="H35" i="5"/>
  <c r="AG26" i="27"/>
  <c r="AI26" i="27" s="1"/>
  <c r="H27" i="5"/>
  <c r="AG25" i="27"/>
  <c r="AI25" i="27" s="1"/>
  <c r="H26" i="5"/>
  <c r="L26" i="5" s="1"/>
  <c r="S26" i="5" s="1"/>
  <c r="U26" i="5" s="1"/>
  <c r="AG24" i="27"/>
  <c r="AI24" i="27" s="1"/>
  <c r="H25" i="5"/>
  <c r="H18" i="5"/>
  <c r="AH41" i="26"/>
  <c r="AG33" i="28"/>
  <c r="AI33" i="28" s="1"/>
  <c r="AD32" i="27"/>
  <c r="AD44" i="27" s="1"/>
  <c r="AA33" i="28"/>
  <c r="AG17" i="27"/>
  <c r="AI17" i="27" s="1"/>
  <c r="AG25" i="28"/>
  <c r="AI25" i="28" s="1"/>
  <c r="AE49" i="26" l="1"/>
  <c r="L36" i="5"/>
  <c r="S36" i="5" s="1"/>
  <c r="U36" i="5" s="1"/>
  <c r="AI39" i="27"/>
  <c r="L18" i="5"/>
  <c r="D37" i="5"/>
  <c r="AH44" i="26"/>
  <c r="D29" i="5"/>
  <c r="L27" i="5"/>
  <c r="S27" i="5" s="1"/>
  <c r="U27" i="5" s="1"/>
  <c r="AH33" i="26"/>
  <c r="AJ33" i="26" s="1"/>
  <c r="AH23" i="26"/>
  <c r="AJ23" i="26" s="1"/>
  <c r="D21" i="5"/>
  <c r="H37" i="5"/>
  <c r="L35" i="5"/>
  <c r="H29" i="5"/>
  <c r="L25" i="5"/>
  <c r="AG28" i="27"/>
  <c r="AI28" i="27" s="1"/>
  <c r="H21" i="5"/>
  <c r="AG19" i="27"/>
  <c r="AI19" i="27" s="1"/>
  <c r="AA37" i="28" l="1"/>
  <c r="D32" i="5"/>
  <c r="D42" i="5" s="1"/>
  <c r="AH37" i="26"/>
  <c r="AJ37" i="26" s="1"/>
  <c r="L37" i="5"/>
  <c r="S37" i="5" s="1"/>
  <c r="S35" i="5"/>
  <c r="U35" i="5" s="1"/>
  <c r="S25" i="5"/>
  <c r="L29" i="5"/>
  <c r="H32" i="5"/>
  <c r="H42" i="5" s="1"/>
  <c r="L21" i="5"/>
  <c r="S18" i="5"/>
  <c r="AG32" i="27"/>
  <c r="AI32" i="27" s="1"/>
  <c r="AL60" i="23"/>
  <c r="AN60" i="23" s="1"/>
  <c r="AL55" i="23"/>
  <c r="AN55" i="23" s="1"/>
  <c r="AL54" i="23"/>
  <c r="AN54" i="23" s="1"/>
  <c r="AL50" i="23"/>
  <c r="AN50" i="23" s="1"/>
  <c r="AL48" i="23"/>
  <c r="AN48" i="23" s="1"/>
  <c r="AL46" i="23"/>
  <c r="AN46" i="23" s="1"/>
  <c r="AL44" i="23"/>
  <c r="AN44" i="23" s="1"/>
  <c r="AG42" i="22"/>
  <c r="AI42" i="22" s="1"/>
  <c r="AG41" i="22"/>
  <c r="AI41" i="22" s="1"/>
  <c r="U37" i="5" l="1"/>
  <c r="AG44" i="22"/>
  <c r="AI44" i="22" s="1"/>
  <c r="AL39" i="23"/>
  <c r="AN39" i="23" s="1"/>
  <c r="AL58" i="23"/>
  <c r="AN58" i="23" s="1"/>
  <c r="AL43" i="23"/>
  <c r="AN43" i="23" s="1"/>
  <c r="AL51" i="23"/>
  <c r="AN51" i="23" s="1"/>
  <c r="AL41" i="23"/>
  <c r="AN41" i="23" s="1"/>
  <c r="AL52" i="23"/>
  <c r="AN52" i="23" s="1"/>
  <c r="AL59" i="23"/>
  <c r="AN59" i="23" s="1"/>
  <c r="AL45" i="23"/>
  <c r="AN45" i="23" s="1"/>
  <c r="AH49" i="26"/>
  <c r="AJ49" i="26" s="1"/>
  <c r="U25" i="5"/>
  <c r="S29" i="5"/>
  <c r="U29" i="5" s="1"/>
  <c r="L32" i="5"/>
  <c r="L42" i="5" s="1"/>
  <c r="S21" i="5"/>
  <c r="U21" i="5" s="1"/>
  <c r="U18" i="5"/>
  <c r="AG38" i="22"/>
  <c r="AI38" i="22" s="1"/>
  <c r="AG44" i="27"/>
  <c r="AI44" i="27" s="1"/>
  <c r="S32" i="5" l="1"/>
  <c r="AG47" i="22"/>
  <c r="AI47" i="22" s="1"/>
  <c r="U32" i="5" l="1"/>
  <c r="S42" i="5"/>
  <c r="U42" i="5" s="1"/>
  <c r="Q26" i="14"/>
  <c r="U26" i="14" s="1"/>
  <c r="U27" i="14" s="1"/>
  <c r="G26" i="13" l="1"/>
  <c r="N39" i="3"/>
  <c r="L39" i="3"/>
  <c r="N37" i="3"/>
  <c r="L37" i="3"/>
  <c r="N34" i="3"/>
  <c r="L34" i="3"/>
  <c r="N33" i="3"/>
  <c r="L33" i="3"/>
  <c r="N32" i="3"/>
  <c r="L32" i="3"/>
  <c r="N31" i="3"/>
  <c r="L31" i="3"/>
  <c r="N30" i="3"/>
  <c r="L30" i="3"/>
  <c r="N29" i="3"/>
  <c r="L29" i="3"/>
  <c r="N27" i="3"/>
  <c r="L27" i="3"/>
  <c r="N26" i="3"/>
  <c r="L26" i="3"/>
  <c r="N25" i="3"/>
  <c r="L25" i="3"/>
  <c r="N17" i="3"/>
  <c r="L17" i="3"/>
  <c r="T13" i="3"/>
  <c r="R13" i="3"/>
  <c r="N13" i="3"/>
  <c r="L13" i="3"/>
  <c r="J13" i="3"/>
  <c r="H13" i="3"/>
  <c r="T12" i="3"/>
  <c r="N12" i="3"/>
  <c r="J12" i="3"/>
  <c r="N35" i="3" l="1"/>
  <c r="L35" i="3"/>
  <c r="H51" i="3"/>
  <c r="G139" i="17"/>
  <c r="E139" i="17"/>
  <c r="AB127" i="17"/>
  <c r="AH127" i="17" s="1"/>
  <c r="AJ127" i="17" s="1"/>
  <c r="K111" i="30" l="1"/>
  <c r="K25" i="13"/>
  <c r="E143" i="17"/>
  <c r="AA35" i="3"/>
  <c r="AA43" i="3" s="1"/>
  <c r="G143" i="17"/>
  <c r="AJ43" i="19" l="1"/>
  <c r="AL43" i="19" s="1"/>
  <c r="AD44" i="19"/>
  <c r="AJ44" i="19" s="1"/>
  <c r="AL44" i="19" s="1"/>
  <c r="AD46" i="19"/>
  <c r="AJ46" i="19" s="1"/>
  <c r="AL46" i="19" s="1"/>
  <c r="AD50" i="19"/>
  <c r="AJ50" i="19" s="1"/>
  <c r="AL50" i="19" s="1"/>
  <c r="AJ51" i="19"/>
  <c r="AL51" i="19" s="1"/>
  <c r="AD53" i="19"/>
  <c r="AJ53" i="19" s="1"/>
  <c r="AL53" i="19" s="1"/>
  <c r="AD57" i="19"/>
  <c r="AJ57" i="19" s="1"/>
  <c r="AL57" i="19" s="1"/>
  <c r="AD62" i="19"/>
  <c r="AJ62" i="19" s="1"/>
  <c r="AL62" i="19" s="1"/>
  <c r="AD64" i="19"/>
  <c r="AJ64" i="19" s="1"/>
  <c r="AL64" i="19" s="1"/>
  <c r="AD65" i="19"/>
  <c r="AJ65" i="19" s="1"/>
  <c r="AL65" i="19" s="1"/>
  <c r="AD66" i="19"/>
  <c r="AJ66" i="19" s="1"/>
  <c r="AL66" i="19" s="1"/>
  <c r="AD69" i="19"/>
  <c r="AJ69" i="19" s="1"/>
  <c r="AL69" i="19" s="1"/>
  <c r="AD72" i="19"/>
  <c r="AJ72" i="19" s="1"/>
  <c r="AL72" i="19" s="1"/>
  <c r="AD73" i="19"/>
  <c r="AJ73" i="19" s="1"/>
  <c r="AL73" i="19" s="1"/>
  <c r="AD74" i="19"/>
  <c r="AJ74" i="19" s="1"/>
  <c r="AL74" i="19" s="1"/>
  <c r="AD76" i="19"/>
  <c r="AJ76" i="19" s="1"/>
  <c r="AL76" i="19" s="1"/>
  <c r="AD79" i="19"/>
  <c r="AJ79" i="19" s="1"/>
  <c r="AL79" i="19" s="1"/>
  <c r="AD78" i="19"/>
  <c r="AJ78" i="19" s="1"/>
  <c r="AL78" i="19" s="1"/>
  <c r="AD58" i="19"/>
  <c r="AJ58" i="19" s="1"/>
  <c r="AL58" i="19" s="1"/>
  <c r="AD49" i="19"/>
  <c r="AJ49" i="19" s="1"/>
  <c r="AL49" i="19" s="1"/>
  <c r="AD61" i="19"/>
  <c r="AJ61" i="19" s="1"/>
  <c r="AL61" i="19" s="1"/>
  <c r="AD56" i="19"/>
  <c r="AJ56" i="19" s="1"/>
  <c r="AL56" i="19" s="1"/>
  <c r="AI90" i="18"/>
  <c r="AK90" i="18" s="1"/>
  <c r="AI79" i="18"/>
  <c r="AK79" i="18" s="1"/>
  <c r="AI73" i="18"/>
  <c r="AK73" i="18" s="1"/>
  <c r="AI61" i="18"/>
  <c r="AK61" i="18" s="1"/>
  <c r="AI60" i="18"/>
  <c r="AK60" i="18" s="1"/>
  <c r="AB84" i="17" l="1"/>
  <c r="AH84" i="17" s="1"/>
  <c r="AI63" i="18"/>
  <c r="AK63" i="18" s="1"/>
  <c r="AK62" i="18"/>
  <c r="AI78" i="18"/>
  <c r="AK78" i="18" s="1"/>
  <c r="AI82" i="18"/>
  <c r="AK82" i="18" s="1"/>
  <c r="AB84" i="16"/>
  <c r="AI91" i="18"/>
  <c r="AK91" i="18" s="1"/>
  <c r="AD77" i="19"/>
  <c r="AJ77" i="19" s="1"/>
  <c r="AL77" i="19" s="1"/>
  <c r="AD75" i="19"/>
  <c r="AJ75" i="19" s="1"/>
  <c r="AL75" i="19" s="1"/>
  <c r="AD71" i="19"/>
  <c r="AJ71" i="19" s="1"/>
  <c r="AL71" i="19" s="1"/>
  <c r="AD68" i="19"/>
  <c r="AJ68" i="19" s="1"/>
  <c r="AL68" i="19" s="1"/>
  <c r="AD63" i="19"/>
  <c r="AJ63" i="19" s="1"/>
  <c r="AL63" i="19" s="1"/>
  <c r="AJ59" i="19"/>
  <c r="AL59" i="19" s="1"/>
  <c r="AJ54" i="19"/>
  <c r="AL54" i="19" s="1"/>
  <c r="AD52" i="19"/>
  <c r="AJ52" i="19" s="1"/>
  <c r="AL52" i="19" s="1"/>
  <c r="AD45" i="19"/>
  <c r="AJ45" i="19" s="1"/>
  <c r="AL45" i="19" s="1"/>
  <c r="AD41" i="19"/>
  <c r="AI89" i="18"/>
  <c r="AK89" i="18" s="1"/>
  <c r="AI85" i="18"/>
  <c r="AK85" i="18" s="1"/>
  <c r="AI84" i="18"/>
  <c r="AK84" i="18" s="1"/>
  <c r="AI80" i="18"/>
  <c r="AK80" i="18" s="1"/>
  <c r="AI77" i="18"/>
  <c r="AK77" i="18" s="1"/>
  <c r="AI76" i="18"/>
  <c r="AK76" i="18" s="1"/>
  <c r="AI72" i="18"/>
  <c r="AK72" i="18" s="1"/>
  <c r="AI71" i="18"/>
  <c r="AK71" i="18" s="1"/>
  <c r="AI70" i="18"/>
  <c r="AK70" i="18" s="1"/>
  <c r="AI69" i="18"/>
  <c r="AK69" i="18" s="1"/>
  <c r="AI68" i="18"/>
  <c r="AK68" i="18" s="1"/>
  <c r="AI67" i="18"/>
  <c r="AK67" i="18" s="1"/>
  <c r="AI65" i="18"/>
  <c r="AK65" i="18" s="1"/>
  <c r="AI58" i="18"/>
  <c r="AK58" i="18" s="1"/>
  <c r="AI57" i="18"/>
  <c r="AK57" i="18" s="1"/>
  <c r="AD80" i="19" l="1"/>
  <c r="AH84" i="16"/>
  <c r="AJ84" i="16" s="1"/>
  <c r="C103" i="17"/>
  <c r="C107" i="17" s="1"/>
  <c r="C133" i="17" s="1"/>
  <c r="C143" i="17" s="1"/>
  <c r="C103" i="16"/>
  <c r="AJ41" i="19"/>
  <c r="AL41" i="19" s="1"/>
  <c r="AI92" i="18"/>
  <c r="AK92" i="18" s="1"/>
  <c r="G24" i="9"/>
  <c r="K24" i="9" s="1"/>
  <c r="AJ80" i="19" l="1"/>
  <c r="F18" i="2"/>
  <c r="F19" i="3" l="1"/>
  <c r="K50" i="30" l="1"/>
  <c r="L50" i="3"/>
  <c r="L49" i="3"/>
  <c r="L41" i="3"/>
  <c r="R41" i="3" s="1"/>
  <c r="L38" i="3"/>
  <c r="L19" i="3"/>
  <c r="L18" i="3"/>
  <c r="L16" i="3"/>
  <c r="L43" i="3" l="1"/>
  <c r="L51" i="3"/>
  <c r="G25" i="10" l="1"/>
  <c r="L20" i="3"/>
  <c r="AG98" i="20"/>
  <c r="AG105" i="20" l="1"/>
  <c r="F15" i="6"/>
  <c r="AI124" i="18" l="1"/>
  <c r="AK124" i="18" s="1"/>
  <c r="AI125" i="18"/>
  <c r="AK125" i="18" s="1"/>
  <c r="G29" i="9"/>
  <c r="K29" i="9" s="1"/>
  <c r="AI126" i="18"/>
  <c r="AK126" i="18" s="1"/>
  <c r="X28" i="27" l="1"/>
  <c r="J38" i="3"/>
  <c r="J34" i="3"/>
  <c r="J33" i="3"/>
  <c r="J32" i="3"/>
  <c r="J31" i="3"/>
  <c r="J30" i="3"/>
  <c r="J29" i="3"/>
  <c r="J27" i="3"/>
  <c r="J26" i="3"/>
  <c r="J25" i="3"/>
  <c r="J20" i="3" l="1"/>
  <c r="AL84" i="20"/>
  <c r="J39" i="3"/>
  <c r="J37" i="3"/>
  <c r="J35" i="3"/>
  <c r="AJ82" i="24"/>
  <c r="AL82" i="24" s="1"/>
  <c r="AJ81" i="24"/>
  <c r="AL81" i="24" s="1"/>
  <c r="AJ80" i="24"/>
  <c r="AL80" i="24" s="1"/>
  <c r="AJ77" i="24"/>
  <c r="AL77" i="24" s="1"/>
  <c r="AJ75" i="24"/>
  <c r="AL75" i="24" s="1"/>
  <c r="AJ74" i="24"/>
  <c r="AL74" i="24" s="1"/>
  <c r="AJ73" i="24"/>
  <c r="AL73" i="24" s="1"/>
  <c r="AJ72" i="24"/>
  <c r="AL72" i="24" s="1"/>
  <c r="AG76" i="25"/>
  <c r="AA76" i="25"/>
  <c r="Y76" i="25"/>
  <c r="W76" i="25"/>
  <c r="S76" i="25"/>
  <c r="O76" i="25"/>
  <c r="M76" i="25"/>
  <c r="K76" i="25"/>
  <c r="I76" i="25"/>
  <c r="G76" i="25"/>
  <c r="E76" i="25"/>
  <c r="AG60" i="25"/>
  <c r="AA60" i="25"/>
  <c r="AA67" i="25" s="1"/>
  <c r="Y60" i="25"/>
  <c r="Y67" i="25" s="1"/>
  <c r="W60" i="25"/>
  <c r="W67" i="25" s="1"/>
  <c r="S60" i="25"/>
  <c r="S67" i="25" s="1"/>
  <c r="M67" i="25"/>
  <c r="AJ64" i="25"/>
  <c r="AL64" i="25" s="1"/>
  <c r="AJ63" i="25"/>
  <c r="AL63" i="25" s="1"/>
  <c r="AJ62" i="25"/>
  <c r="AL62" i="25" s="1"/>
  <c r="AJ58" i="25"/>
  <c r="AL58" i="25" s="1"/>
  <c r="AJ57" i="25"/>
  <c r="AL57" i="25" s="1"/>
  <c r="AJ56" i="25"/>
  <c r="AL56" i="25" s="1"/>
  <c r="AJ55" i="25"/>
  <c r="AL55" i="25" s="1"/>
  <c r="AJ54" i="25"/>
  <c r="AL54" i="25" s="1"/>
  <c r="AJ52" i="25"/>
  <c r="AJ50" i="25"/>
  <c r="AL46" i="25"/>
  <c r="W95" i="24"/>
  <c r="S95" i="24"/>
  <c r="O95" i="24"/>
  <c r="M95" i="24"/>
  <c r="K95" i="24"/>
  <c r="I95" i="24"/>
  <c r="G95" i="24"/>
  <c r="Y44" i="26"/>
  <c r="W44" i="26"/>
  <c r="U44" i="26"/>
  <c r="S44" i="26"/>
  <c r="Q44" i="26"/>
  <c r="K44" i="26"/>
  <c r="I44" i="26"/>
  <c r="G44" i="26"/>
  <c r="Y33" i="26"/>
  <c r="U33" i="26"/>
  <c r="S33" i="26"/>
  <c r="O33" i="26"/>
  <c r="O37" i="26" s="1"/>
  <c r="O49" i="26" s="1"/>
  <c r="K33" i="26"/>
  <c r="S23" i="26"/>
  <c r="Q23" i="26"/>
  <c r="K23" i="26"/>
  <c r="AG32" i="29"/>
  <c r="AI32" i="29" s="1"/>
  <c r="AG31" i="29"/>
  <c r="AI31" i="29" s="1"/>
  <c r="X39" i="27"/>
  <c r="V39" i="27"/>
  <c r="T39" i="27"/>
  <c r="R39" i="27"/>
  <c r="P39" i="27"/>
  <c r="N39" i="27"/>
  <c r="L39" i="27"/>
  <c r="L44" i="27" s="1"/>
  <c r="J39" i="27"/>
  <c r="H39" i="27"/>
  <c r="F39" i="27"/>
  <c r="D39" i="27"/>
  <c r="B39" i="27"/>
  <c r="V28" i="27"/>
  <c r="T28" i="27"/>
  <c r="R28" i="27"/>
  <c r="P28" i="27"/>
  <c r="N28" i="27"/>
  <c r="J28" i="27"/>
  <c r="X19" i="27"/>
  <c r="X32" i="27" s="1"/>
  <c r="V19" i="27"/>
  <c r="T19" i="27"/>
  <c r="R19" i="27"/>
  <c r="N19" i="27"/>
  <c r="J19" i="27"/>
  <c r="X33" i="29"/>
  <c r="T33" i="29"/>
  <c r="R33" i="29"/>
  <c r="P33" i="29"/>
  <c r="N33" i="29"/>
  <c r="L33" i="29"/>
  <c r="J33" i="29"/>
  <c r="H33" i="29"/>
  <c r="F33" i="29"/>
  <c r="D33" i="29"/>
  <c r="B33" i="29"/>
  <c r="AG24" i="29"/>
  <c r="AI24" i="29" s="1"/>
  <c r="AG23" i="29"/>
  <c r="AI23" i="29" s="1"/>
  <c r="AG22" i="29"/>
  <c r="AI22" i="29" s="1"/>
  <c r="X25" i="29"/>
  <c r="T25" i="29"/>
  <c r="R25" i="29"/>
  <c r="P25" i="29"/>
  <c r="N25" i="29"/>
  <c r="J25" i="29"/>
  <c r="X33" i="28"/>
  <c r="T33" i="28"/>
  <c r="R33" i="28"/>
  <c r="P33" i="28"/>
  <c r="L33" i="28"/>
  <c r="L37" i="28" s="1"/>
  <c r="H33" i="28"/>
  <c r="F33" i="28"/>
  <c r="D33" i="28"/>
  <c r="B33" i="28"/>
  <c r="X25" i="28"/>
  <c r="T25" i="28"/>
  <c r="R25" i="28"/>
  <c r="P25" i="28"/>
  <c r="J25" i="28"/>
  <c r="X17" i="28"/>
  <c r="T17" i="28"/>
  <c r="R17" i="28"/>
  <c r="P17" i="28"/>
  <c r="J17" i="28"/>
  <c r="X17" i="29"/>
  <c r="T17" i="29"/>
  <c r="R17" i="29"/>
  <c r="N17" i="29"/>
  <c r="J17" i="29"/>
  <c r="C40" i="31"/>
  <c r="AG78" i="24"/>
  <c r="AG85" i="24" s="1"/>
  <c r="W78" i="24"/>
  <c r="W85" i="24" s="1"/>
  <c r="S78" i="24"/>
  <c r="S85" i="24" s="1"/>
  <c r="M78" i="24"/>
  <c r="M85" i="24" s="1"/>
  <c r="E95" i="24"/>
  <c r="G31" i="12"/>
  <c r="K31" i="12" s="1"/>
  <c r="G25" i="12"/>
  <c r="K25" i="12" s="1"/>
  <c r="G29" i="12"/>
  <c r="K29" i="12" s="1"/>
  <c r="D69" i="22"/>
  <c r="AG88" i="21"/>
  <c r="AG70" i="21"/>
  <c r="Z88" i="21"/>
  <c r="X88" i="21"/>
  <c r="V88" i="21"/>
  <c r="T88" i="21"/>
  <c r="H88" i="21"/>
  <c r="F88" i="21"/>
  <c r="D88" i="21"/>
  <c r="G29" i="11"/>
  <c r="K29" i="11" s="1"/>
  <c r="Z114" i="20"/>
  <c r="V114" i="20"/>
  <c r="T114" i="20"/>
  <c r="R114" i="20"/>
  <c r="N114" i="20"/>
  <c r="N118" i="20" s="1"/>
  <c r="L114" i="20"/>
  <c r="J114" i="20"/>
  <c r="H114" i="20"/>
  <c r="F114" i="20"/>
  <c r="X98" i="20"/>
  <c r="X105" i="20" s="1"/>
  <c r="V98" i="20"/>
  <c r="V105" i="20" s="1"/>
  <c r="T105" i="20"/>
  <c r="T108" i="20" s="1"/>
  <c r="R98" i="20"/>
  <c r="R105" i="20" s="1"/>
  <c r="L98" i="20"/>
  <c r="L105" i="20" s="1"/>
  <c r="D114" i="20"/>
  <c r="Z116" i="19"/>
  <c r="V116" i="19"/>
  <c r="V120" i="19" s="1"/>
  <c r="T116" i="19"/>
  <c r="N116" i="19"/>
  <c r="H116" i="19"/>
  <c r="F116" i="19"/>
  <c r="AF133" i="18"/>
  <c r="AF110" i="18"/>
  <c r="AF116" i="18" s="1"/>
  <c r="E29" i="8" l="1"/>
  <c r="E31" i="10"/>
  <c r="E35" i="11"/>
  <c r="E29" i="10"/>
  <c r="E21" i="8"/>
  <c r="E32" i="8"/>
  <c r="E24" i="10"/>
  <c r="E30" i="8"/>
  <c r="E23" i="13"/>
  <c r="O23" i="13" s="1"/>
  <c r="E25" i="13"/>
  <c r="O25" i="13" s="1"/>
  <c r="E40" i="7"/>
  <c r="K40" i="7" s="1"/>
  <c r="E21" i="13"/>
  <c r="E20" i="13"/>
  <c r="E27" i="14"/>
  <c r="E21" i="10"/>
  <c r="O21" i="10" s="1"/>
  <c r="E24" i="13"/>
  <c r="E31" i="13"/>
  <c r="E23" i="10"/>
  <c r="O23" i="10" s="1"/>
  <c r="E25" i="8"/>
  <c r="E24" i="8"/>
  <c r="E22" i="13"/>
  <c r="O22" i="13" s="1"/>
  <c r="E30" i="10"/>
  <c r="P26" i="11"/>
  <c r="O33" i="14"/>
  <c r="E25" i="10"/>
  <c r="E26" i="13"/>
  <c r="E33" i="10"/>
  <c r="E33" i="8"/>
  <c r="K33" i="8" s="1"/>
  <c r="E30" i="13"/>
  <c r="E33" i="14"/>
  <c r="E23" i="8"/>
  <c r="O27" i="14"/>
  <c r="P35" i="11"/>
  <c r="E34" i="10"/>
  <c r="E31" i="8"/>
  <c r="E26" i="12"/>
  <c r="E20" i="8"/>
  <c r="E26" i="11"/>
  <c r="E20" i="10"/>
  <c r="E32" i="13"/>
  <c r="E22" i="8"/>
  <c r="E22" i="10"/>
  <c r="O22" i="10" s="1"/>
  <c r="E32" i="12"/>
  <c r="J43" i="3"/>
  <c r="Q67" i="25"/>
  <c r="Q79" i="23"/>
  <c r="Q86" i="23" s="1"/>
  <c r="J28" i="29"/>
  <c r="J37" i="29" s="1"/>
  <c r="V32" i="27"/>
  <c r="V44" i="27" s="1"/>
  <c r="T32" i="27"/>
  <c r="T44" i="27" s="1"/>
  <c r="Q37" i="26"/>
  <c r="Q49" i="26" s="1"/>
  <c r="J32" i="27"/>
  <c r="J44" i="27" s="1"/>
  <c r="Y37" i="26"/>
  <c r="Y49" i="26" s="1"/>
  <c r="R32" i="27"/>
  <c r="R44" i="27" s="1"/>
  <c r="N32" i="27"/>
  <c r="N44" i="27" s="1"/>
  <c r="X28" i="28"/>
  <c r="X37" i="28" s="1"/>
  <c r="B37" i="28"/>
  <c r="G21" i="14"/>
  <c r="K21" i="14" s="1"/>
  <c r="R28" i="28"/>
  <c r="R37" i="28" s="1"/>
  <c r="N37" i="28"/>
  <c r="AL98" i="20"/>
  <c r="AG79" i="21"/>
  <c r="T28" i="28"/>
  <c r="T37" i="28" s="1"/>
  <c r="G31" i="10"/>
  <c r="K31" i="10" s="1"/>
  <c r="G33" i="10"/>
  <c r="F44" i="27"/>
  <c r="H37" i="28"/>
  <c r="G24" i="10"/>
  <c r="K24" i="10" s="1"/>
  <c r="H120" i="19"/>
  <c r="E100" i="24"/>
  <c r="E80" i="25"/>
  <c r="W37" i="26"/>
  <c r="W49" i="26" s="1"/>
  <c r="T28" i="29"/>
  <c r="T37" i="29" s="1"/>
  <c r="S37" i="26"/>
  <c r="S49" i="26" s="1"/>
  <c r="T118" i="20"/>
  <c r="X44" i="27"/>
  <c r="P28" i="28"/>
  <c r="P37" i="28" s="1"/>
  <c r="D44" i="27"/>
  <c r="N28" i="29"/>
  <c r="N37" i="29" s="1"/>
  <c r="B37" i="29"/>
  <c r="H37" i="29"/>
  <c r="P28" i="29"/>
  <c r="P37" i="29" s="1"/>
  <c r="X28" i="29"/>
  <c r="X37" i="29" s="1"/>
  <c r="R28" i="29"/>
  <c r="R37" i="29" s="1"/>
  <c r="F37" i="29"/>
  <c r="J28" i="28"/>
  <c r="J37" i="28" s="1"/>
  <c r="G30" i="10"/>
  <c r="K30" i="10" s="1"/>
  <c r="N120" i="19"/>
  <c r="D118" i="20"/>
  <c r="AG49" i="22"/>
  <c r="AI49" i="22" s="1"/>
  <c r="G24" i="12"/>
  <c r="K24" i="12" s="1"/>
  <c r="AG33" i="29"/>
  <c r="AI33" i="29" s="1"/>
  <c r="AG25" i="29"/>
  <c r="AI25" i="29" s="1"/>
  <c r="V108" i="20"/>
  <c r="V118" i="20" s="1"/>
  <c r="L108" i="20"/>
  <c r="L118" i="20" s="1"/>
  <c r="X108" i="20"/>
  <c r="X118" i="20" s="1"/>
  <c r="R108" i="20"/>
  <c r="R118" i="20" s="1"/>
  <c r="AJ76" i="25"/>
  <c r="AL76" i="25" s="1"/>
  <c r="AJ91" i="24"/>
  <c r="AL91" i="24" s="1"/>
  <c r="J118" i="20"/>
  <c r="J21" i="3"/>
  <c r="Q88" i="24"/>
  <c r="Q100" i="24" s="1"/>
  <c r="K100" i="24"/>
  <c r="S88" i="24"/>
  <c r="S100" i="24" s="1"/>
  <c r="AA88" i="24"/>
  <c r="AA100" i="24" s="1"/>
  <c r="W88" i="24"/>
  <c r="W100" i="24" s="1"/>
  <c r="M88" i="24"/>
  <c r="M100" i="24" s="1"/>
  <c r="Y100" i="24"/>
  <c r="AJ62" i="24"/>
  <c r="AL62" i="24" s="1"/>
  <c r="AJ83" i="24"/>
  <c r="AL83" i="24" s="1"/>
  <c r="O70" i="25"/>
  <c r="O80" i="25" s="1"/>
  <c r="M70" i="25"/>
  <c r="M80" i="25" s="1"/>
  <c r="W70" i="25"/>
  <c r="W80" i="25" s="1"/>
  <c r="K80" i="25"/>
  <c r="S70" i="25"/>
  <c r="S80" i="25" s="1"/>
  <c r="AA70" i="25"/>
  <c r="AA80" i="25" s="1"/>
  <c r="Y70" i="25"/>
  <c r="Y80" i="25" s="1"/>
  <c r="AJ51" i="25"/>
  <c r="AL51" i="25" s="1"/>
  <c r="I49" i="26"/>
  <c r="K37" i="26"/>
  <c r="K49" i="26" s="1"/>
  <c r="H44" i="27"/>
  <c r="B44" i="27"/>
  <c r="D37" i="29"/>
  <c r="K23" i="12"/>
  <c r="AG57" i="22"/>
  <c r="AI57" i="22" s="1"/>
  <c r="G30" i="12"/>
  <c r="T120" i="19"/>
  <c r="G49" i="26"/>
  <c r="AG67" i="22"/>
  <c r="AI67" i="22" s="1"/>
  <c r="AG66" i="22"/>
  <c r="AI66" i="22" s="1"/>
  <c r="F37" i="28"/>
  <c r="H118" i="20"/>
  <c r="I101" i="23"/>
  <c r="AJ65" i="25"/>
  <c r="AL65" i="25" s="1"/>
  <c r="I80" i="25"/>
  <c r="AJ70" i="24"/>
  <c r="AL70" i="24" s="1"/>
  <c r="I100" i="24"/>
  <c r="AJ19" i="24"/>
  <c r="AL19" i="24" s="1"/>
  <c r="AJ26" i="24"/>
  <c r="AL26" i="24" s="1"/>
  <c r="D74" i="22"/>
  <c r="AJ92" i="24"/>
  <c r="AL92" i="24" s="1"/>
  <c r="AJ20" i="24"/>
  <c r="AL20" i="24" s="1"/>
  <c r="D37" i="28"/>
  <c r="AJ76" i="24"/>
  <c r="AL76" i="24" s="1"/>
  <c r="AJ69" i="24"/>
  <c r="AL69" i="24" s="1"/>
  <c r="G100" i="24"/>
  <c r="AJ68" i="24"/>
  <c r="AL68" i="24" s="1"/>
  <c r="AJ59" i="25"/>
  <c r="Q30" i="14"/>
  <c r="U30" i="14" s="1"/>
  <c r="U33" i="14" s="1"/>
  <c r="U37" i="14" s="1"/>
  <c r="G80" i="25"/>
  <c r="AJ44" i="25"/>
  <c r="AL44" i="25" s="1"/>
  <c r="AG55" i="22"/>
  <c r="AI55" i="22" s="1"/>
  <c r="AG108" i="20"/>
  <c r="AG118" i="20" s="1"/>
  <c r="AJ98" i="20"/>
  <c r="F118" i="20"/>
  <c r="AL105" i="20"/>
  <c r="C43" i="31"/>
  <c r="AA33" i="29"/>
  <c r="AA25" i="29"/>
  <c r="N19" i="6"/>
  <c r="N34" i="2"/>
  <c r="C100" i="30"/>
  <c r="C90" i="30"/>
  <c r="K30" i="12" l="1"/>
  <c r="K32" i="12" s="1"/>
  <c r="G32" i="7"/>
  <c r="K32" i="7" s="1"/>
  <c r="O24" i="10"/>
  <c r="E30" i="7"/>
  <c r="O30" i="10"/>
  <c r="E20" i="7"/>
  <c r="K20" i="7" s="1"/>
  <c r="O20" i="10"/>
  <c r="E31" i="7"/>
  <c r="O31" i="10"/>
  <c r="E36" i="12"/>
  <c r="E39" i="12" s="1"/>
  <c r="O37" i="14"/>
  <c r="O40" i="14" s="1"/>
  <c r="E35" i="10"/>
  <c r="E34" i="8"/>
  <c r="E39" i="11"/>
  <c r="E42" i="11" s="1"/>
  <c r="E24" i="7"/>
  <c r="E25" i="7"/>
  <c r="K26" i="11"/>
  <c r="K35" i="11"/>
  <c r="E29" i="7"/>
  <c r="E21" i="7"/>
  <c r="E26" i="10"/>
  <c r="E31" i="9"/>
  <c r="E43" i="9"/>
  <c r="E33" i="13"/>
  <c r="E26" i="8"/>
  <c r="E37" i="14"/>
  <c r="E40" i="14" s="1"/>
  <c r="P39" i="11"/>
  <c r="P42" i="11" s="1"/>
  <c r="E33" i="7"/>
  <c r="E40" i="8"/>
  <c r="E41" i="7"/>
  <c r="E41" i="8"/>
  <c r="E42" i="7"/>
  <c r="E27" i="13"/>
  <c r="E23" i="7"/>
  <c r="K23" i="7" s="1"/>
  <c r="E22" i="7"/>
  <c r="K33" i="10"/>
  <c r="O33" i="10" s="1"/>
  <c r="G33" i="7"/>
  <c r="O121" i="16"/>
  <c r="O130" i="16" s="1"/>
  <c r="AF79" i="23"/>
  <c r="AF86" i="23" s="1"/>
  <c r="G21" i="13"/>
  <c r="K32" i="13"/>
  <c r="O32" i="13" s="1"/>
  <c r="G30" i="14"/>
  <c r="K30" i="14" s="1"/>
  <c r="G20" i="14"/>
  <c r="K20" i="14" s="1"/>
  <c r="G35" i="11"/>
  <c r="AL60" i="25"/>
  <c r="K26" i="12"/>
  <c r="G32" i="12"/>
  <c r="G26" i="10"/>
  <c r="G26" i="12"/>
  <c r="K24" i="13"/>
  <c r="O24" i="13" s="1"/>
  <c r="Q27" i="14"/>
  <c r="AG69" i="22"/>
  <c r="AI69" i="22" s="1"/>
  <c r="K31" i="13"/>
  <c r="O31" i="13" s="1"/>
  <c r="AJ46" i="25"/>
  <c r="G24" i="7"/>
  <c r="AJ27" i="24"/>
  <c r="AL27" i="24" s="1"/>
  <c r="AJ22" i="24"/>
  <c r="AL22" i="24" s="1"/>
  <c r="AG51" i="22"/>
  <c r="AI51" i="22" s="1"/>
  <c r="J46" i="3"/>
  <c r="AJ60" i="25"/>
  <c r="AJ78" i="24"/>
  <c r="AL78" i="24" s="1"/>
  <c r="AJ95" i="24"/>
  <c r="AL95" i="24" s="1"/>
  <c r="AG59" i="22"/>
  <c r="AI59" i="22" s="1"/>
  <c r="AJ105" i="20"/>
  <c r="AG88" i="24"/>
  <c r="H24" i="6"/>
  <c r="AK36" i="18"/>
  <c r="G25" i="9"/>
  <c r="K25" i="9" s="1"/>
  <c r="AI101" i="18"/>
  <c r="AK101" i="18" s="1"/>
  <c r="AI104" i="18"/>
  <c r="AK104" i="18" s="1"/>
  <c r="AI105" i="18"/>
  <c r="AK105" i="18" s="1"/>
  <c r="AI106" i="18"/>
  <c r="AK106" i="18" s="1"/>
  <c r="AI107" i="18"/>
  <c r="AK107" i="18" s="1"/>
  <c r="AI108" i="18"/>
  <c r="AK108" i="18" s="1"/>
  <c r="AI109" i="18"/>
  <c r="AK109" i="18" s="1"/>
  <c r="R110" i="18"/>
  <c r="R116" i="18" s="1"/>
  <c r="T110" i="18"/>
  <c r="AI112" i="18"/>
  <c r="AK112" i="18" s="1"/>
  <c r="G27" i="9"/>
  <c r="K27" i="9" s="1"/>
  <c r="AI130" i="18"/>
  <c r="AK130" i="18" s="1"/>
  <c r="F133" i="18"/>
  <c r="H133" i="18"/>
  <c r="J133" i="18"/>
  <c r="L133" i="18"/>
  <c r="R133" i="18"/>
  <c r="T133" i="18"/>
  <c r="X133" i="18"/>
  <c r="Z133" i="18"/>
  <c r="Z70" i="21"/>
  <c r="Z79" i="21" s="1"/>
  <c r="Z82" i="21" s="1"/>
  <c r="Z92" i="21" s="1"/>
  <c r="X70" i="21"/>
  <c r="X79" i="21" s="1"/>
  <c r="X82" i="21" s="1"/>
  <c r="V70" i="21"/>
  <c r="T70" i="21"/>
  <c r="T79" i="21" s="1"/>
  <c r="T82" i="21" s="1"/>
  <c r="T92" i="21" s="1"/>
  <c r="R70" i="21"/>
  <c r="R79" i="21" s="1"/>
  <c r="R82" i="21" s="1"/>
  <c r="R92" i="21" s="1"/>
  <c r="AG82" i="21"/>
  <c r="AG92" i="21" s="1"/>
  <c r="V79" i="21" l="1"/>
  <c r="V82" i="21" s="1"/>
  <c r="V92" i="21" s="1"/>
  <c r="G36" i="12"/>
  <c r="K24" i="7"/>
  <c r="K33" i="7"/>
  <c r="K36" i="12"/>
  <c r="E39" i="10"/>
  <c r="E42" i="10" s="1"/>
  <c r="E37" i="8"/>
  <c r="E37" i="13"/>
  <c r="K39" i="11"/>
  <c r="E47" i="9"/>
  <c r="E26" i="7"/>
  <c r="E42" i="8"/>
  <c r="E46" i="8" s="1"/>
  <c r="K31" i="9"/>
  <c r="T116" i="18"/>
  <c r="K21" i="13"/>
  <c r="O21" i="13" s="1"/>
  <c r="G20" i="13"/>
  <c r="K27" i="14"/>
  <c r="G30" i="13"/>
  <c r="K33" i="14"/>
  <c r="G22" i="7"/>
  <c r="K22" i="7" s="1"/>
  <c r="G27" i="14"/>
  <c r="F50" i="2"/>
  <c r="AG100" i="24"/>
  <c r="D92" i="21"/>
  <c r="G31" i="9"/>
  <c r="G25" i="7"/>
  <c r="K25" i="7" s="1"/>
  <c r="Q33" i="14"/>
  <c r="Q37" i="14" s="1"/>
  <c r="AJ32" i="24"/>
  <c r="AL32" i="24" s="1"/>
  <c r="AI94" i="18"/>
  <c r="AK94" i="18" s="1"/>
  <c r="X92" i="21"/>
  <c r="N92" i="21"/>
  <c r="J92" i="21"/>
  <c r="AI129" i="18"/>
  <c r="AK129" i="18" s="1"/>
  <c r="G38" i="9"/>
  <c r="K38" i="9" s="1"/>
  <c r="AI127" i="18"/>
  <c r="AK127" i="18" s="1"/>
  <c r="AI114" i="18"/>
  <c r="AK114" i="18" s="1"/>
  <c r="G36" i="9"/>
  <c r="K36" i="9" s="1"/>
  <c r="AI113" i="18"/>
  <c r="AK113" i="18" s="1"/>
  <c r="G35" i="9"/>
  <c r="K35" i="9" s="1"/>
  <c r="G33" i="14"/>
  <c r="AK43" i="18"/>
  <c r="H92" i="21"/>
  <c r="AJ85" i="24"/>
  <c r="AL85" i="24" s="1"/>
  <c r="AI123" i="18"/>
  <c r="AK123" i="18" s="1"/>
  <c r="F49" i="2"/>
  <c r="F92" i="21"/>
  <c r="AJ108" i="20"/>
  <c r="AL108" i="20" s="1"/>
  <c r="R119" i="18"/>
  <c r="AI100" i="18"/>
  <c r="AK100" i="18" s="1"/>
  <c r="F49" i="3" l="1"/>
  <c r="K37" i="14"/>
  <c r="K30" i="13"/>
  <c r="O30" i="13" s="1"/>
  <c r="G37" i="14"/>
  <c r="AI133" i="18"/>
  <c r="AK133" i="18" s="1"/>
  <c r="G31" i="7"/>
  <c r="K31" i="7" s="1"/>
  <c r="G30" i="7"/>
  <c r="K30" i="7" s="1"/>
  <c r="AJ64" i="24"/>
  <c r="AL64" i="24" s="1"/>
  <c r="AG62" i="22"/>
  <c r="AJ88" i="24"/>
  <c r="AL88" i="24" s="1"/>
  <c r="H33" i="6"/>
  <c r="H32" i="6"/>
  <c r="D33" i="6"/>
  <c r="D32" i="6"/>
  <c r="L32" i="6" l="1"/>
  <c r="S32" i="6" s="1"/>
  <c r="U32" i="6" s="1"/>
  <c r="O33" i="13"/>
  <c r="K33" i="13"/>
  <c r="G33" i="13"/>
  <c r="K20" i="13"/>
  <c r="O20" i="13" s="1"/>
  <c r="G27" i="13"/>
  <c r="G21" i="7"/>
  <c r="K21" i="7" s="1"/>
  <c r="AG74" i="22"/>
  <c r="AI74" i="22" s="1"/>
  <c r="AI62" i="22"/>
  <c r="AJ100" i="24"/>
  <c r="D34" i="6"/>
  <c r="L33" i="6"/>
  <c r="S33" i="6" s="1"/>
  <c r="U33" i="6" s="1"/>
  <c r="P34" i="6"/>
  <c r="J32" i="6"/>
  <c r="J33" i="6"/>
  <c r="H34" i="6"/>
  <c r="G34" i="10"/>
  <c r="K26" i="7" l="1"/>
  <c r="U34" i="6"/>
  <c r="K34" i="10"/>
  <c r="O34" i="10" s="1"/>
  <c r="AL100" i="24"/>
  <c r="G37" i="13"/>
  <c r="G26" i="7"/>
  <c r="S34" i="6"/>
  <c r="L34" i="6"/>
  <c r="J34" i="6"/>
  <c r="G42" i="7" l="1"/>
  <c r="K42" i="7" s="1"/>
  <c r="R41" i="43"/>
  <c r="J41" i="43"/>
  <c r="J43" i="43" s="1"/>
  <c r="J45" i="43" s="1"/>
  <c r="L12" i="43" s="1"/>
  <c r="AE128" i="16" l="1"/>
  <c r="AJ74" i="21"/>
  <c r="AL74" i="21" s="1"/>
  <c r="AJ68" i="21"/>
  <c r="AL68" i="21" s="1"/>
  <c r="AJ94" i="20"/>
  <c r="AL94" i="20" s="1"/>
  <c r="R25" i="11"/>
  <c r="V25" i="11" s="1"/>
  <c r="AJ77" i="21"/>
  <c r="AJ73" i="21"/>
  <c r="AL73" i="21" s="1"/>
  <c r="AJ72" i="21"/>
  <c r="AL72" i="21" s="1"/>
  <c r="AJ69" i="21"/>
  <c r="AL69" i="21" s="1"/>
  <c r="AJ67" i="21"/>
  <c r="AL67" i="21" s="1"/>
  <c r="AJ66" i="21"/>
  <c r="AL66" i="21" s="1"/>
  <c r="AJ65" i="21"/>
  <c r="AL65" i="21" s="1"/>
  <c r="AJ64" i="21"/>
  <c r="AL64" i="21" s="1"/>
  <c r="AJ61" i="21"/>
  <c r="AL61" i="21" s="1"/>
  <c r="AJ62" i="21"/>
  <c r="AL62" i="21" s="1"/>
  <c r="AJ54" i="21"/>
  <c r="AJ56" i="21" s="1"/>
  <c r="AJ103" i="20"/>
  <c r="AL103" i="20" s="1"/>
  <c r="AJ102" i="20"/>
  <c r="AL102" i="20" s="1"/>
  <c r="AJ101" i="20"/>
  <c r="AL101" i="20" s="1"/>
  <c r="AJ100" i="20"/>
  <c r="AL100" i="20" s="1"/>
  <c r="AJ97" i="20"/>
  <c r="AL97" i="20" s="1"/>
  <c r="AJ96" i="20"/>
  <c r="AL96" i="20" s="1"/>
  <c r="AJ95" i="20"/>
  <c r="AL95" i="20" s="1"/>
  <c r="AJ93" i="20"/>
  <c r="AL93" i="20" s="1"/>
  <c r="AJ92" i="20"/>
  <c r="AL92" i="20" s="1"/>
  <c r="AJ90" i="20"/>
  <c r="AL90" i="20" s="1"/>
  <c r="AJ89" i="20"/>
  <c r="AL89" i="20" s="1"/>
  <c r="AJ88" i="20"/>
  <c r="AL88" i="20" s="1"/>
  <c r="AJ82" i="20"/>
  <c r="AL82" i="20" s="1"/>
  <c r="V26" i="11" l="1"/>
  <c r="AE118" i="16"/>
  <c r="AE116" i="16"/>
  <c r="AE113" i="16"/>
  <c r="AE112" i="16"/>
  <c r="AE111" i="16"/>
  <c r="R26" i="11"/>
  <c r="AE119" i="16"/>
  <c r="AE120" i="16"/>
  <c r="AE124" i="16"/>
  <c r="AE117" i="16"/>
  <c r="AE123" i="16"/>
  <c r="AE115" i="16"/>
  <c r="AE125" i="16"/>
  <c r="AJ84" i="20"/>
  <c r="J51" i="3"/>
  <c r="J55" i="3" s="1"/>
  <c r="AD88" i="21"/>
  <c r="AL88" i="21" s="1"/>
  <c r="AJ85" i="21"/>
  <c r="AJ111" i="20"/>
  <c r="AL111" i="20" s="1"/>
  <c r="AJ60" i="21"/>
  <c r="AL60" i="21" s="1"/>
  <c r="R29" i="11"/>
  <c r="V29" i="11" s="1"/>
  <c r="K59" i="30" l="1"/>
  <c r="V35" i="11"/>
  <c r="V39" i="11" s="1"/>
  <c r="I26" i="10"/>
  <c r="K25" i="10"/>
  <c r="AL70" i="21"/>
  <c r="AD118" i="20"/>
  <c r="AL114" i="20"/>
  <c r="AE121" i="16"/>
  <c r="AJ88" i="21"/>
  <c r="AJ114" i="20"/>
  <c r="AJ118" i="20" s="1"/>
  <c r="G39" i="11"/>
  <c r="AL79" i="21"/>
  <c r="AJ70" i="21"/>
  <c r="O25" i="10" l="1"/>
  <c r="O26" i="10" s="1"/>
  <c r="F24" i="32"/>
  <c r="K26" i="10"/>
  <c r="AL118" i="20"/>
  <c r="G29" i="10"/>
  <c r="R35" i="11"/>
  <c r="R39" i="11" s="1"/>
  <c r="AJ79" i="21"/>
  <c r="AL82" i="21"/>
  <c r="K29" i="10" l="1"/>
  <c r="G35" i="10"/>
  <c r="G39" i="10" s="1"/>
  <c r="AD92" i="21"/>
  <c r="AJ82" i="21"/>
  <c r="AJ92" i="21" s="1"/>
  <c r="J15" i="6"/>
  <c r="O29" i="10" l="1"/>
  <c r="O35" i="10" s="1"/>
  <c r="O39" i="10" s="1"/>
  <c r="AL92" i="21"/>
  <c r="K35" i="10"/>
  <c r="K39" i="10"/>
  <c r="AL69" i="23" l="1"/>
  <c r="AN69" i="23" s="1"/>
  <c r="AL74" i="23"/>
  <c r="AN74" i="23" s="1"/>
  <c r="AL78" i="23"/>
  <c r="AN78" i="23" s="1"/>
  <c r="AL92" i="23"/>
  <c r="AN92" i="23" s="1"/>
  <c r="E96" i="23"/>
  <c r="AL77" i="23"/>
  <c r="AN77" i="23" s="1"/>
  <c r="AL76" i="23"/>
  <c r="AN76" i="23" s="1"/>
  <c r="AL82" i="23"/>
  <c r="AN82" i="23" s="1"/>
  <c r="AL93" i="23"/>
  <c r="AN93" i="23" s="1"/>
  <c r="AL73" i="23"/>
  <c r="AN73" i="23" s="1"/>
  <c r="AL83" i="23"/>
  <c r="AN83" i="23" s="1"/>
  <c r="AL70" i="23"/>
  <c r="AN70" i="23" s="1"/>
  <c r="AL75" i="23"/>
  <c r="AN75" i="23" s="1"/>
  <c r="AL81" i="23"/>
  <c r="AN81" i="23" s="1"/>
  <c r="AD93" i="19"/>
  <c r="AJ93" i="19" s="1"/>
  <c r="AL93" i="19" s="1"/>
  <c r="AD105" i="19"/>
  <c r="AJ105" i="19" s="1"/>
  <c r="AD96" i="19"/>
  <c r="AJ96" i="19" s="1"/>
  <c r="AL96" i="19" s="1"/>
  <c r="AD90" i="19"/>
  <c r="AJ90" i="19" s="1"/>
  <c r="AL90" i="19" s="1"/>
  <c r="AD88" i="19"/>
  <c r="AD97" i="19"/>
  <c r="AJ97" i="19" s="1"/>
  <c r="AL97" i="19" s="1"/>
  <c r="AD102" i="19"/>
  <c r="AJ102" i="19" s="1"/>
  <c r="AL102" i="19" s="1"/>
  <c r="AD89" i="19"/>
  <c r="AJ89" i="19" s="1"/>
  <c r="AL89" i="19" s="1"/>
  <c r="AD94" i="19"/>
  <c r="AJ94" i="19" s="1"/>
  <c r="AL94" i="19" s="1"/>
  <c r="AJ100" i="19"/>
  <c r="AL100" i="19" s="1"/>
  <c r="AD82" i="19"/>
  <c r="AJ101" i="19"/>
  <c r="AL101" i="19" s="1"/>
  <c r="AD95" i="19"/>
  <c r="AJ95" i="19" s="1"/>
  <c r="AL95" i="19" s="1"/>
  <c r="AJ114" i="19"/>
  <c r="AL114" i="19" s="1"/>
  <c r="AD92" i="19"/>
  <c r="AB34" i="2"/>
  <c r="AB20" i="2"/>
  <c r="V48" i="2"/>
  <c r="Z137" i="18"/>
  <c r="R137" i="18"/>
  <c r="L137" i="18"/>
  <c r="J137" i="18"/>
  <c r="H137" i="18"/>
  <c r="F137" i="18"/>
  <c r="AJ92" i="19" l="1"/>
  <c r="AL92" i="19" s="1"/>
  <c r="AD98" i="19"/>
  <c r="C107" i="16"/>
  <c r="AL94" i="23"/>
  <c r="AN94" i="23" s="1"/>
  <c r="AJ82" i="19"/>
  <c r="AL82" i="19" s="1"/>
  <c r="AL63" i="23"/>
  <c r="AN63" i="23" s="1"/>
  <c r="AL80" i="19"/>
  <c r="AJ113" i="19"/>
  <c r="AL113" i="19" s="1"/>
  <c r="AD116" i="19"/>
  <c r="AJ116" i="19" s="1"/>
  <c r="AL116" i="19" s="1"/>
  <c r="AJ88" i="19"/>
  <c r="AL88" i="19" s="1"/>
  <c r="AL84" i="23"/>
  <c r="AN84" i="23" s="1"/>
  <c r="AL71" i="23"/>
  <c r="AN71" i="23" s="1"/>
  <c r="AL96" i="23"/>
  <c r="AN96" i="23" s="1"/>
  <c r="P34" i="2"/>
  <c r="H34" i="2"/>
  <c r="H42" i="2" s="1"/>
  <c r="P42" i="2" l="1"/>
  <c r="AL79" i="23"/>
  <c r="AN79" i="23" s="1"/>
  <c r="AJ98" i="19"/>
  <c r="AD107" i="19"/>
  <c r="N37" i="5" l="1"/>
  <c r="AJ107" i="19"/>
  <c r="AL107" i="19" s="1"/>
  <c r="AL98" i="19"/>
  <c r="AG67" i="25"/>
  <c r="AG70" i="25" l="1"/>
  <c r="AL70" i="25" s="1"/>
  <c r="AL67" i="25"/>
  <c r="AJ67" i="25"/>
  <c r="AJ70" i="25" l="1"/>
  <c r="AG80" i="25"/>
  <c r="AL80" i="25" l="1"/>
  <c r="AJ80" i="25"/>
  <c r="V40" i="2" l="1"/>
  <c r="C102" i="30" l="1"/>
  <c r="C156" i="30" s="1"/>
  <c r="E43" i="7" l="1"/>
  <c r="E34" i="7"/>
  <c r="G102" i="42" l="1"/>
  <c r="G212" i="42"/>
  <c r="G258" i="42"/>
  <c r="G207" i="42"/>
  <c r="G202" i="42"/>
  <c r="E37" i="7"/>
  <c r="E47" i="7"/>
  <c r="G261" i="42" l="1"/>
  <c r="AD34" i="2"/>
  <c r="AD42" i="2" s="1"/>
  <c r="AE137" i="16"/>
  <c r="AE140" i="16" l="1"/>
  <c r="N26" i="6" l="1"/>
  <c r="N29" i="6" s="1"/>
  <c r="H25" i="6" l="1"/>
  <c r="H23" i="6" l="1"/>
  <c r="H26" i="6" s="1"/>
  <c r="D25" i="6" l="1"/>
  <c r="L25" i="6" s="1"/>
  <c r="S25" i="6" s="1"/>
  <c r="U25" i="6" s="1"/>
  <c r="D24" i="6"/>
  <c r="L24" i="6" s="1"/>
  <c r="D23" i="6"/>
  <c r="D18" i="6"/>
  <c r="D19" i="6" l="1"/>
  <c r="D26" i="6"/>
  <c r="D29" i="6" l="1"/>
  <c r="D39" i="6" s="1"/>
  <c r="W28" i="27"/>
  <c r="R48" i="2" l="1"/>
  <c r="R30" i="2"/>
  <c r="R37" i="2"/>
  <c r="R36" i="2"/>
  <c r="R28" i="2"/>
  <c r="R38" i="2"/>
  <c r="R50" i="2"/>
  <c r="R41" i="2"/>
  <c r="R33" i="2"/>
  <c r="R32" i="2"/>
  <c r="R31" i="2"/>
  <c r="R29" i="2"/>
  <c r="R26" i="2"/>
  <c r="R24" i="2"/>
  <c r="R19" i="2"/>
  <c r="X48" i="2" l="1"/>
  <c r="R49" i="2"/>
  <c r="R51" i="2" s="1"/>
  <c r="R25" i="2"/>
  <c r="R34" i="2" s="1"/>
  <c r="R42" i="2" s="1"/>
  <c r="AB136" i="16" l="1"/>
  <c r="AL86" i="23"/>
  <c r="AN86" i="23" l="1"/>
  <c r="AH136" i="16"/>
  <c r="AJ136" i="16" s="1"/>
  <c r="N50" i="3" l="1"/>
  <c r="N49" i="2"/>
  <c r="N49" i="3" s="1"/>
  <c r="N40" i="2"/>
  <c r="N37" i="2"/>
  <c r="N38" i="3" s="1"/>
  <c r="N19" i="2"/>
  <c r="N20" i="3" s="1"/>
  <c r="N18" i="2"/>
  <c r="N18" i="3"/>
  <c r="N16" i="3"/>
  <c r="N15" i="3"/>
  <c r="N19" i="3" l="1"/>
  <c r="T19" i="3" s="1"/>
  <c r="G24" i="8" s="1"/>
  <c r="K24" i="8" s="1"/>
  <c r="N20" i="2"/>
  <c r="X40" i="2"/>
  <c r="AI40" i="2" s="1"/>
  <c r="N41" i="3"/>
  <c r="T41" i="3" s="1"/>
  <c r="T49" i="3"/>
  <c r="N51" i="3"/>
  <c r="N42" i="2"/>
  <c r="N51" i="2"/>
  <c r="N21" i="3" l="1"/>
  <c r="AD19" i="3"/>
  <c r="AF19" i="3" s="1"/>
  <c r="N43" i="3"/>
  <c r="AG40" i="2"/>
  <c r="G40" i="8"/>
  <c r="K40" i="8" s="1"/>
  <c r="AD49" i="3"/>
  <c r="G32" i="8"/>
  <c r="K32" i="8" s="1"/>
  <c r="AD41" i="3"/>
  <c r="AF41" i="3" s="1"/>
  <c r="N45" i="2"/>
  <c r="N55" i="2" s="1"/>
  <c r="N46" i="3" l="1"/>
  <c r="N55" i="3" s="1"/>
  <c r="Y51" i="3"/>
  <c r="AF49" i="3"/>
  <c r="J50" i="2" l="1"/>
  <c r="J49" i="2"/>
  <c r="X49" i="2" s="1"/>
  <c r="J51" i="2" l="1"/>
  <c r="V41" i="2" l="1"/>
  <c r="J30" i="2"/>
  <c r="J26" i="2"/>
  <c r="J32" i="2"/>
  <c r="J37" i="2" l="1"/>
  <c r="J31" i="2"/>
  <c r="J29" i="2"/>
  <c r="J28" i="2"/>
  <c r="J33" i="2"/>
  <c r="J24" i="2"/>
  <c r="J41" i="2"/>
  <c r="X41" i="2" s="1"/>
  <c r="AI41" i="2" s="1"/>
  <c r="J25" i="2"/>
  <c r="J34" i="2" l="1"/>
  <c r="AG41" i="2"/>
  <c r="J36" i="2"/>
  <c r="J19" i="2"/>
  <c r="J38" i="2"/>
  <c r="J18" i="2"/>
  <c r="J42" i="2" l="1"/>
  <c r="F38" i="2" l="1"/>
  <c r="F39" i="3" s="1"/>
  <c r="T39" i="3" s="1"/>
  <c r="F37" i="2"/>
  <c r="F36" i="2"/>
  <c r="F33" i="2"/>
  <c r="F32" i="2"/>
  <c r="F31" i="2"/>
  <c r="F29" i="2"/>
  <c r="F19" i="2"/>
  <c r="F17" i="2"/>
  <c r="F15" i="2"/>
  <c r="F16" i="3" l="1"/>
  <c r="T16" i="3" s="1"/>
  <c r="X29" i="2"/>
  <c r="F30" i="3"/>
  <c r="T30" i="3" s="1"/>
  <c r="AD30" i="3" s="1"/>
  <c r="AF30" i="3" s="1"/>
  <c r="X33" i="2"/>
  <c r="AI33" i="2" s="1"/>
  <c r="F34" i="3"/>
  <c r="T34" i="3" s="1"/>
  <c r="AD34" i="3" s="1"/>
  <c r="AF34" i="3" s="1"/>
  <c r="G31" i="8"/>
  <c r="K31" i="8" s="1"/>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16" i="2"/>
  <c r="F24" i="2"/>
  <c r="F25" i="3" s="1"/>
  <c r="F25" i="2"/>
  <c r="F26" i="3" s="1"/>
  <c r="T26" i="3" s="1"/>
  <c r="AD26" i="3" s="1"/>
  <c r="AF26" i="3" s="1"/>
  <c r="F50" i="3"/>
  <c r="AG36" i="2" l="1"/>
  <c r="AI36" i="2"/>
  <c r="AG32" i="2"/>
  <c r="AI32" i="2"/>
  <c r="AG31" i="2"/>
  <c r="AI31" i="2"/>
  <c r="AG30" i="2"/>
  <c r="AI30" i="2"/>
  <c r="AG29" i="2"/>
  <c r="AI29" i="2"/>
  <c r="AG28" i="2"/>
  <c r="AI28" i="2"/>
  <c r="AG33" i="2"/>
  <c r="AD16" i="3"/>
  <c r="AF16" i="3" s="1"/>
  <c r="G21" i="8"/>
  <c r="K21" i="8" s="1"/>
  <c r="F51" i="3"/>
  <c r="T50" i="3"/>
  <c r="AD50" i="3" s="1"/>
  <c r="AD51" i="3" s="1"/>
  <c r="AF51" i="3" s="1"/>
  <c r="T25" i="3"/>
  <c r="AD18" i="3"/>
  <c r="AF18" i="3" s="1"/>
  <c r="G23" i="8"/>
  <c r="K23" i="8" s="1"/>
  <c r="AG37" i="2"/>
  <c r="AD20" i="3"/>
  <c r="AF20" i="3" s="1"/>
  <c r="G25" i="8"/>
  <c r="K25" i="8" s="1"/>
  <c r="F17" i="3"/>
  <c r="T17" i="3" s="1"/>
  <c r="AD37" i="3"/>
  <c r="AF37" i="3" s="1"/>
  <c r="G30" i="8"/>
  <c r="K30" i="8" s="1"/>
  <c r="F51" i="2"/>
  <c r="X24" i="2"/>
  <c r="AI24" i="2" s="1"/>
  <c r="AG19" i="2"/>
  <c r="X50" i="2"/>
  <c r="X51" i="2" s="1"/>
  <c r="AG49" i="2"/>
  <c r="AG38" i="2"/>
  <c r="X25" i="2"/>
  <c r="AI25" i="2" s="1"/>
  <c r="AG17" i="2"/>
  <c r="X16" i="2"/>
  <c r="AI16" i="2" s="1"/>
  <c r="AI50" i="2" l="1"/>
  <c r="AI49" i="2"/>
  <c r="AD25" i="3"/>
  <c r="AF25" i="3" s="1"/>
  <c r="G22" i="8"/>
  <c r="K22" i="8" s="1"/>
  <c r="AD17" i="3"/>
  <c r="AF17" i="3" s="1"/>
  <c r="G41" i="8"/>
  <c r="K41" i="8" s="1"/>
  <c r="K42" i="8" s="1"/>
  <c r="T51" i="3"/>
  <c r="AG24" i="2"/>
  <c r="AG50" i="2"/>
  <c r="AG25" i="2"/>
  <c r="AG16" i="2"/>
  <c r="G42" i="8" l="1"/>
  <c r="AF50" i="3"/>
  <c r="AE130" i="16"/>
  <c r="J25" i="6" l="1"/>
  <c r="S24" i="6"/>
  <c r="U24" i="6" s="1"/>
  <c r="J24" i="6"/>
  <c r="L23" i="6"/>
  <c r="S23" i="6" s="1"/>
  <c r="U23" i="6" s="1"/>
  <c r="J23" i="6"/>
  <c r="J19" i="6"/>
  <c r="L15" i="6"/>
  <c r="H15" i="6"/>
  <c r="L14" i="6"/>
  <c r="H14" i="6"/>
  <c r="P14" i="6" s="1"/>
  <c r="S26" i="6" l="1"/>
  <c r="U26" i="6" s="1"/>
  <c r="J26" i="6"/>
  <c r="J29" i="6" s="1"/>
  <c r="J39" i="6" s="1"/>
  <c r="L26" i="6"/>
  <c r="AG48" i="2" l="1"/>
  <c r="AG51" i="2" s="1"/>
  <c r="AB128" i="16"/>
  <c r="AB127" i="16"/>
  <c r="AA12" i="3"/>
  <c r="AI48" i="2" l="1"/>
  <c r="AI51" i="2"/>
  <c r="C121" i="16"/>
  <c r="C130" i="16" s="1"/>
  <c r="AH127" i="16"/>
  <c r="AJ127" i="16" s="1"/>
  <c r="AH128" i="16"/>
  <c r="AJ128" i="16" s="1"/>
  <c r="F14" i="2" l="1"/>
  <c r="F15" i="3" l="1"/>
  <c r="F20" i="2"/>
  <c r="F21" i="3" l="1"/>
  <c r="T15" i="3"/>
  <c r="C133" i="16"/>
  <c r="G20" i="8" l="1"/>
  <c r="K20" i="8" s="1"/>
  <c r="T21" i="3"/>
  <c r="G26" i="8" l="1"/>
  <c r="K26" i="8"/>
  <c r="L45" i="43" l="1"/>
  <c r="N12" i="43" s="1"/>
  <c r="L37" i="29"/>
  <c r="AA17" i="29"/>
  <c r="AA28" i="29" s="1"/>
  <c r="AA37" i="29" s="1"/>
  <c r="AB42" i="2" l="1"/>
  <c r="AB45" i="2" s="1"/>
  <c r="AG16" i="29"/>
  <c r="AI16" i="29" s="1"/>
  <c r="H18" i="6"/>
  <c r="L18" i="6" s="1"/>
  <c r="H19" i="6" l="1"/>
  <c r="H29" i="6" s="1"/>
  <c r="H39" i="6" s="1"/>
  <c r="AG17" i="29"/>
  <c r="AI17" i="29" s="1"/>
  <c r="L19" i="6" l="1"/>
  <c r="L29" i="6" s="1"/>
  <c r="AG28" i="29"/>
  <c r="AI28" i="29" s="1"/>
  <c r="K14" i="30" l="1"/>
  <c r="L39" i="6"/>
  <c r="AG37" i="29"/>
  <c r="AI37" i="29" s="1"/>
  <c r="AG16" i="28" l="1"/>
  <c r="AG17" i="28" s="1"/>
  <c r="P19" i="6"/>
  <c r="P29" i="6" s="1"/>
  <c r="AD17" i="28"/>
  <c r="AD28" i="28" s="1"/>
  <c r="AG28" i="28" l="1"/>
  <c r="AI28" i="28" s="1"/>
  <c r="AD37" i="28"/>
  <c r="AI17" i="28"/>
  <c r="AI16" i="28"/>
  <c r="P39" i="6"/>
  <c r="S29" i="6"/>
  <c r="U29" i="6" s="1"/>
  <c r="S18" i="6"/>
  <c r="S39" i="6" l="1"/>
  <c r="S19" i="6"/>
  <c r="U19" i="6" s="1"/>
  <c r="U18" i="6"/>
  <c r="AG37" i="28"/>
  <c r="AI37" i="28" s="1"/>
  <c r="U39" i="6" l="1"/>
  <c r="AE21" i="16"/>
  <c r="AE26" i="16" s="1"/>
  <c r="AI17" i="18"/>
  <c r="AK17" i="18" s="1"/>
  <c r="AE21" i="17"/>
  <c r="AE26" i="17" s="1"/>
  <c r="AF26" i="18"/>
  <c r="AA15" i="3" l="1"/>
  <c r="AD14" i="2"/>
  <c r="AF53" i="18"/>
  <c r="AF96" i="18" s="1"/>
  <c r="AF119" i="18" s="1"/>
  <c r="AF137" i="18" s="1"/>
  <c r="AI137" i="18" s="1"/>
  <c r="AK137" i="18" s="1"/>
  <c r="AD16" i="15"/>
  <c r="AD21" i="15" s="1"/>
  <c r="AH21" i="15" s="1"/>
  <c r="AE30" i="17"/>
  <c r="AE58" i="17" s="1"/>
  <c r="AE107" i="17" s="1"/>
  <c r="K109" i="30" l="1"/>
  <c r="AH16" i="15"/>
  <c r="AJ16" i="15" s="1"/>
  <c r="AJ21" i="15"/>
  <c r="AD25" i="15"/>
  <c r="AE30" i="16"/>
  <c r="AE58" i="16" s="1"/>
  <c r="AI26" i="18"/>
  <c r="AD20" i="2"/>
  <c r="AD15" i="3"/>
  <c r="AA21" i="3"/>
  <c r="AA46" i="3" s="1"/>
  <c r="AA55" i="3" s="1"/>
  <c r="AE133" i="17"/>
  <c r="AD56" i="15" l="1"/>
  <c r="AE107" i="16"/>
  <c r="AF139" i="18"/>
  <c r="AF15" i="3"/>
  <c r="AD21" i="3"/>
  <c r="AI53" i="18"/>
  <c r="AK26" i="18"/>
  <c r="AE143" i="17"/>
  <c r="AD45" i="2"/>
  <c r="AD38" i="28" l="1"/>
  <c r="AE133" i="16"/>
  <c r="AD55" i="2"/>
  <c r="AI96" i="18"/>
  <c r="AK96" i="18" s="1"/>
  <c r="AK53" i="18"/>
  <c r="AF21" i="3"/>
  <c r="AE144" i="16" l="1"/>
  <c r="Z25" i="43" l="1"/>
  <c r="Z32" i="43"/>
  <c r="Z30" i="43"/>
  <c r="N43" i="43"/>
  <c r="N45" i="43" s="1"/>
  <c r="P12" i="43" s="1"/>
  <c r="AB37" i="15" l="1"/>
  <c r="F26" i="2" l="1"/>
  <c r="X26" i="2" s="1"/>
  <c r="X34" i="2" s="1"/>
  <c r="G34" i="9"/>
  <c r="K34" i="9" s="1"/>
  <c r="AI102" i="18"/>
  <c r="AK102" i="18" s="1"/>
  <c r="G43" i="9" l="1"/>
  <c r="G47" i="9" s="1"/>
  <c r="K43" i="9"/>
  <c r="K47" i="9" s="1"/>
  <c r="W121" i="16"/>
  <c r="W130" i="16" s="1"/>
  <c r="W133" i="16" s="1"/>
  <c r="AI34" i="2"/>
  <c r="X42" i="2"/>
  <c r="X110" i="18"/>
  <c r="X116" i="18" s="1"/>
  <c r="F34" i="2"/>
  <c r="F42" i="2" s="1"/>
  <c r="F45" i="2" s="1"/>
  <c r="F27" i="3"/>
  <c r="AI119" i="18"/>
  <c r="AK119" i="18" s="1"/>
  <c r="AI26" i="2"/>
  <c r="AG26" i="2"/>
  <c r="AG34" i="2" s="1"/>
  <c r="AG42" i="2" s="1"/>
  <c r="G29" i="7"/>
  <c r="K29" i="7" s="1"/>
  <c r="K34" i="7" s="1"/>
  <c r="K37" i="7" s="1"/>
  <c r="AI110" i="18"/>
  <c r="X119" i="18" l="1"/>
  <c r="X137" i="18" s="1"/>
  <c r="F55" i="2"/>
  <c r="AI42" i="2"/>
  <c r="W121" i="17"/>
  <c r="F35" i="3"/>
  <c r="T27" i="3"/>
  <c r="AK110" i="18"/>
  <c r="AI116" i="18"/>
  <c r="AK116" i="18" s="1"/>
  <c r="G34" i="7"/>
  <c r="W130" i="17" l="1"/>
  <c r="W133" i="17" s="1"/>
  <c r="W143" i="17" s="1"/>
  <c r="F43" i="3"/>
  <c r="F46" i="3" s="1"/>
  <c r="F55" i="3" s="1"/>
  <c r="V50" i="2"/>
  <c r="U138" i="16" s="1"/>
  <c r="AD27" i="3"/>
  <c r="T35" i="3"/>
  <c r="T43" i="3" s="1"/>
  <c r="G37" i="7"/>
  <c r="Q140" i="16" l="1"/>
  <c r="Q144" i="16" s="1"/>
  <c r="S140" i="16"/>
  <c r="V51" i="2"/>
  <c r="U140" i="16"/>
  <c r="G29" i="8"/>
  <c r="K29" i="8" s="1"/>
  <c r="T46" i="3"/>
  <c r="T55" i="3" s="1"/>
  <c r="AF27" i="3"/>
  <c r="AD35" i="3"/>
  <c r="AD43" i="3" s="1"/>
  <c r="AF43" i="3" s="1"/>
  <c r="G34" i="8" l="1"/>
  <c r="K34" i="8"/>
  <c r="K46" i="8" s="1"/>
  <c r="AD46" i="3"/>
  <c r="AF46" i="3" s="1"/>
  <c r="AF35" i="3"/>
  <c r="AD55" i="3" l="1"/>
  <c r="AF55" i="3" s="1"/>
  <c r="G46" i="8"/>
  <c r="G37" i="8"/>
  <c r="K37" i="8"/>
  <c r="D26" i="18" l="1"/>
  <c r="K93" i="30" l="1"/>
  <c r="E100" i="30"/>
  <c r="D53" i="18"/>
  <c r="D96" i="18" s="1"/>
  <c r="D119" i="18" s="1"/>
  <c r="D137" i="18" s="1"/>
  <c r="N21" i="5" l="1"/>
  <c r="N32" i="5" s="1"/>
  <c r="N42" i="5" s="1"/>
  <c r="E23" i="23" l="1"/>
  <c r="E33" i="23" l="1"/>
  <c r="E65" i="23" s="1"/>
  <c r="E89" i="23" s="1"/>
  <c r="E101" i="23" s="1"/>
  <c r="AB116" i="19" l="1"/>
  <c r="AB120" i="19" s="1"/>
  <c r="AB122" i="19" s="1"/>
  <c r="N26" i="18" l="1"/>
  <c r="N36" i="18" l="1"/>
  <c r="N53" i="18" l="1"/>
  <c r="N96" i="18" s="1"/>
  <c r="N110" i="18" l="1"/>
  <c r="N116" i="18" s="1"/>
  <c r="N119" i="18" l="1"/>
  <c r="N137" i="18" l="1"/>
  <c r="V20" i="15" l="1"/>
  <c r="V18" i="15"/>
  <c r="V16" i="15"/>
  <c r="V17" i="15"/>
  <c r="V19" i="15"/>
  <c r="T26" i="18"/>
  <c r="V21" i="15" l="1"/>
  <c r="T53" i="18"/>
  <c r="T96" i="18" s="1"/>
  <c r="T119" i="18" s="1"/>
  <c r="T137" i="18" s="1"/>
  <c r="S30" i="17"/>
  <c r="S58" i="17" s="1"/>
  <c r="S107" i="17" l="1"/>
  <c r="S133" i="17" s="1"/>
  <c r="S143" i="17" s="1"/>
  <c r="S30" i="16"/>
  <c r="S58" i="16" l="1"/>
  <c r="U61" i="23" l="1"/>
  <c r="U42" i="25"/>
  <c r="U46" i="25" s="1"/>
  <c r="U70" i="25" s="1"/>
  <c r="U80" i="25" s="1"/>
  <c r="S103" i="16" l="1"/>
  <c r="S107" i="16" s="1"/>
  <c r="S133" i="16" s="1"/>
  <c r="S144" i="16" s="1"/>
  <c r="U65" i="23"/>
  <c r="U89" i="23" s="1"/>
  <c r="U101" i="23" s="1"/>
  <c r="D38" i="3" l="1"/>
  <c r="R38" i="3" s="1"/>
  <c r="D34" i="3"/>
  <c r="R34" i="3" s="1"/>
  <c r="AB43" i="17"/>
  <c r="AH43" i="17" s="1"/>
  <c r="V30" i="2"/>
  <c r="V16" i="2"/>
  <c r="V31" i="2"/>
  <c r="AB53" i="17"/>
  <c r="AH53" i="17" s="1"/>
  <c r="AJ53" i="17" s="1"/>
  <c r="AB136" i="17"/>
  <c r="AH136" i="17" s="1"/>
  <c r="AB101" i="17"/>
  <c r="AH101" i="17" s="1"/>
  <c r="AJ101" i="17" s="1"/>
  <c r="AB62" i="16"/>
  <c r="D33" i="3"/>
  <c r="R33" i="3" s="1"/>
  <c r="AB95" i="16"/>
  <c r="AH95" i="16" s="1"/>
  <c r="AJ95" i="16" s="1"/>
  <c r="AB112" i="16"/>
  <c r="AH112" i="16" s="1"/>
  <c r="AJ112" i="16" s="1"/>
  <c r="AB66" i="16"/>
  <c r="AH66" i="16" s="1"/>
  <c r="AJ66" i="16" s="1"/>
  <c r="AB37" i="16"/>
  <c r="AH37" i="16" s="1"/>
  <c r="AJ37" i="16" s="1"/>
  <c r="AB62" i="17"/>
  <c r="AH62" i="17" s="1"/>
  <c r="AJ62" i="17" s="1"/>
  <c r="AB94" i="17"/>
  <c r="AH94" i="17" s="1"/>
  <c r="AJ94" i="17" s="1"/>
  <c r="AB88" i="17"/>
  <c r="AH88" i="17" s="1"/>
  <c r="AJ88" i="17" s="1"/>
  <c r="AB44" i="16"/>
  <c r="AH44" i="16" s="1"/>
  <c r="AJ44" i="16" s="1"/>
  <c r="AB124" i="17"/>
  <c r="AB113" i="16"/>
  <c r="AH113" i="16" s="1"/>
  <c r="AJ113" i="16" s="1"/>
  <c r="AB52" i="17"/>
  <c r="AH52" i="17" s="1"/>
  <c r="AJ52" i="17" s="1"/>
  <c r="AB98" i="17"/>
  <c r="AH98" i="17" s="1"/>
  <c r="AJ98" i="17" s="1"/>
  <c r="AB67" i="16"/>
  <c r="AH67" i="16" s="1"/>
  <c r="AJ67" i="16" s="1"/>
  <c r="AB123" i="16"/>
  <c r="AH123" i="16" s="1"/>
  <c r="AJ123" i="16" s="1"/>
  <c r="D37" i="3"/>
  <c r="AB34" i="16"/>
  <c r="AH34" i="16" s="1"/>
  <c r="AJ34" i="16" s="1"/>
  <c r="AB45" i="16"/>
  <c r="AH45" i="16" s="1"/>
  <c r="AJ45" i="16" s="1"/>
  <c r="AB67" i="17"/>
  <c r="AH67" i="17" s="1"/>
  <c r="AJ67" i="17" s="1"/>
  <c r="AB34" i="17"/>
  <c r="AH34" i="17" s="1"/>
  <c r="AJ34" i="17" s="1"/>
  <c r="AB99" i="16"/>
  <c r="AH99" i="16" s="1"/>
  <c r="AJ99" i="16" s="1"/>
  <c r="AB77" i="17"/>
  <c r="AH77" i="17" s="1"/>
  <c r="AJ77" i="17" s="1"/>
  <c r="V29" i="2"/>
  <c r="AB82" i="17"/>
  <c r="AH82" i="17" s="1"/>
  <c r="AJ82" i="17" s="1"/>
  <c r="AB46" i="16"/>
  <c r="AH46" i="16" s="1"/>
  <c r="AJ46" i="16" s="1"/>
  <c r="V25" i="2"/>
  <c r="AB87" i="16"/>
  <c r="AH87" i="16" s="1"/>
  <c r="AJ87" i="16" s="1"/>
  <c r="AB120" i="16"/>
  <c r="AH120" i="16" s="1"/>
  <c r="AJ120" i="16" s="1"/>
  <c r="AB88" i="16"/>
  <c r="AH88" i="16" s="1"/>
  <c r="AJ88" i="16" s="1"/>
  <c r="AB65" i="17"/>
  <c r="AH65" i="17" s="1"/>
  <c r="AJ65" i="17" s="1"/>
  <c r="AB54" i="17"/>
  <c r="AH54" i="17" s="1"/>
  <c r="AJ54" i="17" s="1"/>
  <c r="AB24" i="16"/>
  <c r="AH24" i="16" s="1"/>
  <c r="AJ24" i="16" s="1"/>
  <c r="AB23" i="17"/>
  <c r="AB92" i="16"/>
  <c r="AH92" i="16" s="1"/>
  <c r="AJ92" i="16" s="1"/>
  <c r="AB111" i="16"/>
  <c r="AB73" i="17"/>
  <c r="AH73" i="17" s="1"/>
  <c r="AJ73" i="17" s="1"/>
  <c r="AB70" i="17"/>
  <c r="AH70" i="17" s="1"/>
  <c r="AJ70" i="17" s="1"/>
  <c r="AB72" i="17"/>
  <c r="AH72" i="17" s="1"/>
  <c r="AJ72" i="17" s="1"/>
  <c r="AB119" i="16"/>
  <c r="AH119" i="16" s="1"/>
  <c r="AJ119" i="16" s="1"/>
  <c r="AB98" i="16"/>
  <c r="AH98" i="16" s="1"/>
  <c r="AJ98" i="16" s="1"/>
  <c r="AH24" i="17"/>
  <c r="AJ24" i="17" s="1"/>
  <c r="AB97" i="17"/>
  <c r="AH97" i="17" s="1"/>
  <c r="AJ97" i="17" s="1"/>
  <c r="AB75" i="16"/>
  <c r="AH75" i="16" s="1"/>
  <c r="AJ75" i="16" s="1"/>
  <c r="AB99" i="17"/>
  <c r="AH99" i="17" s="1"/>
  <c r="AJ99" i="17" s="1"/>
  <c r="AB123" i="17"/>
  <c r="AH123" i="17" s="1"/>
  <c r="AJ123" i="17" s="1"/>
  <c r="AB82" i="16"/>
  <c r="AH82" i="16" s="1"/>
  <c r="AJ82" i="16" s="1"/>
  <c r="AB87" i="17"/>
  <c r="AH87" i="17" s="1"/>
  <c r="AJ87" i="17" s="1"/>
  <c r="AB29" i="16"/>
  <c r="AH29" i="16" s="1"/>
  <c r="AJ29" i="16" s="1"/>
  <c r="AB68" i="16"/>
  <c r="AH68" i="16" s="1"/>
  <c r="AJ68" i="16" s="1"/>
  <c r="AB137" i="17"/>
  <c r="AH137" i="17" s="1"/>
  <c r="AJ137" i="17" s="1"/>
  <c r="AB43" i="16"/>
  <c r="AB125" i="17"/>
  <c r="AH125" i="17" s="1"/>
  <c r="AJ125" i="17" s="1"/>
  <c r="AB89" i="17"/>
  <c r="AH89" i="17" s="1"/>
  <c r="AJ89" i="17" s="1"/>
  <c r="AB66" i="17"/>
  <c r="AH66" i="17" s="1"/>
  <c r="AJ66" i="17" s="1"/>
  <c r="AB116" i="16"/>
  <c r="AH116" i="16" s="1"/>
  <c r="AJ116" i="16" s="1"/>
  <c r="AB73" i="16"/>
  <c r="AH73" i="16" s="1"/>
  <c r="AJ73" i="16" s="1"/>
  <c r="AB74" i="17"/>
  <c r="AH74" i="17" s="1"/>
  <c r="AJ74" i="17" s="1"/>
  <c r="AB91" i="16"/>
  <c r="AH91" i="16" s="1"/>
  <c r="AJ91" i="16" s="1"/>
  <c r="AB51" i="16"/>
  <c r="AH51" i="16" s="1"/>
  <c r="AJ51" i="16" s="1"/>
  <c r="AH22" i="16"/>
  <c r="AJ22" i="16" s="1"/>
  <c r="AB115" i="16"/>
  <c r="AH115" i="16" s="1"/>
  <c r="AJ115" i="16" s="1"/>
  <c r="AB100" i="17"/>
  <c r="AH100" i="17" s="1"/>
  <c r="AJ100" i="17" s="1"/>
  <c r="AB36" i="16"/>
  <c r="AH36" i="16" s="1"/>
  <c r="AJ36" i="16" s="1"/>
  <c r="AB85" i="16"/>
  <c r="AH85" i="16" s="1"/>
  <c r="AJ85" i="16" s="1"/>
  <c r="AB65" i="16"/>
  <c r="AH65" i="16" s="1"/>
  <c r="AJ65" i="16" s="1"/>
  <c r="AH21" i="16"/>
  <c r="AJ21" i="16" s="1"/>
  <c r="AH22" i="17"/>
  <c r="AJ22" i="17" s="1"/>
  <c r="AH21" i="17"/>
  <c r="AJ21" i="17" s="1"/>
  <c r="AB44" i="17"/>
  <c r="AH44" i="17" s="1"/>
  <c r="AJ44" i="17" s="1"/>
  <c r="AB75" i="17"/>
  <c r="AH75" i="17" s="1"/>
  <c r="AJ75" i="17" s="1"/>
  <c r="AB37" i="17"/>
  <c r="AH37" i="17" s="1"/>
  <c r="AJ37" i="17" s="1"/>
  <c r="AB32" i="16"/>
  <c r="D50" i="3"/>
  <c r="R50" i="3" s="1"/>
  <c r="AB86" i="17"/>
  <c r="AH86" i="17" s="1"/>
  <c r="AJ86" i="17" s="1"/>
  <c r="AB47" i="17"/>
  <c r="AH47" i="17" s="1"/>
  <c r="AJ47" i="17" s="1"/>
  <c r="AB72" i="16"/>
  <c r="AH72" i="16" s="1"/>
  <c r="AJ72" i="16" s="1"/>
  <c r="AB112" i="17"/>
  <c r="AH112" i="17" s="1"/>
  <c r="AJ112" i="17" s="1"/>
  <c r="AB76" i="17"/>
  <c r="AH76" i="17" s="1"/>
  <c r="AJ76" i="17" s="1"/>
  <c r="AB118" i="17"/>
  <c r="AH118" i="17" s="1"/>
  <c r="AJ118" i="17" s="1"/>
  <c r="AB45" i="17"/>
  <c r="AH45" i="17" s="1"/>
  <c r="AJ45" i="17" s="1"/>
  <c r="AB51" i="17"/>
  <c r="AH51" i="17" s="1"/>
  <c r="AJ51" i="17" s="1"/>
  <c r="AB86" i="16"/>
  <c r="AH86" i="16" s="1"/>
  <c r="AJ86" i="16" s="1"/>
  <c r="AB52" i="16"/>
  <c r="AH52" i="16" s="1"/>
  <c r="AJ52" i="16" s="1"/>
  <c r="AB38" i="17"/>
  <c r="AH38" i="17" s="1"/>
  <c r="AJ38" i="17" s="1"/>
  <c r="AB38" i="16"/>
  <c r="AH38" i="16" s="1"/>
  <c r="AJ38" i="16" s="1"/>
  <c r="AB94" i="16"/>
  <c r="AH94" i="16" s="1"/>
  <c r="AJ94" i="16" s="1"/>
  <c r="AB53" i="16"/>
  <c r="AH53" i="16" s="1"/>
  <c r="AJ53" i="16" s="1"/>
  <c r="AB25" i="16"/>
  <c r="AH25" i="16" s="1"/>
  <c r="AJ25" i="16" s="1"/>
  <c r="AB105" i="17"/>
  <c r="AB54" i="16"/>
  <c r="AH54" i="16" s="1"/>
  <c r="AJ54" i="16" s="1"/>
  <c r="AB70" i="16"/>
  <c r="AH70" i="16" s="1"/>
  <c r="AJ70" i="16" s="1"/>
  <c r="AB111" i="17"/>
  <c r="AH111" i="17" s="1"/>
  <c r="AJ111" i="17" s="1"/>
  <c r="AH23" i="16"/>
  <c r="AJ23" i="16" s="1"/>
  <c r="AB25" i="17"/>
  <c r="AH25" i="17" s="1"/>
  <c r="AJ25" i="17" s="1"/>
  <c r="AB97" i="16"/>
  <c r="AH97" i="16" s="1"/>
  <c r="AJ97" i="16" s="1"/>
  <c r="AB29" i="17"/>
  <c r="AH29" i="17" s="1"/>
  <c r="AJ29" i="17" s="1"/>
  <c r="AB115" i="17"/>
  <c r="AH115" i="17" s="1"/>
  <c r="AJ115" i="17" s="1"/>
  <c r="AB63" i="17"/>
  <c r="AB119" i="17"/>
  <c r="AH119" i="17" s="1"/>
  <c r="AJ119" i="17" s="1"/>
  <c r="AB124" i="16"/>
  <c r="AH124" i="16" s="1"/>
  <c r="AJ124" i="16" s="1"/>
  <c r="AB36" i="17"/>
  <c r="AH36" i="17" s="1"/>
  <c r="AJ36" i="17" s="1"/>
  <c r="AB117" i="16"/>
  <c r="AH117" i="16" s="1"/>
  <c r="AJ117" i="16" s="1"/>
  <c r="AB116" i="17"/>
  <c r="AH116" i="17" s="1"/>
  <c r="AJ116" i="17" s="1"/>
  <c r="AB92" i="17"/>
  <c r="AH92" i="17" s="1"/>
  <c r="AJ92" i="17" s="1"/>
  <c r="AB76" i="16"/>
  <c r="AH76" i="16" s="1"/>
  <c r="AJ76" i="16" s="1"/>
  <c r="AB105" i="16"/>
  <c r="AB91" i="17"/>
  <c r="AH91" i="17" s="1"/>
  <c r="AJ91" i="17" s="1"/>
  <c r="AB89" i="16"/>
  <c r="AH89" i="16" s="1"/>
  <c r="AJ89" i="16" s="1"/>
  <c r="AB125" i="16"/>
  <c r="AH125" i="16" s="1"/>
  <c r="AJ125" i="16" s="1"/>
  <c r="AB46" i="17"/>
  <c r="AH46" i="17" s="1"/>
  <c r="AJ46" i="17" s="1"/>
  <c r="AB33" i="17"/>
  <c r="AH33" i="17" s="1"/>
  <c r="AJ33" i="17" s="1"/>
  <c r="AB118" i="16"/>
  <c r="AH118" i="16" s="1"/>
  <c r="AJ118" i="16" s="1"/>
  <c r="AH100" i="16"/>
  <c r="AJ100" i="16" s="1"/>
  <c r="AB117" i="17"/>
  <c r="AH117" i="17" s="1"/>
  <c r="AJ117" i="17" s="1"/>
  <c r="V26" i="18"/>
  <c r="D14" i="2" s="1"/>
  <c r="AB77" i="16"/>
  <c r="AH77" i="16" s="1"/>
  <c r="AJ77" i="16" s="1"/>
  <c r="AB47" i="16"/>
  <c r="AH47" i="16" s="1"/>
  <c r="AJ47" i="16" s="1"/>
  <c r="AB68" i="17"/>
  <c r="AH68" i="17" s="1"/>
  <c r="AJ68" i="17" s="1"/>
  <c r="AB120" i="17"/>
  <c r="AH120" i="17" s="1"/>
  <c r="AJ120" i="17" s="1"/>
  <c r="AB113" i="17"/>
  <c r="AH113" i="17" s="1"/>
  <c r="AJ113" i="17" s="1"/>
  <c r="AB101" i="16"/>
  <c r="AH101" i="16" s="1"/>
  <c r="AJ101" i="16" s="1"/>
  <c r="AB74" i="16"/>
  <c r="AH74" i="16" s="1"/>
  <c r="AJ74" i="16" s="1"/>
  <c r="AB85" i="17"/>
  <c r="AH85" i="17" s="1"/>
  <c r="AJ85" i="17" s="1"/>
  <c r="AB95" i="17"/>
  <c r="AH95" i="17" s="1"/>
  <c r="AJ95" i="17" s="1"/>
  <c r="AB50" i="17"/>
  <c r="AH139" i="17" l="1"/>
  <c r="AJ139" i="17" s="1"/>
  <c r="AB56" i="17"/>
  <c r="AH124" i="17"/>
  <c r="AH23" i="17"/>
  <c r="AJ23" i="17" s="1"/>
  <c r="AB26" i="17"/>
  <c r="V53" i="18"/>
  <c r="V96" i="18" s="1"/>
  <c r="V119" i="18" s="1"/>
  <c r="V137" i="18" s="1"/>
  <c r="D30" i="3"/>
  <c r="R30" i="3" s="1"/>
  <c r="V33" i="2"/>
  <c r="D26" i="3"/>
  <c r="R26" i="3" s="1"/>
  <c r="D17" i="3"/>
  <c r="R17" i="3" s="1"/>
  <c r="U103" i="17"/>
  <c r="U30" i="16"/>
  <c r="D32" i="3"/>
  <c r="R32" i="3" s="1"/>
  <c r="D31" i="3"/>
  <c r="R31" i="3" s="1"/>
  <c r="U139" i="17"/>
  <c r="V36" i="2"/>
  <c r="V37" i="2"/>
  <c r="AH50" i="17"/>
  <c r="AH56" i="17" s="1"/>
  <c r="D18" i="3"/>
  <c r="R18" i="3" s="1"/>
  <c r="V17" i="2"/>
  <c r="AB103" i="17"/>
  <c r="AH63" i="17"/>
  <c r="D51" i="2"/>
  <c r="U41" i="17"/>
  <c r="AH43" i="16"/>
  <c r="AB48" i="16"/>
  <c r="AH121" i="17"/>
  <c r="U30" i="17"/>
  <c r="AH62" i="16"/>
  <c r="V28" i="2"/>
  <c r="D29" i="3"/>
  <c r="R29" i="3" s="1"/>
  <c r="AH105" i="16"/>
  <c r="AB121" i="17"/>
  <c r="AB130" i="17" s="1"/>
  <c r="AH105" i="17"/>
  <c r="AJ105" i="17" s="1"/>
  <c r="V24" i="2"/>
  <c r="U41" i="16"/>
  <c r="AB121" i="16"/>
  <c r="AB130" i="16" s="1"/>
  <c r="AH130" i="16" s="1"/>
  <c r="AJ130" i="16" s="1"/>
  <c r="AH111" i="16"/>
  <c r="V38" i="2"/>
  <c r="D39" i="3"/>
  <c r="R39" i="3" s="1"/>
  <c r="AH32" i="16"/>
  <c r="D25" i="3"/>
  <c r="D19" i="3"/>
  <c r="R19" i="3" s="1"/>
  <c r="AB50" i="16"/>
  <c r="AB56" i="16" s="1"/>
  <c r="AJ43" i="17"/>
  <c r="AH48" i="17"/>
  <c r="AJ48" i="17" s="1"/>
  <c r="AB48" i="17"/>
  <c r="U121" i="17"/>
  <c r="U130" i="17" s="1"/>
  <c r="D49" i="3"/>
  <c r="AB32" i="17"/>
  <c r="AJ136" i="17"/>
  <c r="V19" i="2"/>
  <c r="D20" i="3"/>
  <c r="R20" i="3" s="1"/>
  <c r="R37" i="3"/>
  <c r="U48" i="16"/>
  <c r="V26" i="2"/>
  <c r="D27" i="3"/>
  <c r="R27" i="3" s="1"/>
  <c r="U103" i="16"/>
  <c r="D16" i="3"/>
  <c r="R16" i="3" s="1"/>
  <c r="AB139" i="17"/>
  <c r="V32" i="2"/>
  <c r="U48" i="17"/>
  <c r="AJ124" i="17" l="1"/>
  <c r="AH130" i="17"/>
  <c r="AJ130" i="17" s="1"/>
  <c r="M140" i="16"/>
  <c r="K140" i="16"/>
  <c r="K144" i="16" s="1"/>
  <c r="E140" i="16"/>
  <c r="E144" i="16" s="1"/>
  <c r="C140" i="16"/>
  <c r="C144" i="16" s="1"/>
  <c r="Y140" i="16"/>
  <c r="Y144" i="16" s="1"/>
  <c r="AH26" i="16"/>
  <c r="U58" i="16"/>
  <c r="U107" i="16" s="1"/>
  <c r="U133" i="16" s="1"/>
  <c r="U144" i="16" s="1"/>
  <c r="AH32" i="17"/>
  <c r="AB41" i="17"/>
  <c r="V34" i="2"/>
  <c r="V42" i="2" s="1"/>
  <c r="AJ62" i="16"/>
  <c r="D51" i="3"/>
  <c r="R49" i="3"/>
  <c r="R51" i="3" s="1"/>
  <c r="AJ32" i="16"/>
  <c r="AJ105" i="16"/>
  <c r="AJ43" i="16"/>
  <c r="AH48" i="16"/>
  <c r="AJ48" i="16" s="1"/>
  <c r="AJ63" i="17"/>
  <c r="AH103" i="17"/>
  <c r="AJ103" i="17" s="1"/>
  <c r="AJ50" i="17"/>
  <c r="AJ56" i="17"/>
  <c r="AH26" i="17"/>
  <c r="AJ111" i="16"/>
  <c r="AH121" i="16"/>
  <c r="AJ121" i="16" s="1"/>
  <c r="U58" i="17"/>
  <c r="D20" i="2"/>
  <c r="D15" i="3"/>
  <c r="AH50" i="16"/>
  <c r="AH56" i="16" s="1"/>
  <c r="D35" i="3"/>
  <c r="D43" i="3" s="1"/>
  <c r="R25" i="3"/>
  <c r="R35" i="3" s="1"/>
  <c r="R43" i="3" s="1"/>
  <c r="AJ121" i="17"/>
  <c r="O140" i="16" l="1"/>
  <c r="D45" i="2"/>
  <c r="D55" i="2" s="1"/>
  <c r="AB138" i="16"/>
  <c r="AH138" i="16" s="1"/>
  <c r="AJ138" i="16" s="1"/>
  <c r="I140" i="16"/>
  <c r="I144" i="16" s="1"/>
  <c r="G140" i="16"/>
  <c r="G144" i="16" s="1"/>
  <c r="W140" i="16"/>
  <c r="W144" i="16" s="1"/>
  <c r="AJ26" i="16"/>
  <c r="AJ50" i="16"/>
  <c r="AJ26" i="17"/>
  <c r="AH41" i="17"/>
  <c r="AJ41" i="17" s="1"/>
  <c r="AJ32" i="17"/>
  <c r="D21" i="3"/>
  <c r="D46" i="3" s="1"/>
  <c r="D55" i="3" s="1"/>
  <c r="U107" i="17"/>
  <c r="U133" i="17" s="1"/>
  <c r="U143" i="17" s="1"/>
  <c r="K107" i="30" l="1"/>
  <c r="AB140" i="16"/>
  <c r="AH137" i="16"/>
  <c r="AJ56" i="16"/>
  <c r="AJ137" i="16" l="1"/>
  <c r="AH140" i="16"/>
  <c r="AJ140" i="16" s="1"/>
  <c r="U23" i="26" l="1"/>
  <c r="U37" i="26" s="1"/>
  <c r="U49" i="26" s="1"/>
  <c r="B32" i="5"/>
  <c r="B42" i="5" s="1"/>
  <c r="AH28" i="16" l="1"/>
  <c r="O30" i="17"/>
  <c r="O58" i="17" s="1"/>
  <c r="N26" i="22"/>
  <c r="N51" i="22" s="1"/>
  <c r="N62" i="22" s="1"/>
  <c r="N74" i="22" s="1"/>
  <c r="AH30" i="16" l="1"/>
  <c r="AJ30" i="16" s="1"/>
  <c r="AJ28" i="16"/>
  <c r="O107" i="17"/>
  <c r="O133" i="17" s="1"/>
  <c r="O143" i="17" s="1"/>
  <c r="O30" i="16"/>
  <c r="AB30" i="16" s="1"/>
  <c r="L45" i="2"/>
  <c r="L55" i="2" s="1"/>
  <c r="L15" i="3"/>
  <c r="AB28" i="17"/>
  <c r="O58" i="16" l="1"/>
  <c r="L21" i="3"/>
  <c r="L46" i="3" s="1"/>
  <c r="L55" i="3" s="1"/>
  <c r="AH28" i="17"/>
  <c r="AJ28" i="17" s="1"/>
  <c r="R37" i="43" l="1"/>
  <c r="R43" i="43" s="1"/>
  <c r="H17" i="32" l="1"/>
  <c r="C39" i="13" l="1"/>
  <c r="E40" i="13" l="1"/>
  <c r="N45" i="5" l="1"/>
  <c r="F17" i="32" l="1"/>
  <c r="F37" i="19" l="1"/>
  <c r="F84" i="19" s="1"/>
  <c r="F110" i="19" s="1"/>
  <c r="F120" i="19" s="1"/>
  <c r="Y35" i="3" l="1"/>
  <c r="K46" i="30" l="1"/>
  <c r="K95" i="30"/>
  <c r="K36" i="31" l="1"/>
  <c r="O22" i="24" l="1"/>
  <c r="O32" i="24" s="1"/>
  <c r="O64" i="24" s="1"/>
  <c r="O88" i="24" s="1"/>
  <c r="O100" i="24" s="1"/>
  <c r="V29" i="15" l="1"/>
  <c r="V37" i="15" s="1"/>
  <c r="P37" i="15"/>
  <c r="P56" i="15" s="1"/>
  <c r="O23" i="23"/>
  <c r="AF23" i="23"/>
  <c r="AB33" i="16" l="1"/>
  <c r="AB41" i="16" s="1"/>
  <c r="M41" i="16"/>
  <c r="M58" i="16" s="1"/>
  <c r="M107" i="16" s="1"/>
  <c r="M133" i="16" s="1"/>
  <c r="M144" i="16" s="1"/>
  <c r="O33" i="23"/>
  <c r="O65" i="23" s="1"/>
  <c r="O89" i="23" s="1"/>
  <c r="O101" i="23" s="1"/>
  <c r="R29" i="15"/>
  <c r="AL20" i="23"/>
  <c r="AN20" i="23" s="1"/>
  <c r="AH33" i="16" l="1"/>
  <c r="AB58" i="16"/>
  <c r="X29" i="15"/>
  <c r="R37" i="15"/>
  <c r="R56" i="15" s="1"/>
  <c r="AL23" i="23"/>
  <c r="AN23" i="23" s="1"/>
  <c r="R15" i="2"/>
  <c r="AF33" i="23"/>
  <c r="V15" i="2"/>
  <c r="AH41" i="16" l="1"/>
  <c r="AJ41" i="16" s="1"/>
  <c r="AJ33" i="16"/>
  <c r="AH29" i="15"/>
  <c r="AJ29" i="15" s="1"/>
  <c r="X37" i="15"/>
  <c r="AL33" i="23"/>
  <c r="X15" i="2"/>
  <c r="AH58" i="16" l="1"/>
  <c r="AJ58" i="16" s="1"/>
  <c r="AH37" i="15"/>
  <c r="AJ37" i="15" s="1"/>
  <c r="AG15" i="2"/>
  <c r="AI15" i="2"/>
  <c r="AN33" i="23"/>
  <c r="M34" i="34" l="1"/>
  <c r="M23" i="34"/>
  <c r="M43" i="34"/>
  <c r="M31" i="34"/>
  <c r="G65" i="34" l="1"/>
  <c r="AB21" i="15" l="1"/>
  <c r="R19" i="35"/>
  <c r="V19" i="35" s="1"/>
  <c r="H43" i="35"/>
  <c r="Q42" i="25"/>
  <c r="Q61" i="23"/>
  <c r="Q46" i="25" l="1"/>
  <c r="Q70" i="25" s="1"/>
  <c r="Q80" i="25" s="1"/>
  <c r="K37" i="31"/>
  <c r="AF37" i="23"/>
  <c r="AL37" i="23" s="1"/>
  <c r="Q65" i="23"/>
  <c r="Q89" i="23" s="1"/>
  <c r="Q101" i="23" s="1"/>
  <c r="AL61" i="23" l="1"/>
  <c r="AN61" i="23" s="1"/>
  <c r="AN37" i="23"/>
  <c r="AB63" i="16"/>
  <c r="O103" i="16"/>
  <c r="O107" i="16" s="1"/>
  <c r="O133" i="16" s="1"/>
  <c r="O144" i="16" s="1"/>
  <c r="V18" i="2"/>
  <c r="P20" i="2"/>
  <c r="P45" i="2" s="1"/>
  <c r="P55" i="2" s="1"/>
  <c r="AF61" i="23"/>
  <c r="AF65" i="23" l="1"/>
  <c r="AF89" i="23" s="1"/>
  <c r="AF101" i="23" s="1"/>
  <c r="AL65" i="23"/>
  <c r="AL89" i="23" s="1"/>
  <c r="AN89" i="23" s="1"/>
  <c r="R18" i="2"/>
  <c r="X18" i="2" s="1"/>
  <c r="AH63" i="16"/>
  <c r="AB103" i="16"/>
  <c r="AB107" i="16" s="1"/>
  <c r="AB133" i="16" s="1"/>
  <c r="AH133" i="16" s="1"/>
  <c r="AL101" i="23" l="1"/>
  <c r="AN101" i="23" s="1"/>
  <c r="AN65" i="23"/>
  <c r="R20" i="2"/>
  <c r="R45" i="2" s="1"/>
  <c r="R55" i="2" s="1"/>
  <c r="AH103" i="16"/>
  <c r="AJ103" i="16" s="1"/>
  <c r="AJ63" i="16"/>
  <c r="AI18" i="2"/>
  <c r="AG18" i="2"/>
  <c r="AJ133" i="16"/>
  <c r="AB144" i="16"/>
  <c r="R23" i="35" l="1"/>
  <c r="V23" i="35" s="1"/>
  <c r="AH107" i="16"/>
  <c r="AJ107" i="16" s="1"/>
  <c r="AH144" i="16"/>
  <c r="AJ144" i="16" s="1"/>
  <c r="P19" i="27" l="1"/>
  <c r="P32" i="27" s="1"/>
  <c r="P44" i="27" s="1"/>
  <c r="F21" i="5"/>
  <c r="F32" i="5" s="1"/>
  <c r="F42" i="5" s="1"/>
  <c r="J18" i="5" l="1"/>
  <c r="J21" i="5" s="1"/>
  <c r="J32" i="5" s="1"/>
  <c r="J42" i="5" s="1"/>
  <c r="P45" i="43"/>
  <c r="R12" i="43" l="1"/>
  <c r="R45" i="43" s="1"/>
  <c r="T12" i="43" s="1"/>
  <c r="Z28" i="43"/>
  <c r="T37" i="43"/>
  <c r="T43" i="43" s="1"/>
  <c r="T45" i="43" l="1"/>
  <c r="V45" i="43" s="1"/>
  <c r="X45" i="43" s="1"/>
  <c r="Z37" i="43"/>
  <c r="Z43" i="43" s="1"/>
  <c r="Z45" i="43" s="1"/>
  <c r="Z37" i="20" l="1"/>
  <c r="Z84" i="20" s="1"/>
  <c r="Z108" i="20" s="1"/>
  <c r="Z118" i="20" s="1"/>
  <c r="R15" i="3"/>
  <c r="R21" i="3" s="1"/>
  <c r="R46" i="3" s="1"/>
  <c r="R55" i="3" s="1"/>
  <c r="AB27" i="17"/>
  <c r="H21" i="3" l="1"/>
  <c r="H46" i="3" s="1"/>
  <c r="H55" i="3" s="1"/>
  <c r="H20" i="2"/>
  <c r="H45" i="2" s="1"/>
  <c r="H55" i="2" s="1"/>
  <c r="AH27" i="17"/>
  <c r="AB30" i="17"/>
  <c r="V22" i="15"/>
  <c r="V25" i="15" s="1"/>
  <c r="V56" i="15" s="1"/>
  <c r="H25" i="15"/>
  <c r="H56" i="15" s="1"/>
  <c r="Y30" i="17"/>
  <c r="Y58" i="17" s="1"/>
  <c r="Z37" i="19"/>
  <c r="Z84" i="19" s="1"/>
  <c r="Z110" i="19" s="1"/>
  <c r="Z120" i="19" s="1"/>
  <c r="AD17" i="19"/>
  <c r="AH30" i="17" l="1"/>
  <c r="AJ30" i="17" s="1"/>
  <c r="AJ27" i="17"/>
  <c r="V14" i="2"/>
  <c r="V20" i="2" s="1"/>
  <c r="V45" i="2" s="1"/>
  <c r="V55" i="2" s="1"/>
  <c r="J22" i="15"/>
  <c r="AD37" i="19"/>
  <c r="AD84" i="19" s="1"/>
  <c r="AD110" i="19" s="1"/>
  <c r="AD120" i="19" s="1"/>
  <c r="J14" i="2"/>
  <c r="AJ17" i="19"/>
  <c r="AL17" i="19" s="1"/>
  <c r="AB58" i="17"/>
  <c r="Y107" i="17"/>
  <c r="Y133" i="17" s="1"/>
  <c r="Y143" i="17" s="1"/>
  <c r="AJ37" i="19" l="1"/>
  <c r="X14" i="2"/>
  <c r="J20" i="2"/>
  <c r="J45" i="2" s="1"/>
  <c r="J55" i="2" s="1"/>
  <c r="AJ120" i="19"/>
  <c r="AL120" i="19" s="1"/>
  <c r="AB107" i="17"/>
  <c r="AB133" i="17" s="1"/>
  <c r="AH58" i="17"/>
  <c r="J25" i="15"/>
  <c r="J56" i="15" s="1"/>
  <c r="X22" i="15"/>
  <c r="AH22" i="15" l="1"/>
  <c r="AJ22" i="15" s="1"/>
  <c r="X25" i="15"/>
  <c r="AH133" i="17"/>
  <c r="AJ133" i="17" s="1"/>
  <c r="AB143" i="17"/>
  <c r="X20" i="2"/>
  <c r="AG14" i="2"/>
  <c r="AG20" i="2" s="1"/>
  <c r="AI14" i="2"/>
  <c r="AJ58" i="17"/>
  <c r="AH107" i="17"/>
  <c r="AJ107" i="17" s="1"/>
  <c r="AJ84" i="19"/>
  <c r="AL37" i="19"/>
  <c r="AH25" i="15" l="1"/>
  <c r="AJ25" i="15" s="1"/>
  <c r="X56" i="15"/>
  <c r="AH56" i="15" s="1"/>
  <c r="AJ56" i="15" s="1"/>
  <c r="AJ110" i="19"/>
  <c r="AL110" i="19" s="1"/>
  <c r="AL84" i="19"/>
  <c r="X45" i="2"/>
  <c r="AI20" i="2"/>
  <c r="AH143" i="17"/>
  <c r="AJ143" i="17" s="1"/>
  <c r="AG45" i="2" l="1"/>
  <c r="AG55" i="2" s="1"/>
  <c r="AI45" i="2"/>
  <c r="X55" i="2"/>
  <c r="AI55" i="2" l="1"/>
  <c r="M52" i="34" l="1"/>
  <c r="M51" i="34"/>
  <c r="AD46" i="27" l="1"/>
  <c r="AG120" i="20" l="1"/>
  <c r="AG13" i="19"/>
  <c r="AG122" i="19" s="1"/>
  <c r="Z12" i="37"/>
  <c r="Z47" i="37" s="1"/>
  <c r="B47" i="37"/>
  <c r="AG102" i="24"/>
  <c r="AB45" i="15"/>
  <c r="AG94" i="21"/>
  <c r="D12" i="37" l="1"/>
  <c r="D47" i="37" s="1"/>
  <c r="I212" i="42"/>
  <c r="I102" i="42"/>
  <c r="I202" i="42"/>
  <c r="K207" i="42"/>
  <c r="K11" i="42"/>
  <c r="M14" i="42"/>
  <c r="K102" i="42"/>
  <c r="K212" i="42"/>
  <c r="K188" i="42"/>
  <c r="E49" i="7"/>
  <c r="F57" i="2"/>
  <c r="AC12" i="18"/>
  <c r="G49" i="9" s="1"/>
  <c r="C49" i="9"/>
  <c r="D139" i="18"/>
  <c r="K202" i="42"/>
  <c r="I258" i="42"/>
  <c r="I188" i="42"/>
  <c r="K258" i="42"/>
  <c r="I207" i="42"/>
  <c r="I11" i="42"/>
  <c r="E50" i="7" l="1"/>
  <c r="G50" i="9"/>
  <c r="K49" i="9"/>
  <c r="K50" i="9" s="1"/>
  <c r="F12" i="37"/>
  <c r="F47" i="37" s="1"/>
  <c r="F12" i="18"/>
  <c r="M202" i="42"/>
  <c r="AC139" i="18"/>
  <c r="AI139" i="18" s="1"/>
  <c r="AK139" i="18" s="1"/>
  <c r="AI12" i="18"/>
  <c r="AK12" i="18" s="1"/>
  <c r="I49" i="9"/>
  <c r="AD13" i="20"/>
  <c r="AJ13" i="20" s="1"/>
  <c r="D120" i="20"/>
  <c r="J57" i="3"/>
  <c r="J59" i="3" s="1"/>
  <c r="G41" i="11"/>
  <c r="D13" i="19"/>
  <c r="D94" i="21"/>
  <c r="AD13" i="21"/>
  <c r="AJ13" i="21" s="1"/>
  <c r="AL13" i="21" s="1"/>
  <c r="R41" i="11"/>
  <c r="K261" i="42"/>
  <c r="I261" i="42"/>
  <c r="E48" i="8"/>
  <c r="E50" i="9"/>
  <c r="F57" i="3"/>
  <c r="F59" i="2"/>
  <c r="Y51" i="26"/>
  <c r="C49" i="7"/>
  <c r="C48" i="8"/>
  <c r="E49" i="8" l="1"/>
  <c r="I41" i="11"/>
  <c r="K41" i="11"/>
  <c r="K42" i="11" s="1"/>
  <c r="T41" i="11"/>
  <c r="V41" i="11"/>
  <c r="V42" i="11" s="1"/>
  <c r="H12" i="37"/>
  <c r="H47" i="37" s="1"/>
  <c r="F13" i="21"/>
  <c r="F94" i="21" s="1"/>
  <c r="F13" i="20"/>
  <c r="F139" i="18"/>
  <c r="H12" i="18" s="1"/>
  <c r="AD94" i="21"/>
  <c r="G42" i="11"/>
  <c r="J57" i="2"/>
  <c r="J59" i="2" s="1"/>
  <c r="AD120" i="20"/>
  <c r="G41" i="10"/>
  <c r="K41" i="10" s="1"/>
  <c r="O41" i="10" s="1"/>
  <c r="R42" i="11"/>
  <c r="X38" i="28"/>
  <c r="Z120" i="20"/>
  <c r="AD13" i="19"/>
  <c r="D122" i="19"/>
  <c r="X38" i="29"/>
  <c r="AJ94" i="21"/>
  <c r="AL94" i="21" s="1"/>
  <c r="F59" i="3"/>
  <c r="AL13" i="20"/>
  <c r="AJ120" i="20"/>
  <c r="AL120" i="20" s="1"/>
  <c r="J12" i="37" l="1"/>
  <c r="J47" i="37" s="1"/>
  <c r="H13" i="21"/>
  <c r="H94" i="21" s="1"/>
  <c r="F120" i="20"/>
  <c r="F13" i="19"/>
  <c r="G42" i="10"/>
  <c r="AL13" i="19"/>
  <c r="AJ13" i="19"/>
  <c r="AD122" i="19"/>
  <c r="AJ122" i="19" s="1"/>
  <c r="AL122" i="19" s="1"/>
  <c r="Z122" i="19"/>
  <c r="M41" i="10"/>
  <c r="O42" i="10"/>
  <c r="K42" i="10"/>
  <c r="L12" i="37" l="1"/>
  <c r="L47" i="37" s="1"/>
  <c r="J13" i="21"/>
  <c r="J94" i="21" s="1"/>
  <c r="H13" i="20"/>
  <c r="H139" i="18"/>
  <c r="F122" i="19"/>
  <c r="N12" i="37" l="1"/>
  <c r="L13" i="21"/>
  <c r="L94" i="21" s="1"/>
  <c r="J12" i="18"/>
  <c r="H13" i="19"/>
  <c r="H120" i="20"/>
  <c r="K32" i="31"/>
  <c r="N47" i="37" l="1"/>
  <c r="P12" i="37" s="1"/>
  <c r="P47" i="37" s="1"/>
  <c r="N13" i="21"/>
  <c r="N94" i="21" s="1"/>
  <c r="J139" i="18"/>
  <c r="J13" i="20"/>
  <c r="H122" i="19"/>
  <c r="K40" i="30"/>
  <c r="R12" i="37" l="1"/>
  <c r="R47" i="37" s="1"/>
  <c r="P13" i="21"/>
  <c r="P94" i="21" s="1"/>
  <c r="L12" i="18"/>
  <c r="J120" i="20"/>
  <c r="J13" i="19"/>
  <c r="E26" i="31"/>
  <c r="T12" i="37" l="1"/>
  <c r="T47" i="37" s="1"/>
  <c r="V47" i="37" s="1"/>
  <c r="X47" i="37" s="1"/>
  <c r="R13" i="21"/>
  <c r="R94" i="21" s="1"/>
  <c r="L139" i="18"/>
  <c r="L13" i="20"/>
  <c r="J122" i="19"/>
  <c r="G40" i="31"/>
  <c r="G43" i="31" s="1"/>
  <c r="T13" i="21" l="1"/>
  <c r="T94" i="21" s="1"/>
  <c r="N12" i="18"/>
  <c r="L120" i="20"/>
  <c r="L13" i="19"/>
  <c r="K96" i="30"/>
  <c r="V13" i="21" l="1"/>
  <c r="V94" i="21" s="1"/>
  <c r="X94" i="21" s="1"/>
  <c r="Z94" i="21" s="1"/>
  <c r="N139" i="18"/>
  <c r="N13" i="20"/>
  <c r="L122" i="19"/>
  <c r="K151" i="30"/>
  <c r="P12" i="18" l="1"/>
  <c r="N120" i="20"/>
  <c r="N13" i="19"/>
  <c r="K60" i="30"/>
  <c r="P13" i="20" l="1"/>
  <c r="P139" i="18"/>
  <c r="R12" i="18" s="1"/>
  <c r="N122" i="19"/>
  <c r="K38" i="31"/>
  <c r="R139" i="18" l="1"/>
  <c r="P120" i="20"/>
  <c r="P13" i="19"/>
  <c r="M57" i="34"/>
  <c r="I22" i="9"/>
  <c r="T12" i="18" l="1"/>
  <c r="R13" i="20"/>
  <c r="P122" i="19"/>
  <c r="R30" i="35"/>
  <c r="V30" i="35" s="1"/>
  <c r="T139" i="18" l="1"/>
  <c r="R120" i="20"/>
  <c r="R13" i="19"/>
  <c r="I30" i="45"/>
  <c r="G30" i="45"/>
  <c r="V12" i="18" l="1"/>
  <c r="T13" i="20"/>
  <c r="R122" i="19"/>
  <c r="Y43" i="3"/>
  <c r="Y21" i="3"/>
  <c r="V139" i="18" l="1"/>
  <c r="X139" i="18" s="1"/>
  <c r="Z139" i="18" s="1"/>
  <c r="D57" i="2"/>
  <c r="T120" i="20"/>
  <c r="T13" i="19"/>
  <c r="H24" i="32"/>
  <c r="N57" i="2"/>
  <c r="N59" i="2" s="1"/>
  <c r="B77" i="22"/>
  <c r="D12" i="22" s="1"/>
  <c r="D77" i="22" s="1"/>
  <c r="F12" i="22" s="1"/>
  <c r="F77" i="22" s="1"/>
  <c r="H12" i="22" s="1"/>
  <c r="H77" i="22" s="1"/>
  <c r="C16" i="17"/>
  <c r="AB16" i="17" s="1"/>
  <c r="AA12" i="22"/>
  <c r="AA77" i="22" s="1"/>
  <c r="Y46" i="3"/>
  <c r="Y55" i="3" s="1"/>
  <c r="D57" i="3" l="1"/>
  <c r="D59" i="3" s="1"/>
  <c r="D59" i="2"/>
  <c r="V13" i="20"/>
  <c r="T122" i="19"/>
  <c r="G38" i="12"/>
  <c r="K38" i="12" s="1"/>
  <c r="K39" i="12" s="1"/>
  <c r="C145" i="17"/>
  <c r="E16" i="17" s="1"/>
  <c r="E145" i="17" s="1"/>
  <c r="G16" i="17" s="1"/>
  <c r="G145" i="17" s="1"/>
  <c r="I16" i="17" s="1"/>
  <c r="I145" i="17" s="1"/>
  <c r="K16" i="17" s="1"/>
  <c r="K145" i="17" s="1"/>
  <c r="N57" i="3"/>
  <c r="T57" i="3" s="1"/>
  <c r="J12" i="22"/>
  <c r="AB145" i="17"/>
  <c r="V120" i="20" l="1"/>
  <c r="X120" i="20" s="1"/>
  <c r="H57" i="3"/>
  <c r="H59" i="3" s="1"/>
  <c r="V13" i="19"/>
  <c r="Y59" i="3"/>
  <c r="M16" i="17"/>
  <c r="M145" i="17" s="1"/>
  <c r="G39" i="12"/>
  <c r="I38" i="12"/>
  <c r="N59" i="3"/>
  <c r="J77" i="22"/>
  <c r="T59" i="3"/>
  <c r="G48" i="8"/>
  <c r="V122" i="19" l="1"/>
  <c r="X122" i="19" s="1"/>
  <c r="H57" i="2"/>
  <c r="H59" i="2" s="1"/>
  <c r="O16" i="17"/>
  <c r="O145" i="17" s="1"/>
  <c r="L12" i="22"/>
  <c r="G49" i="8"/>
  <c r="I48" i="8"/>
  <c r="K48" i="8"/>
  <c r="K49" i="8" s="1"/>
  <c r="Q16" i="17" l="1"/>
  <c r="Q145" i="17" s="1"/>
  <c r="L77" i="22"/>
  <c r="M38" i="34"/>
  <c r="S16" i="17" l="1"/>
  <c r="S145" i="17" s="1"/>
  <c r="N12" i="22"/>
  <c r="G100" i="30"/>
  <c r="K97" i="30"/>
  <c r="U16" i="17" l="1"/>
  <c r="U145" i="17" s="1"/>
  <c r="W145" i="17" s="1"/>
  <c r="Y145" i="17" s="1"/>
  <c r="N77" i="22"/>
  <c r="P12" i="22" l="1"/>
  <c r="P77" i="22" l="1"/>
  <c r="AB25" i="15"/>
  <c r="R12" i="22" l="1"/>
  <c r="E41" i="44"/>
  <c r="E57" i="44" s="1"/>
  <c r="E61" i="44" s="1"/>
  <c r="R77" i="22" l="1"/>
  <c r="K117" i="30"/>
  <c r="C57" i="44"/>
  <c r="T12" i="22" l="1"/>
  <c r="C61" i="44"/>
  <c r="I33" i="44"/>
  <c r="I57" i="44" s="1"/>
  <c r="T77" i="22" l="1"/>
  <c r="V77" i="22" s="1"/>
  <c r="X77" i="22" s="1"/>
  <c r="L57" i="2"/>
  <c r="I61" i="44"/>
  <c r="K45" i="30"/>
  <c r="G57" i="44"/>
  <c r="L59" i="2" l="1"/>
  <c r="L57" i="3"/>
  <c r="G61" i="44"/>
  <c r="R15" i="35"/>
  <c r="V15" i="35" s="1"/>
  <c r="R57" i="3" l="1"/>
  <c r="R59" i="3" s="1"/>
  <c r="L59" i="3"/>
  <c r="M53" i="34"/>
  <c r="L28" i="32" l="1"/>
  <c r="R24" i="35" l="1"/>
  <c r="E90" i="30" l="1"/>
  <c r="E102" i="30" s="1"/>
  <c r="N43" i="35"/>
  <c r="H45" i="32"/>
  <c r="H48" i="32" s="1"/>
  <c r="G154" i="30"/>
  <c r="G90" i="30"/>
  <c r="G102" i="30" s="1"/>
  <c r="E154" i="30"/>
  <c r="F45" i="32"/>
  <c r="F48" i="32" s="1"/>
  <c r="E40" i="31"/>
  <c r="E43" i="31" s="1"/>
  <c r="I24" i="30"/>
  <c r="I65" i="34"/>
  <c r="I100" i="30"/>
  <c r="R18" i="35"/>
  <c r="V18" i="35" s="1"/>
  <c r="J45" i="32"/>
  <c r="I40" i="31"/>
  <c r="K65" i="34"/>
  <c r="Q65" i="34"/>
  <c r="I154" i="30"/>
  <c r="E24" i="30"/>
  <c r="G24" i="30"/>
  <c r="T43" i="35"/>
  <c r="F43" i="35"/>
  <c r="N34" i="6"/>
  <c r="N39" i="6" s="1"/>
  <c r="M63" i="42"/>
  <c r="I21" i="9"/>
  <c r="C21" i="8"/>
  <c r="I21" i="8" s="1"/>
  <c r="L40" i="32"/>
  <c r="I31" i="12"/>
  <c r="M23" i="42"/>
  <c r="M157" i="42"/>
  <c r="K58" i="30"/>
  <c r="M122" i="42"/>
  <c r="M46" i="42"/>
  <c r="L33" i="32"/>
  <c r="I21" i="12"/>
  <c r="M39" i="42"/>
  <c r="M30" i="42"/>
  <c r="M89" i="42"/>
  <c r="M19" i="42"/>
  <c r="R25" i="35"/>
  <c r="V25" i="35" s="1"/>
  <c r="K128" i="30"/>
  <c r="M114" i="42"/>
  <c r="M183" i="42"/>
  <c r="I35" i="9"/>
  <c r="C30" i="8"/>
  <c r="I30" i="8" s="1"/>
  <c r="K122" i="30"/>
  <c r="M98" i="42"/>
  <c r="I20" i="14"/>
  <c r="C27" i="14"/>
  <c r="C20" i="13"/>
  <c r="M20" i="13" s="1"/>
  <c r="K36" i="30"/>
  <c r="T34" i="11"/>
  <c r="K55" i="30"/>
  <c r="T20" i="11"/>
  <c r="N26" i="11"/>
  <c r="M234" i="42"/>
  <c r="M223" i="42"/>
  <c r="I112" i="30"/>
  <c r="K141" i="30"/>
  <c r="K32" i="30"/>
  <c r="M185" i="42"/>
  <c r="S21" i="14"/>
  <c r="R22" i="35"/>
  <c r="V22" i="35" s="1"/>
  <c r="M218" i="42"/>
  <c r="M180" i="42"/>
  <c r="M222" i="42"/>
  <c r="K108" i="30"/>
  <c r="K75" i="30"/>
  <c r="M40" i="42"/>
  <c r="K66" i="30"/>
  <c r="M28" i="42"/>
  <c r="K57" i="30"/>
  <c r="M75" i="42"/>
  <c r="M22" i="34"/>
  <c r="C40" i="7"/>
  <c r="I40" i="7" s="1"/>
  <c r="I25" i="14"/>
  <c r="C25" i="13"/>
  <c r="M25" i="13" s="1"/>
  <c r="L31" i="32"/>
  <c r="K83" i="30"/>
  <c r="K43" i="30"/>
  <c r="M182" i="42"/>
  <c r="M129" i="42"/>
  <c r="M35" i="42"/>
  <c r="E112" i="30"/>
  <c r="K105" i="30"/>
  <c r="M233" i="42"/>
  <c r="K23" i="30"/>
  <c r="M92" i="42"/>
  <c r="M80" i="42"/>
  <c r="M42" i="42"/>
  <c r="M49" i="34"/>
  <c r="M220" i="42"/>
  <c r="K68" i="30"/>
  <c r="M76" i="42"/>
  <c r="K22" i="31"/>
  <c r="M153" i="42"/>
  <c r="M121" i="42"/>
  <c r="M163" i="42"/>
  <c r="K143" i="30"/>
  <c r="K21" i="31"/>
  <c r="K29" i="30"/>
  <c r="M151" i="42"/>
  <c r="R36" i="35"/>
  <c r="V36" i="35" s="1"/>
  <c r="M165" i="42"/>
  <c r="D43" i="35"/>
  <c r="R39" i="35"/>
  <c r="V39" i="35" s="1"/>
  <c r="T23" i="11"/>
  <c r="S22" i="14"/>
  <c r="M72" i="42"/>
  <c r="M168" i="42"/>
  <c r="M126" i="42"/>
  <c r="O102" i="42"/>
  <c r="M15" i="42"/>
  <c r="M26" i="34"/>
  <c r="M70" i="42"/>
  <c r="M175" i="42"/>
  <c r="M125" i="42"/>
  <c r="M187" i="42"/>
  <c r="M155" i="42"/>
  <c r="M227" i="42"/>
  <c r="K85" i="30"/>
  <c r="L38" i="32"/>
  <c r="M22" i="42"/>
  <c r="M248" i="42"/>
  <c r="M37" i="42"/>
  <c r="K121" i="30"/>
  <c r="M56" i="42"/>
  <c r="K35" i="30"/>
  <c r="M66" i="42"/>
  <c r="M206" i="42"/>
  <c r="C51" i="26"/>
  <c r="E16" i="26" s="1"/>
  <c r="E51" i="26" s="1"/>
  <c r="G16" i="26" s="1"/>
  <c r="G51" i="26" s="1"/>
  <c r="I16" i="26" s="1"/>
  <c r="I51" i="26" s="1"/>
  <c r="K16" i="26" s="1"/>
  <c r="K51" i="26" s="1"/>
  <c r="M16" i="26" s="1"/>
  <c r="M51" i="26" s="1"/>
  <c r="O16" i="26" s="1"/>
  <c r="O51" i="26" s="1"/>
  <c r="Q16" i="26" s="1"/>
  <c r="Q51" i="26" s="1"/>
  <c r="S16" i="26" s="1"/>
  <c r="S51" i="26" s="1"/>
  <c r="U16" i="26" s="1"/>
  <c r="B44" i="5" s="1"/>
  <c r="B45" i="5" s="1"/>
  <c r="AB16" i="26"/>
  <c r="AH16" i="26" s="1"/>
  <c r="AJ16" i="26" s="1"/>
  <c r="M156" i="42"/>
  <c r="O258" i="42"/>
  <c r="M215" i="42"/>
  <c r="M41" i="42"/>
  <c r="L15" i="32"/>
  <c r="L17" i="32" s="1"/>
  <c r="J17" i="32"/>
  <c r="M59" i="42"/>
  <c r="M90" i="42"/>
  <c r="C24" i="10"/>
  <c r="M24" i="10" s="1"/>
  <c r="I24" i="11"/>
  <c r="M25" i="42"/>
  <c r="K148" i="30"/>
  <c r="M69" i="42"/>
  <c r="M87" i="42"/>
  <c r="M172" i="42"/>
  <c r="I26" i="14"/>
  <c r="K26" i="13" s="1"/>
  <c r="O26" i="13" s="1"/>
  <c r="O27" i="13" s="1"/>
  <c r="O37" i="13" s="1"/>
  <c r="C26" i="13"/>
  <c r="M47" i="42"/>
  <c r="L36" i="32"/>
  <c r="K136" i="30"/>
  <c r="R31" i="35"/>
  <c r="V31" i="35" s="1"/>
  <c r="R40" i="35"/>
  <c r="V40" i="35" s="1"/>
  <c r="K52" i="30"/>
  <c r="M254" i="42"/>
  <c r="M38" i="42"/>
  <c r="M221" i="42"/>
  <c r="M34" i="42"/>
  <c r="K149" i="30"/>
  <c r="K87" i="30"/>
  <c r="M148" i="42"/>
  <c r="M138" i="42"/>
  <c r="K118" i="30"/>
  <c r="K37" i="30"/>
  <c r="L32" i="32"/>
  <c r="M232" i="42"/>
  <c r="I28" i="9"/>
  <c r="M44" i="42"/>
  <c r="I26" i="31"/>
  <c r="I43" i="31" s="1"/>
  <c r="K18" i="31"/>
  <c r="K119" i="30"/>
  <c r="M133" i="42"/>
  <c r="AD14" i="25"/>
  <c r="AJ14" i="25" s="1"/>
  <c r="E82" i="25"/>
  <c r="G14" i="25" s="1"/>
  <c r="G82" i="25" s="1"/>
  <c r="I14" i="25" s="1"/>
  <c r="I82" i="25" s="1"/>
  <c r="K14" i="25" s="1"/>
  <c r="K82" i="25" s="1"/>
  <c r="M14" i="25" s="1"/>
  <c r="M82" i="25" s="1"/>
  <c r="O14" i="25" s="1"/>
  <c r="O82" i="25" s="1"/>
  <c r="Q14" i="25" s="1"/>
  <c r="Q82" i="25" s="1"/>
  <c r="S14" i="25" s="1"/>
  <c r="S82" i="25" s="1"/>
  <c r="U14" i="25" s="1"/>
  <c r="U82" i="25" s="1"/>
  <c r="W14" i="25" s="1"/>
  <c r="W82" i="25" s="1"/>
  <c r="Y82" i="25" s="1"/>
  <c r="AA82" i="25" s="1"/>
  <c r="Q39" i="14"/>
  <c r="M101" i="42"/>
  <c r="K80" i="30"/>
  <c r="M154" i="42"/>
  <c r="M79" i="42"/>
  <c r="M62" i="42"/>
  <c r="L43" i="32"/>
  <c r="M171" i="42"/>
  <c r="K47" i="30"/>
  <c r="M95" i="42"/>
  <c r="M93" i="42"/>
  <c r="M27" i="42"/>
  <c r="K124" i="30"/>
  <c r="C24" i="13"/>
  <c r="M24" i="13" s="1"/>
  <c r="I24" i="14"/>
  <c r="M41" i="34"/>
  <c r="R35" i="35"/>
  <c r="V35" i="35" s="1"/>
  <c r="T33" i="11"/>
  <c r="K76" i="30"/>
  <c r="M111" i="42"/>
  <c r="M106" i="42"/>
  <c r="I24" i="9"/>
  <c r="C24" i="8"/>
  <c r="I24" i="8" s="1"/>
  <c r="M131" i="42"/>
  <c r="M247" i="42"/>
  <c r="M164" i="42"/>
  <c r="K120" i="30"/>
  <c r="M105" i="42"/>
  <c r="O188" i="42"/>
  <c r="M94" i="42"/>
  <c r="M21" i="42"/>
  <c r="M257" i="42"/>
  <c r="K146" i="30"/>
  <c r="M162" i="42"/>
  <c r="I22" i="12"/>
  <c r="S25" i="14"/>
  <c r="M152" i="42"/>
  <c r="M91" i="42"/>
  <c r="C21" i="10"/>
  <c r="M21" i="10" s="1"/>
  <c r="I21" i="11"/>
  <c r="M132" i="42"/>
  <c r="M174" i="42"/>
  <c r="M86" i="42"/>
  <c r="K106" i="30"/>
  <c r="G112" i="30"/>
  <c r="M52" i="42"/>
  <c r="K18" i="30"/>
  <c r="M176" i="42"/>
  <c r="M136" i="42"/>
  <c r="M20" i="34"/>
  <c r="M146" i="42"/>
  <c r="M216" i="42"/>
  <c r="K21" i="30"/>
  <c r="K129" i="30"/>
  <c r="M141" i="42"/>
  <c r="I22" i="11"/>
  <c r="C22" i="10"/>
  <c r="M22" i="10" s="1"/>
  <c r="C22" i="8"/>
  <c r="I22" i="8" s="1"/>
  <c r="I27" i="9"/>
  <c r="L41" i="32"/>
  <c r="B38" i="28"/>
  <c r="D13" i="28" s="1"/>
  <c r="D38" i="28" s="1"/>
  <c r="F13" i="28" s="1"/>
  <c r="F38" i="28" s="1"/>
  <c r="H13" i="28" s="1"/>
  <c r="H38" i="28" s="1"/>
  <c r="J13" i="28" s="1"/>
  <c r="J38" i="28" s="1"/>
  <c r="L13" i="28" s="1"/>
  <c r="L38" i="28" s="1"/>
  <c r="N13" i="28" s="1"/>
  <c r="N38" i="28" s="1"/>
  <c r="P13" i="28" s="1"/>
  <c r="P38" i="28" s="1"/>
  <c r="R13" i="28" s="1"/>
  <c r="R38" i="28" s="1"/>
  <c r="T13" i="28" s="1"/>
  <c r="T38" i="28" s="1"/>
  <c r="V38" i="28" s="1"/>
  <c r="AA13" i="28"/>
  <c r="M246" i="42"/>
  <c r="I41" i="9"/>
  <c r="K145" i="30"/>
  <c r="K24" i="31"/>
  <c r="M135" i="42"/>
  <c r="M59" i="34"/>
  <c r="I20" i="9"/>
  <c r="C20" i="8"/>
  <c r="I20" i="8" s="1"/>
  <c r="M55" i="42"/>
  <c r="M97" i="42"/>
  <c r="M145" i="42"/>
  <c r="V24" i="35"/>
  <c r="T24" i="11"/>
  <c r="R38" i="35"/>
  <c r="V38" i="35" s="1"/>
  <c r="K39" i="31"/>
  <c r="AD14" i="24"/>
  <c r="AD102" i="24" s="1"/>
  <c r="E102" i="24"/>
  <c r="G14" i="24" s="1"/>
  <c r="G102" i="24" s="1"/>
  <c r="I14" i="24" s="1"/>
  <c r="I102" i="24" s="1"/>
  <c r="K14" i="24" s="1"/>
  <c r="K102" i="24" s="1"/>
  <c r="M14" i="24" s="1"/>
  <c r="M102" i="24" s="1"/>
  <c r="O14" i="24" s="1"/>
  <c r="O102" i="24" s="1"/>
  <c r="Q14" i="24" s="1"/>
  <c r="Q102" i="24" s="1"/>
  <c r="S14" i="24" s="1"/>
  <c r="S102" i="24" s="1"/>
  <c r="U14" i="24" s="1"/>
  <c r="U102" i="24" s="1"/>
  <c r="W14" i="24" s="1"/>
  <c r="W102" i="24" s="1"/>
  <c r="Y102" i="24" s="1"/>
  <c r="AA102" i="24" s="1"/>
  <c r="E15" i="23"/>
  <c r="G39" i="14"/>
  <c r="G40" i="14" s="1"/>
  <c r="M109" i="42"/>
  <c r="M107" i="42"/>
  <c r="M43" i="42"/>
  <c r="M226" i="42"/>
  <c r="M53" i="42"/>
  <c r="L37" i="32"/>
  <c r="K125" i="30"/>
  <c r="K72" i="30"/>
  <c r="M242" i="42"/>
  <c r="M236" i="42"/>
  <c r="C23" i="13"/>
  <c r="M23" i="13" s="1"/>
  <c r="I23" i="14"/>
  <c r="R41" i="35"/>
  <c r="V41" i="35" s="1"/>
  <c r="M249" i="42"/>
  <c r="M140" i="42"/>
  <c r="T22" i="11"/>
  <c r="K33" i="31"/>
  <c r="M54" i="42"/>
  <c r="K130" i="30"/>
  <c r="K28" i="30"/>
  <c r="I90" i="30"/>
  <c r="M82" i="42"/>
  <c r="S31" i="14"/>
  <c r="K153" i="30"/>
  <c r="I25" i="12"/>
  <c r="M219" i="42"/>
  <c r="C31" i="13"/>
  <c r="M31" i="13" s="1"/>
  <c r="I31" i="14"/>
  <c r="M179" i="42"/>
  <c r="K41" i="30"/>
  <c r="M20" i="42"/>
  <c r="K25" i="31"/>
  <c r="C29" i="10"/>
  <c r="M29" i="10" s="1"/>
  <c r="C35" i="11"/>
  <c r="I29" i="11"/>
  <c r="K123" i="30"/>
  <c r="M137" i="42"/>
  <c r="B46" i="27"/>
  <c r="D14" i="27" s="1"/>
  <c r="D46" i="27" s="1"/>
  <c r="F14" i="27" s="1"/>
  <c r="F46" i="27" s="1"/>
  <c r="H14" i="27" s="1"/>
  <c r="H46" i="27" s="1"/>
  <c r="J14" i="27" s="1"/>
  <c r="J46" i="27" s="1"/>
  <c r="L14" i="27" s="1"/>
  <c r="L46" i="27" s="1"/>
  <c r="N14" i="27" s="1"/>
  <c r="N46" i="27" s="1"/>
  <c r="P14" i="27" s="1"/>
  <c r="P46" i="27" s="1"/>
  <c r="R14" i="27" s="1"/>
  <c r="R46" i="27" s="1"/>
  <c r="T14" i="27" s="1"/>
  <c r="T46" i="27" s="1"/>
  <c r="V46" i="27" s="1"/>
  <c r="X46" i="27" s="1"/>
  <c r="AA14" i="27"/>
  <c r="M160" i="42"/>
  <c r="M35" i="34"/>
  <c r="K31" i="30"/>
  <c r="M74" i="42"/>
  <c r="M123" i="42"/>
  <c r="M108" i="42"/>
  <c r="K63" i="30"/>
  <c r="C30" i="13"/>
  <c r="M30" i="13" s="1"/>
  <c r="I30" i="14"/>
  <c r="C33" i="14"/>
  <c r="K134" i="30"/>
  <c r="M169" i="42"/>
  <c r="K33" i="30"/>
  <c r="K78" i="30"/>
  <c r="K35" i="31"/>
  <c r="N35" i="11"/>
  <c r="T29" i="11"/>
  <c r="K98" i="30"/>
  <c r="K79" i="30"/>
  <c r="C33" i="10"/>
  <c r="M33" i="10" s="1"/>
  <c r="C33" i="8"/>
  <c r="I33" i="8" s="1"/>
  <c r="I33" i="11"/>
  <c r="M45" i="34"/>
  <c r="K150" i="30"/>
  <c r="M144" i="42"/>
  <c r="M26" i="42"/>
  <c r="R28" i="35"/>
  <c r="V28" i="35" s="1"/>
  <c r="M31" i="42"/>
  <c r="R34" i="35"/>
  <c r="V34" i="35" s="1"/>
  <c r="M255" i="42"/>
  <c r="O207" i="42"/>
  <c r="M205" i="42"/>
  <c r="L22" i="32"/>
  <c r="M120" i="42"/>
  <c r="M115" i="42"/>
  <c r="P43" i="35"/>
  <c r="K53" i="30"/>
  <c r="M16" i="42"/>
  <c r="M184" i="42"/>
  <c r="M21" i="34"/>
  <c r="M150" i="42"/>
  <c r="T21" i="11"/>
  <c r="M73" i="42"/>
  <c r="S24" i="14"/>
  <c r="M229" i="42"/>
  <c r="I23" i="12"/>
  <c r="K19" i="30"/>
  <c r="K138" i="30"/>
  <c r="M33" i="42"/>
  <c r="M45" i="42"/>
  <c r="M245" i="42"/>
  <c r="M128" i="42"/>
  <c r="I29" i="9"/>
  <c r="M173" i="42"/>
  <c r="C31" i="10"/>
  <c r="M31" i="10" s="1"/>
  <c r="I31" i="11"/>
  <c r="L29" i="32"/>
  <c r="M112" i="42"/>
  <c r="K34" i="31"/>
  <c r="I34" i="9"/>
  <c r="C29" i="8"/>
  <c r="I29" i="8" s="1"/>
  <c r="M83" i="42"/>
  <c r="S32" i="14"/>
  <c r="K48" i="30"/>
  <c r="M68" i="42"/>
  <c r="M32" i="42"/>
  <c r="M77" i="42"/>
  <c r="C34" i="10"/>
  <c r="M34" i="10" s="1"/>
  <c r="I34" i="11"/>
  <c r="M127" i="42"/>
  <c r="M217" i="42"/>
  <c r="I24" i="12"/>
  <c r="M238" i="42"/>
  <c r="M167" i="42"/>
  <c r="K38" i="30"/>
  <c r="M29" i="34"/>
  <c r="C25" i="10"/>
  <c r="M25" i="10" s="1"/>
  <c r="I25" i="11"/>
  <c r="C26" i="11"/>
  <c r="C39" i="11" s="1"/>
  <c r="C42" i="11" s="1"/>
  <c r="I20" i="11"/>
  <c r="C20" i="10"/>
  <c r="M117" i="42"/>
  <c r="R20" i="35"/>
  <c r="V20" i="35" s="1"/>
  <c r="L43" i="35"/>
  <c r="M119" i="42"/>
  <c r="M118" i="42"/>
  <c r="C23" i="8"/>
  <c r="I23" i="8" s="1"/>
  <c r="I23" i="9"/>
  <c r="C32" i="7"/>
  <c r="I32" i="7" s="1"/>
  <c r="C32" i="8"/>
  <c r="I32" i="8" s="1"/>
  <c r="I30" i="12"/>
  <c r="M239" i="42"/>
  <c r="M134" i="42"/>
  <c r="K86" i="30"/>
  <c r="M58" i="42"/>
  <c r="I39" i="9"/>
  <c r="M88" i="42"/>
  <c r="M50" i="34"/>
  <c r="M71" i="42"/>
  <c r="M252" i="42"/>
  <c r="M253" i="42"/>
  <c r="C25" i="8"/>
  <c r="I25" i="8" s="1"/>
  <c r="I25" i="9"/>
  <c r="M81" i="42"/>
  <c r="K142" i="30"/>
  <c r="M241" i="42"/>
  <c r="M235" i="42"/>
  <c r="K127" i="30"/>
  <c r="M19" i="34"/>
  <c r="M230" i="42"/>
  <c r="I20" i="12"/>
  <c r="C26" i="12"/>
  <c r="S26" i="14"/>
  <c r="M231" i="42"/>
  <c r="K152" i="30"/>
  <c r="K42" i="30"/>
  <c r="K19" i="31"/>
  <c r="L30" i="32"/>
  <c r="M147" i="42"/>
  <c r="M27" i="14"/>
  <c r="S20" i="14"/>
  <c r="K73" i="30"/>
  <c r="C23" i="10"/>
  <c r="M23" i="10" s="1"/>
  <c r="I23" i="11"/>
  <c r="K99" i="30"/>
  <c r="K71" i="30"/>
  <c r="M244" i="42"/>
  <c r="K20" i="30"/>
  <c r="M228" i="42"/>
  <c r="M78" i="42"/>
  <c r="K23" i="31"/>
  <c r="K22" i="30"/>
  <c r="M210" i="42"/>
  <c r="O212" i="42"/>
  <c r="P44" i="5"/>
  <c r="P45" i="5" s="1"/>
  <c r="AE51" i="26"/>
  <c r="I29" i="12"/>
  <c r="C32" i="12"/>
  <c r="O11" i="42"/>
  <c r="M10" i="42"/>
  <c r="M11" i="42" s="1"/>
  <c r="S65" i="34"/>
  <c r="M113" i="42"/>
  <c r="K54" i="30"/>
  <c r="M99" i="42"/>
  <c r="K144" i="30"/>
  <c r="M130" i="42"/>
  <c r="L34" i="32"/>
  <c r="M177" i="42"/>
  <c r="T31" i="11"/>
  <c r="M143" i="42"/>
  <c r="M116" i="42"/>
  <c r="R32" i="35"/>
  <c r="V32" i="35" s="1"/>
  <c r="K126" i="30"/>
  <c r="M124" i="42"/>
  <c r="M243" i="42"/>
  <c r="M61" i="42"/>
  <c r="M48" i="34"/>
  <c r="L39" i="32"/>
  <c r="L21" i="32"/>
  <c r="L24" i="32" s="1"/>
  <c r="J24" i="32"/>
  <c r="AB54" i="15"/>
  <c r="AB56" i="15" s="1"/>
  <c r="M64" i="42"/>
  <c r="K82" i="30"/>
  <c r="M166" i="42"/>
  <c r="M24" i="42"/>
  <c r="K17" i="30"/>
  <c r="AA13" i="29"/>
  <c r="AA38" i="29" s="1"/>
  <c r="B38" i="29"/>
  <c r="D13" i="29" s="1"/>
  <c r="D38" i="29" s="1"/>
  <c r="F13" i="29" s="1"/>
  <c r="F38" i="29" s="1"/>
  <c r="H13" i="29" s="1"/>
  <c r="H38" i="29" s="1"/>
  <c r="J13" i="29" s="1"/>
  <c r="J38" i="29" s="1"/>
  <c r="L13" i="29" s="1"/>
  <c r="L38" i="29" s="1"/>
  <c r="N13" i="29" s="1"/>
  <c r="N38" i="29" s="1"/>
  <c r="P13" i="29" s="1"/>
  <c r="P38" i="29" s="1"/>
  <c r="R13" i="29" s="1"/>
  <c r="R38" i="29" s="1"/>
  <c r="T13" i="29" s="1"/>
  <c r="F41" i="6" s="1"/>
  <c r="F42" i="6" s="1"/>
  <c r="M186" i="42"/>
  <c r="M56" i="34"/>
  <c r="M63" i="34"/>
  <c r="K56" i="30"/>
  <c r="I40" i="9"/>
  <c r="M149" i="42"/>
  <c r="M237" i="42"/>
  <c r="T30" i="11"/>
  <c r="M50" i="42"/>
  <c r="M110" i="42"/>
  <c r="C31" i="8"/>
  <c r="I31" i="8" s="1"/>
  <c r="I36" i="9"/>
  <c r="K65" i="30"/>
  <c r="R26" i="35"/>
  <c r="V26" i="35" s="1"/>
  <c r="J43" i="35"/>
  <c r="M29" i="42"/>
  <c r="K89" i="30"/>
  <c r="C30" i="10"/>
  <c r="M30" i="10" s="1"/>
  <c r="I30" i="11"/>
  <c r="M96" i="42"/>
  <c r="AE16" i="17"/>
  <c r="AE145" i="17" s="1"/>
  <c r="AH145" i="17" s="1"/>
  <c r="AJ145" i="17" s="1"/>
  <c r="AA57" i="3"/>
  <c r="AG12" i="22"/>
  <c r="AD77" i="22"/>
  <c r="M36" i="42"/>
  <c r="M51" i="42"/>
  <c r="P41" i="6"/>
  <c r="P42" i="6" s="1"/>
  <c r="AD38" i="29"/>
  <c r="L42" i="32"/>
  <c r="M159" i="42"/>
  <c r="K81" i="30"/>
  <c r="K110" i="30"/>
  <c r="M178" i="42"/>
  <c r="M30" i="34"/>
  <c r="K30" i="30"/>
  <c r="M60" i="42"/>
  <c r="K16" i="30"/>
  <c r="M48" i="42"/>
  <c r="R21" i="35"/>
  <c r="V21" i="35" s="1"/>
  <c r="K49" i="30"/>
  <c r="K133" i="30"/>
  <c r="K139" i="30"/>
  <c r="M225" i="42"/>
  <c r="M17" i="42"/>
  <c r="M57" i="42"/>
  <c r="I21" i="14"/>
  <c r="C21" i="13"/>
  <c r="M21" i="13" s="1"/>
  <c r="C32" i="13"/>
  <c r="M32" i="13" s="1"/>
  <c r="I32" i="14"/>
  <c r="M170" i="42"/>
  <c r="M256" i="42"/>
  <c r="M85" i="42"/>
  <c r="M158" i="42"/>
  <c r="R17" i="35"/>
  <c r="V17" i="35" s="1"/>
  <c r="M18" i="42"/>
  <c r="K20" i="31"/>
  <c r="M139" i="42"/>
  <c r="K44" i="30"/>
  <c r="M65" i="42"/>
  <c r="K77" i="30"/>
  <c r="T25" i="11"/>
  <c r="K84" i="30"/>
  <c r="M224" i="42"/>
  <c r="M67" i="42"/>
  <c r="AB51" i="2"/>
  <c r="AB55" i="2" s="1"/>
  <c r="M84" i="42"/>
  <c r="L35" i="32"/>
  <c r="M33" i="14"/>
  <c r="M37" i="14" s="1"/>
  <c r="M40" i="14" s="1"/>
  <c r="S30" i="14"/>
  <c r="S33" i="14" s="1"/>
  <c r="M49" i="42"/>
  <c r="M62" i="34"/>
  <c r="M39" i="34"/>
  <c r="M240" i="42"/>
  <c r="M250" i="42"/>
  <c r="K70" i="30"/>
  <c r="M211" i="42"/>
  <c r="M161" i="42"/>
  <c r="K51" i="30"/>
  <c r="L44" i="32"/>
  <c r="M251" i="42"/>
  <c r="R37" i="35"/>
  <c r="V37" i="35" s="1"/>
  <c r="I38" i="9"/>
  <c r="M181" i="42"/>
  <c r="M142" i="42"/>
  <c r="K132" i="30"/>
  <c r="S23" i="14"/>
  <c r="AG82" i="25"/>
  <c r="AI15" i="23"/>
  <c r="AE16" i="16" s="1"/>
  <c r="AE146" i="16" s="1"/>
  <c r="K69" i="30"/>
  <c r="I22" i="14"/>
  <c r="C22" i="13"/>
  <c r="M22" i="13" s="1"/>
  <c r="R57" i="2"/>
  <c r="X57" i="2" s="1"/>
  <c r="X59" i="2" s="1"/>
  <c r="E103" i="23"/>
  <c r="G15" i="23" s="1"/>
  <c r="G103" i="23" s="1"/>
  <c r="I15" i="23" s="1"/>
  <c r="I103" i="23" s="1"/>
  <c r="K15" i="23" s="1"/>
  <c r="K103" i="23" s="1"/>
  <c r="M15" i="23" s="1"/>
  <c r="M103" i="23" s="1"/>
  <c r="O15" i="23" s="1"/>
  <c r="O103" i="23" s="1"/>
  <c r="Q15" i="23" s="1"/>
  <c r="Q103" i="23" s="1"/>
  <c r="S15" i="23" s="1"/>
  <c r="S103" i="23" s="1"/>
  <c r="U15" i="23" s="1"/>
  <c r="U103" i="23" s="1"/>
  <c r="W15" i="23" s="1"/>
  <c r="P57" i="2" s="1"/>
  <c r="V57" i="2" s="1"/>
  <c r="V59" i="2" s="1"/>
  <c r="E156" i="30"/>
  <c r="C24" i="7"/>
  <c r="I24" i="7" s="1"/>
  <c r="I33" i="14"/>
  <c r="M207" i="42"/>
  <c r="K100" i="30"/>
  <c r="I102" i="30"/>
  <c r="I156" i="30" s="1"/>
  <c r="K112" i="30"/>
  <c r="S39" i="14"/>
  <c r="K24" i="30"/>
  <c r="AB51" i="26"/>
  <c r="AH51" i="26" s="1"/>
  <c r="AJ51" i="26" s="1"/>
  <c r="D44" i="5"/>
  <c r="D45" i="5" s="1"/>
  <c r="AD82" i="25"/>
  <c r="AL82" i="25" s="1"/>
  <c r="K39" i="14"/>
  <c r="K40" i="14" s="1"/>
  <c r="I39" i="14"/>
  <c r="H41" i="6"/>
  <c r="H42" i="6" s="1"/>
  <c r="AG13" i="29"/>
  <c r="AI13" i="29" s="1"/>
  <c r="B41" i="6"/>
  <c r="U51" i="26"/>
  <c r="W51" i="26" s="1"/>
  <c r="AJ14" i="24"/>
  <c r="AJ102" i="24" s="1"/>
  <c r="AL102" i="24" s="1"/>
  <c r="C33" i="13"/>
  <c r="AG14" i="27"/>
  <c r="AI14" i="27" s="1"/>
  <c r="AA46" i="27"/>
  <c r="AG46" i="27" s="1"/>
  <c r="AI46" i="27" s="1"/>
  <c r="H44" i="5"/>
  <c r="H45" i="5" s="1"/>
  <c r="AL14" i="25"/>
  <c r="AJ82" i="25"/>
  <c r="T38" i="29" l="1"/>
  <c r="V38" i="29" s="1"/>
  <c r="M26" i="13"/>
  <c r="M27" i="13" s="1"/>
  <c r="I26" i="11"/>
  <c r="K90" i="30"/>
  <c r="K102" i="30" s="1"/>
  <c r="K156" i="30" s="1"/>
  <c r="V43" i="35"/>
  <c r="K154" i="30"/>
  <c r="L45" i="32"/>
  <c r="L48" i="32" s="1"/>
  <c r="M102" i="42"/>
  <c r="I35" i="11"/>
  <c r="M188" i="42"/>
  <c r="K40" i="31"/>
  <c r="K26" i="31"/>
  <c r="M65" i="34"/>
  <c r="I27" i="14"/>
  <c r="C37" i="14"/>
  <c r="C40" i="14" s="1"/>
  <c r="T35" i="11"/>
  <c r="I26" i="8"/>
  <c r="I34" i="8"/>
  <c r="C25" i="7"/>
  <c r="I25" i="7" s="1"/>
  <c r="I26" i="12"/>
  <c r="R43" i="35"/>
  <c r="G156" i="30"/>
  <c r="AH16" i="17"/>
  <c r="AJ16" i="17" s="1"/>
  <c r="M35" i="10"/>
  <c r="I32" i="12"/>
  <c r="M33" i="13"/>
  <c r="J48" i="32"/>
  <c r="S27" i="14"/>
  <c r="S37" i="14" s="1"/>
  <c r="S40" i="14" s="1"/>
  <c r="T26" i="11"/>
  <c r="C29" i="7"/>
  <c r="I29" i="7" s="1"/>
  <c r="C33" i="7"/>
  <c r="I33" i="7" s="1"/>
  <c r="C43" i="9"/>
  <c r="C31" i="9"/>
  <c r="C26" i="8"/>
  <c r="C35" i="10"/>
  <c r="C34" i="8"/>
  <c r="C26" i="10"/>
  <c r="M258" i="42"/>
  <c r="M212" i="42"/>
  <c r="AG38" i="29"/>
  <c r="AI38" i="29" s="1"/>
  <c r="J41" i="6"/>
  <c r="J42" i="6" s="1"/>
  <c r="AI103" i="23"/>
  <c r="O261" i="42"/>
  <c r="C21" i="7"/>
  <c r="I21" i="7" s="1"/>
  <c r="C27" i="13"/>
  <c r="C37" i="13" s="1"/>
  <c r="C40" i="13" s="1"/>
  <c r="C22" i="7"/>
  <c r="I22" i="7" s="1"/>
  <c r="C36" i="12"/>
  <c r="C39" i="12" s="1"/>
  <c r="C42" i="7"/>
  <c r="I42" i="7" s="1"/>
  <c r="I42" i="9"/>
  <c r="I43" i="9" s="1"/>
  <c r="C41" i="8"/>
  <c r="I41" i="8" s="1"/>
  <c r="C41" i="7"/>
  <c r="C40" i="8"/>
  <c r="I40" i="8" s="1"/>
  <c r="I30" i="9"/>
  <c r="I31" i="9" s="1"/>
  <c r="I47" i="9" s="1"/>
  <c r="I50" i="9" s="1"/>
  <c r="N42" i="6"/>
  <c r="AA38" i="28"/>
  <c r="AG38" i="28" s="1"/>
  <c r="AI38" i="28" s="1"/>
  <c r="AG13" i="28"/>
  <c r="AI13" i="28" s="1"/>
  <c r="D41" i="6"/>
  <c r="D42" i="6" s="1"/>
  <c r="AD57" i="2"/>
  <c r="AD59" i="2" s="1"/>
  <c r="AI59" i="2" s="1"/>
  <c r="C23" i="7"/>
  <c r="I23" i="7" s="1"/>
  <c r="C20" i="7"/>
  <c r="I20" i="7" s="1"/>
  <c r="M20" i="10"/>
  <c r="M26" i="10" s="1"/>
  <c r="AD57" i="3"/>
  <c r="AA59" i="3"/>
  <c r="F44" i="5"/>
  <c r="F45" i="5" s="1"/>
  <c r="R59" i="2"/>
  <c r="AB59" i="2"/>
  <c r="C30" i="7"/>
  <c r="I30" i="7" s="1"/>
  <c r="C31" i="7"/>
  <c r="I31" i="7" s="1"/>
  <c r="AI12" i="22"/>
  <c r="AG77" i="22"/>
  <c r="AI77" i="22" s="1"/>
  <c r="AF15" i="23"/>
  <c r="G39" i="13"/>
  <c r="C16" i="16"/>
  <c r="Q40" i="14"/>
  <c r="U39" i="14"/>
  <c r="U40" i="14" s="1"/>
  <c r="K27" i="13"/>
  <c r="K37" i="13" s="1"/>
  <c r="G41" i="7"/>
  <c r="N39" i="11"/>
  <c r="N42" i="11" s="1"/>
  <c r="W103" i="23"/>
  <c r="Y103" i="23" s="1"/>
  <c r="AA103" i="23" s="1"/>
  <c r="P59" i="2"/>
  <c r="I37" i="14"/>
  <c r="I40" i="14" s="1"/>
  <c r="AL14" i="24"/>
  <c r="I39" i="11"/>
  <c r="I42" i="11" s="1"/>
  <c r="L44" i="5"/>
  <c r="S44" i="5" s="1"/>
  <c r="U44" i="5" s="1"/>
  <c r="B42" i="6"/>
  <c r="M37" i="13" l="1"/>
  <c r="M39" i="10"/>
  <c r="M42" i="10" s="1"/>
  <c r="C47" i="9"/>
  <c r="C50" i="9" s="1"/>
  <c r="T39" i="11"/>
  <c r="T42" i="11" s="1"/>
  <c r="M261" i="42"/>
  <c r="K43" i="31"/>
  <c r="I36" i="12"/>
  <c r="I39" i="12" s="1"/>
  <c r="I37" i="8"/>
  <c r="I34" i="7"/>
  <c r="I26" i="7"/>
  <c r="C43" i="7"/>
  <c r="C37" i="8"/>
  <c r="C39" i="10"/>
  <c r="C42" i="10" s="1"/>
  <c r="C34" i="7"/>
  <c r="C42" i="8"/>
  <c r="C46" i="8" s="1"/>
  <c r="C49" i="8" s="1"/>
  <c r="C26" i="7"/>
  <c r="I41" i="7"/>
  <c r="I43" i="7" s="1"/>
  <c r="I42" i="8"/>
  <c r="I46" i="8" s="1"/>
  <c r="I49" i="8" s="1"/>
  <c r="L41" i="6"/>
  <c r="S41" i="6" s="1"/>
  <c r="U41" i="6" s="1"/>
  <c r="J44" i="5"/>
  <c r="J45" i="5" s="1"/>
  <c r="K41" i="7"/>
  <c r="K43" i="7" s="1"/>
  <c r="G43" i="7"/>
  <c r="G47" i="7" s="1"/>
  <c r="AB16" i="16"/>
  <c r="C146" i="16"/>
  <c r="E16" i="16" s="1"/>
  <c r="E146" i="16" s="1"/>
  <c r="G16" i="16" s="1"/>
  <c r="G146" i="16" s="1"/>
  <c r="I16" i="16" s="1"/>
  <c r="I146" i="16" s="1"/>
  <c r="K16" i="16" s="1"/>
  <c r="K146" i="16" s="1"/>
  <c r="M16" i="16" s="1"/>
  <c r="M146" i="16" s="1"/>
  <c r="O16" i="16" s="1"/>
  <c r="O146" i="16" s="1"/>
  <c r="Q16" i="16" s="1"/>
  <c r="Q146" i="16" s="1"/>
  <c r="S16" i="16" s="1"/>
  <c r="S146" i="16" s="1"/>
  <c r="U16" i="16" s="1"/>
  <c r="U146" i="16" s="1"/>
  <c r="W146" i="16" s="1"/>
  <c r="Y146" i="16" s="1"/>
  <c r="AD59" i="3"/>
  <c r="AF59" i="3" s="1"/>
  <c r="AF57" i="3"/>
  <c r="G40" i="13"/>
  <c r="G49" i="7"/>
  <c r="K39" i="13"/>
  <c r="K40" i="13" s="1"/>
  <c r="AI57" i="2"/>
  <c r="AG57" i="2"/>
  <c r="AG59" i="2" s="1"/>
  <c r="AF103" i="23"/>
  <c r="AN103" i="23" s="1"/>
  <c r="AL15" i="23"/>
  <c r="S45" i="5"/>
  <c r="U45" i="5" s="1"/>
  <c r="L45" i="5"/>
  <c r="I37" i="7" l="1"/>
  <c r="AL103" i="23"/>
  <c r="AN15" i="23"/>
  <c r="I47" i="7"/>
  <c r="C37" i="7"/>
  <c r="C47" i="7"/>
  <c r="C50" i="7" s="1"/>
  <c r="S42" i="6"/>
  <c r="U42" i="6" s="1"/>
  <c r="L42" i="6"/>
  <c r="K49" i="7"/>
  <c r="I49" i="7"/>
  <c r="AB146" i="16"/>
  <c r="AH146" i="16" s="1"/>
  <c r="AJ146" i="16" s="1"/>
  <c r="AH16" i="16"/>
  <c r="AJ16" i="16" s="1"/>
  <c r="K47" i="7"/>
  <c r="G50" i="7"/>
  <c r="M39" i="13"/>
  <c r="M40" i="13" s="1"/>
  <c r="O39" i="13"/>
  <c r="O40" i="13" s="1"/>
  <c r="I50" i="7" l="1"/>
  <c r="K50" i="7"/>
</calcChain>
</file>

<file path=xl/sharedStrings.xml><?xml version="1.0" encoding="utf-8"?>
<sst xmlns="http://schemas.openxmlformats.org/spreadsheetml/2006/main" count="4072" uniqueCount="1592">
  <si>
    <t>STATE OF NEW YORK</t>
  </si>
  <si>
    <t>GOVERNMENTAL FUNDS</t>
  </si>
  <si>
    <t>EXHIBIT A</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</si>
  <si>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</si>
  <si>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</si>
  <si>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</si>
  <si>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</si>
  <si>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</si>
  <si>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</si>
  <si>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</si>
  <si>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</si>
  <si>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</si>
  <si>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</si>
  <si>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</si>
  <si>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</si>
  <si>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</si>
  <si>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</si>
  <si>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</si>
  <si>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</si>
  <si>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</si>
  <si>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</si>
  <si>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</si>
  <si>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</si>
  <si>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</si>
  <si>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</si>
  <si>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</si>
  <si>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</si>
  <si>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</si>
  <si>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</si>
  <si>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</si>
  <si>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</si>
  <si>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</si>
  <si>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</si>
  <si>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</si>
  <si>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</si>
  <si>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</si>
  <si>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</si>
  <si>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</si>
  <si>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</si>
  <si>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</si>
  <si>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</si>
  <si>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</si>
  <si>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</si>
  <si>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</si>
  <si>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</si>
  <si>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</si>
  <si>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</si>
  <si>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</si>
  <si>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</si>
  <si>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</si>
  <si>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</si>
  <si>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</si>
  <si>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</si>
  <si>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</si>
  <si>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</si>
  <si>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</si>
  <si>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</si>
  <si>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</si>
  <si>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</si>
  <si>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</si>
  <si>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</si>
  <si>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</si>
  <si>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</si>
  <si>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</si>
  <si>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</si>
  <si>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</si>
  <si>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</si>
  <si>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</si>
  <si>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</si>
  <si>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</si>
  <si>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</si>
  <si>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</si>
  <si>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</si>
  <si>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</si>
  <si>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</si>
  <si>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</si>
  <si>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</si>
  <si>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</si>
  <si>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</si>
  <si>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</si>
  <si>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</si>
  <si>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</si>
  <si>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</si>
  <si>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</si>
  <si>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</si>
  <si>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</si>
  <si>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</si>
  <si>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</si>
  <si>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</si>
  <si>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</si>
  <si>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</si>
  <si>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</si>
  <si>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</si>
  <si>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</si>
  <si>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</si>
  <si>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</si>
  <si>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</si>
  <si>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</si>
  <si>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</si>
  <si>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</si>
  <si>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</si>
  <si>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</si>
  <si>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</si>
  <si>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</si>
  <si>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</si>
  <si>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</si>
  <si>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</si>
  <si>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</si>
  <si>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</si>
  <si>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</si>
  <si>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</si>
  <si>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</si>
  <si>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</si>
  <si>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</si>
  <si>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</si>
  <si>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</si>
  <si>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</si>
  <si>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</si>
  <si>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</si>
  <si>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</si>
  <si>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</si>
  <si>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</si>
  <si>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</si>
  <si>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</si>
  <si>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</si>
  <si>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</si>
  <si>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</si>
  <si>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</si>
  <si>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</si>
  <si>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</si>
  <si>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</si>
  <si>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</si>
  <si>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</si>
  <si>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</si>
  <si>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</si>
  <si>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</si>
  <si>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</si>
  <si>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</si>
  <si>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</si>
  <si>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</si>
  <si>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</si>
  <si>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</si>
  <si>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</si>
  <si>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</si>
  <si>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</si>
  <si>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</si>
  <si>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</si>
  <si>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</si>
  <si>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</si>
  <si>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</si>
  <si>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</si>
  <si>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</si>
  <si>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</si>
  <si>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</si>
  <si>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</si>
  <si>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</si>
  <si>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</si>
  <si>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</si>
  <si>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</si>
  <si>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</si>
  <si>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</si>
  <si>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</si>
  <si>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</si>
  <si>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</si>
  <si>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</si>
  <si>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</si>
  <si>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</si>
  <si>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</si>
  <si>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</si>
  <si>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</si>
  <si>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</si>
  <si>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</si>
  <si>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</si>
  <si>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</si>
  <si>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</si>
  <si>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</si>
  <si>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</si>
  <si>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</si>
  <si>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</si>
  <si>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</si>
  <si>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</si>
  <si>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</si>
  <si>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</si>
  <si>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</si>
  <si>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</si>
  <si>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</si>
  <si>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</si>
  <si>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</si>
  <si>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</si>
  <si>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</si>
  <si>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</si>
  <si>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</si>
  <si>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</si>
  <si>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</si>
  <si>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</si>
  <si>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</si>
  <si>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</si>
  <si>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</si>
  <si>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</si>
  <si>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</si>
  <si>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</si>
  <si>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</si>
  <si>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</si>
  <si>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</si>
  <si>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</si>
  <si>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</si>
  <si>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</si>
  <si>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</si>
  <si>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</si>
  <si>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</si>
  <si>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</si>
  <si>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</si>
  <si>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</si>
  <si>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</si>
  <si>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</si>
  <si>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</si>
  <si>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</si>
  <si>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</si>
  <si>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</si>
  <si>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</si>
  <si>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</si>
  <si>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</si>
  <si>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</si>
  <si>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</si>
  <si>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</si>
  <si>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</si>
  <si>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</si>
  <si>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</si>
  <si>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</si>
  <si>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</si>
  <si>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</si>
  <si>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</si>
  <si>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</si>
  <si>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</si>
  <si>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</si>
  <si>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</si>
  <si>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</si>
  <si>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</si>
  <si>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</si>
  <si>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</si>
  <si>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</si>
  <si>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</si>
  <si>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</si>
  <si>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</si>
  <si>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</si>
  <si>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</si>
  <si>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</si>
  <si>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</si>
  <si>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</si>
  <si>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</si>
  <si>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</si>
  <si>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</si>
  <si>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</si>
  <si>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</si>
  <si>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</si>
  <si>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</si>
  <si>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</si>
  <si>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</si>
  <si>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</si>
  <si>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</si>
  <si>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</si>
  <si>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</si>
  <si>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</si>
  <si>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</si>
  <si>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</si>
  <si>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</si>
  <si>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</si>
  <si>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</si>
  <si>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</si>
  <si>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</si>
  <si>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</si>
  <si>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</si>
  <si>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</si>
  <si>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</si>
  <si>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</si>
  <si>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</si>
  <si>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</si>
  <si>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</si>
  <si>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</si>
  <si>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</si>
  <si>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</si>
  <si>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</si>
  <si>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</si>
  <si>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</si>
  <si>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</si>
  <si>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</si>
  <si>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</si>
  <si>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</si>
  <si>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</si>
  <si>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</si>
  <si>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</si>
  <si>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</si>
  <si>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</si>
  <si>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</si>
  <si>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</si>
  <si>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</si>
  <si>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</si>
  <si>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</si>
  <si>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</si>
  <si>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</si>
  <si>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</si>
  <si>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</si>
  <si>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</si>
  <si>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</si>
  <si>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</si>
  <si>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</si>
  <si>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</si>
  <si>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</si>
  <si>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</si>
  <si>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</si>
  <si>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</si>
  <si>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</si>
  <si>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</si>
  <si>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</si>
  <si>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</si>
  <si>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</si>
  <si>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</si>
  <si>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</si>
  <si>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</si>
  <si>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</si>
  <si>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</si>
  <si>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</si>
  <si>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</si>
  <si>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</si>
  <si>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</si>
  <si>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</si>
  <si>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</si>
  <si>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</si>
  <si>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</si>
  <si>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</si>
  <si>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</si>
  <si>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</si>
  <si>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</si>
  <si>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</si>
  <si>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</si>
  <si>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</si>
  <si>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</si>
  <si>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</si>
  <si>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</si>
  <si>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</si>
  <si>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</si>
  <si>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</si>
  <si>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</si>
  <si>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</si>
  <si>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</si>
  <si>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</si>
  <si>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</si>
  <si>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</si>
  <si>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</si>
  <si>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</si>
  <si>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GOVERNMENTAL FUNDS       </t>
  </si>
  <si>
    <t>SCHEDULE 2</t>
  </si>
  <si>
    <t>PROPRIETARY FUNDS</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</si>
  <si>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</si>
  <si>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</si>
  <si>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</si>
  <si>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</si>
  <si>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</si>
  <si>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</si>
  <si>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</si>
  <si>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</si>
  <si>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</si>
  <si>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</si>
  <si>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</si>
  <si>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</si>
  <si>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</si>
  <si>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</si>
  <si>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</si>
  <si>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</si>
  <si>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</si>
  <si>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</si>
  <si>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</si>
  <si>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</si>
  <si>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</si>
  <si>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</si>
  <si>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</si>
  <si>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</si>
  <si>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</si>
  <si>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</si>
  <si>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</si>
  <si>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</si>
  <si>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</si>
  <si>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</si>
  <si>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</si>
  <si>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</si>
  <si>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</si>
  <si>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</si>
  <si>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</si>
  <si>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</si>
  <si>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</si>
  <si>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TOTAL ACCOUNTS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</si>
  <si>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</si>
  <si>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</si>
  <si>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</si>
  <si>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</si>
  <si>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</si>
  <si>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</si>
  <si>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</si>
  <si>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</si>
  <si>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</si>
  <si>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</si>
  <si>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</si>
  <si>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</si>
  <si>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</si>
  <si>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</si>
  <si>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</si>
  <si>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</si>
  <si>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</si>
  <si>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</si>
  <si>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</si>
  <si>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</si>
  <si>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</si>
  <si>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</si>
  <si>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</si>
  <si>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</si>
  <si>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</si>
  <si>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</si>
  <si>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</si>
  <si>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</si>
  <si>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</si>
  <si>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</si>
  <si>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</si>
  <si>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</si>
  <si>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</si>
  <si>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</si>
  <si>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</si>
  <si>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</si>
  <si>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</si>
  <si>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</si>
  <si>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</si>
  <si>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</si>
  <si>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</si>
  <si>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</si>
  <si>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</si>
  <si>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</si>
  <si>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</si>
  <si>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</si>
  <si>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</si>
  <si>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</si>
  <si>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</si>
  <si>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</si>
  <si>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</si>
  <si>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</si>
  <si>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</si>
  <si>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</si>
  <si>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</si>
  <si>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</si>
  <si>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</si>
  <si>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</si>
  <si>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</si>
  <si>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</si>
  <si>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</si>
  <si>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Cornell Univer. Supercomputer Center</t>
  </si>
  <si>
    <t xml:space="preserve">         Correctional Facilities</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</si>
  <si>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</si>
  <si>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</si>
  <si>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</si>
  <si>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</si>
  <si>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</si>
  <si>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</si>
  <si>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</si>
  <si>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</si>
  <si>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</si>
  <si>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</si>
  <si>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</si>
  <si>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</si>
  <si>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</si>
  <si>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</si>
  <si>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</si>
  <si>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</si>
  <si>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</si>
  <si>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</si>
  <si>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</si>
  <si>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</si>
  <si>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</si>
  <si>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</si>
  <si>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</si>
  <si>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</si>
  <si>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</si>
  <si>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</si>
  <si>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</si>
  <si>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</si>
  <si>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</si>
  <si>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</si>
  <si>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</si>
  <si>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</si>
  <si>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</si>
  <si>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</si>
  <si>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</si>
  <si>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</si>
  <si>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</si>
  <si>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</si>
  <si>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</si>
  <si>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</si>
  <si>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</si>
  <si>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</si>
  <si>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</si>
  <si>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</si>
  <si>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</si>
  <si>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</si>
  <si>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CHILD HEALTH INSURANCE PROGRAM         </t>
  </si>
  <si>
    <t xml:space="preserve">COMMUNITY SUPPORT PROGRAM          </t>
  </si>
  <si>
    <t xml:space="preserve">HEALTH CARE REFORM ACT PROGRAM         </t>
  </si>
  <si>
    <t xml:space="preserve">MEDICAL ASSISTANCE PROGRAM             </t>
  </si>
  <si>
    <t xml:space="preserve">OFFICE OF HEALTH INSURANCE PROGRAM     </t>
  </si>
  <si>
    <t xml:space="preserve">OFFICE OF HEALTH SYSTEMS MANAGEMENT    </t>
  </si>
  <si>
    <t>OFFICE OF LONG TERM CARE</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</si>
  <si>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</si>
  <si>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</si>
  <si>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</si>
  <si>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</si>
  <si>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</si>
  <si>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</si>
  <si>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</si>
  <si>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</si>
  <si>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</si>
  <si>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</si>
  <si>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</si>
  <si>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</si>
  <si>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</si>
  <si>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</si>
  <si>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</si>
  <si>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</si>
  <si>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</si>
  <si>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</si>
  <si>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</si>
  <si>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</si>
  <si>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</si>
  <si>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</si>
  <si>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</si>
  <si>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</si>
  <si>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</si>
  <si>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</si>
  <si>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</si>
  <si>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</si>
  <si>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</si>
  <si>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</si>
  <si>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</si>
  <si>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</si>
  <si>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</si>
  <si>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HCRA Resources Indigent Care - ATB</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</si>
  <si>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</si>
  <si>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</si>
  <si>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</si>
  <si>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</si>
  <si>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</si>
  <si>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</si>
  <si>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</si>
  <si>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</si>
  <si>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</si>
  <si>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</si>
  <si>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</si>
  <si>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</si>
  <si>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</si>
  <si>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</si>
  <si>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</si>
  <si>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</si>
  <si>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</si>
  <si>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</si>
  <si>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</si>
  <si>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</si>
  <si>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</si>
  <si>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</si>
  <si>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</si>
  <si>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</si>
  <si>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</si>
  <si>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</si>
  <si>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</si>
  <si>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</si>
  <si>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</si>
  <si>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</si>
  <si>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</si>
  <si>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</si>
  <si>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</si>
  <si>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</si>
  <si>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REHAB/REPAIR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</si>
  <si>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</si>
  <si>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</si>
  <si>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</si>
  <si>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</si>
  <si>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</si>
  <si>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</si>
  <si>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</si>
  <si>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</si>
  <si>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</si>
  <si>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</si>
  <si>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</si>
  <si>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</si>
  <si>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</si>
  <si>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</si>
  <si>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</si>
  <si>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</si>
  <si>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</si>
  <si>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</si>
  <si>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</si>
  <si>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</si>
  <si>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</si>
  <si>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</si>
  <si>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</si>
  <si>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</si>
  <si>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</si>
  <si>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</si>
  <si>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</si>
  <si>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</si>
  <si>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</si>
  <si>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</si>
  <si>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</si>
  <si>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</si>
  <si>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</si>
  <si>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</si>
  <si>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</si>
  <si>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</si>
  <si>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</si>
  <si>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</si>
  <si>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</si>
  <si>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</si>
  <si>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</si>
  <si>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</si>
  <si>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</si>
  <si>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</si>
  <si>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</si>
  <si>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</si>
  <si>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</si>
  <si>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</si>
  <si>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</si>
  <si>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</si>
  <si>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</si>
  <si>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</si>
  <si>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</si>
  <si>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</si>
  <si>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</si>
  <si>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</si>
  <si>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</si>
  <si>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</si>
  <si>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</si>
  <si>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</si>
  <si>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OPWDD-STATE FACILITIES PRE 12/99</t>
  </si>
  <si>
    <t>OMH-COMMUNITY FACILITIES</t>
  </si>
  <si>
    <t>OPWDD-COMMUNITY FACILITIES</t>
  </si>
  <si>
    <t>DASNY - OMH ADMIN</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</si>
  <si>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</si>
  <si>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</si>
  <si>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</si>
  <si>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</si>
  <si>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</si>
  <si>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</si>
  <si>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</si>
  <si>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</si>
  <si>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</si>
  <si>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</si>
  <si>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VOCATIONAL SCHOOL SUPERVISION</t>
  </si>
  <si>
    <t>LOCAL GOVERNMENT RECORDS MGMT</t>
  </si>
  <si>
    <t>CHILD HEALTH INSURANCE</t>
  </si>
  <si>
    <t>EPIC PREMIUM ACCOUNT</t>
  </si>
  <si>
    <t>LOTTERY-EDUCATION</t>
  </si>
  <si>
    <t>VLT EDUCATION</t>
  </si>
  <si>
    <t>ENVIR FAC CORP ADM ACCT</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</si>
  <si>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</si>
  <si>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</si>
  <si>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</si>
  <si>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</si>
  <si>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</si>
  <si>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</si>
  <si>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</si>
  <si>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</si>
  <si>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</si>
  <si>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</si>
  <si>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</si>
  <si>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</si>
  <si>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</si>
  <si>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</si>
  <si>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</si>
  <si>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</si>
  <si>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</si>
  <si>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</si>
  <si>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</si>
  <si>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</si>
  <si>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</si>
  <si>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</si>
  <si>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</si>
  <si>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</si>
  <si>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</si>
  <si>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</si>
  <si>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</si>
  <si>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HIGH SCHOOL EQUIVALENCY PROGRAM</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</si>
  <si>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</si>
  <si>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</si>
  <si>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</si>
  <si>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</si>
  <si>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</si>
  <si>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</si>
  <si>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</si>
  <si>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</si>
  <si>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</si>
  <si>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</si>
  <si>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</si>
  <si>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</si>
  <si>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</si>
  <si>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</si>
  <si>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</si>
  <si>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</si>
  <si>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</si>
  <si>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</si>
  <si>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</si>
  <si>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</si>
  <si>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</si>
  <si>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</si>
  <si>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</si>
  <si>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</si>
  <si>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</si>
  <si>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</si>
  <si>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</si>
  <si>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</si>
  <si>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</si>
  <si>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</si>
  <si>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</si>
  <si>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</si>
  <si>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</si>
  <si>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</si>
  <si>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</si>
  <si>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</si>
  <si>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</si>
  <si>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</si>
  <si>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</si>
  <si>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</si>
  <si>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</si>
  <si>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</si>
  <si>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</si>
  <si>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</si>
  <si>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</si>
  <si>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</si>
  <si>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</si>
  <si>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</si>
  <si>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</si>
  <si>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</si>
  <si>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</si>
  <si>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</si>
  <si>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</si>
  <si>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</si>
  <si>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</si>
  <si>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</si>
  <si>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</si>
  <si>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</si>
  <si>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</si>
  <si>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</si>
  <si>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</si>
  <si>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</si>
  <si>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</si>
  <si>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</si>
  <si>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</si>
  <si>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</si>
  <si>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</si>
  <si>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</si>
  <si>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</si>
  <si>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</si>
  <si>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</si>
  <si>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</si>
  <si>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</si>
  <si>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</si>
  <si>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</si>
  <si>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</si>
  <si>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</si>
  <si>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</si>
  <si>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</si>
  <si>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</si>
  <si>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</si>
  <si>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</si>
  <si>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</si>
  <si>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</si>
  <si>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</si>
  <si>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</si>
  <si>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</si>
  <si>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</si>
  <si>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</si>
  <si>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</si>
  <si>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</si>
  <si>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</si>
  <si>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</si>
  <si>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</si>
  <si>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</si>
  <si>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</si>
  <si>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</si>
  <si>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</si>
  <si>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</si>
  <si>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</si>
  <si>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</si>
  <si>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</si>
  <si>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</si>
  <si>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</si>
  <si>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</si>
  <si>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</si>
  <si>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</si>
  <si>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</si>
  <si>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</si>
  <si>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General Debt Service Fund</t>
  </si>
  <si>
    <t>Revenue Bond Tax Fund</t>
  </si>
  <si>
    <t>Local Government Assistance Tax Fund</t>
  </si>
  <si>
    <t>Sales Tax Revenue Bond Tax Fund</t>
  </si>
  <si>
    <t>Clean Water/Clean Air Fund</t>
  </si>
  <si>
    <t>Also included in the General Fund are transfers representing payments for patients residing in State-</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</si>
  <si>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</si>
  <si>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</si>
  <si>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</si>
  <si>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</si>
  <si>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</si>
  <si>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</si>
  <si>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</si>
  <si>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</si>
  <si>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</si>
  <si>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</si>
  <si>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</si>
  <si>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</si>
  <si>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</si>
  <si>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</si>
  <si>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</si>
  <si>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</si>
  <si>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</si>
  <si>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</si>
  <si>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</si>
  <si>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</si>
  <si>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</si>
  <si>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</si>
  <si>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</si>
  <si>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</si>
  <si>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</si>
  <si>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</si>
  <si>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</si>
  <si>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</si>
  <si>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</si>
  <si>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</si>
  <si>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</si>
  <si>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</si>
  <si>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</si>
  <si>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</si>
  <si>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</si>
  <si>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</si>
  <si>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Exhibit A</t>
  </si>
  <si>
    <t xml:space="preserve">Exhibit A Supplemental </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</si>
  <si>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</si>
  <si>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</si>
  <si>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</si>
  <si>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</si>
  <si>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</si>
  <si>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</si>
  <si>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</si>
  <si>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</si>
  <si>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</si>
  <si>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</si>
  <si>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</si>
  <si>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</si>
  <si>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</si>
  <si>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</si>
  <si>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</si>
  <si>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</si>
  <si>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</si>
  <si>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</si>
  <si>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SCHEDULE OF MONTH-END TEMPORARY LOANS OUTSTANDING(*)</t>
  </si>
  <si>
    <t xml:space="preserve">Special Revenue Funds Combined - Statement of Cash Flow  </t>
  </si>
  <si>
    <t>Cash Flow - Governmental</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</si>
  <si>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</si>
  <si>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</si>
  <si>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</si>
  <si>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</si>
  <si>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</si>
  <si>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</si>
  <si>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</si>
  <si>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</si>
  <si>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</si>
  <si>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</si>
  <si>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</si>
  <si>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AS REQUIRED OF THE STATE COMPTROLLER</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</si>
  <si>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</si>
  <si>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</si>
  <si>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</si>
  <si>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</si>
  <si>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</si>
  <si>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</si>
  <si>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</si>
  <si>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</si>
  <si>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</si>
  <si>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</si>
  <si>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</si>
  <si>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</si>
  <si>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</si>
  <si>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</si>
  <si>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</si>
  <si>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</si>
  <si>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</si>
  <si>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</si>
  <si>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</si>
  <si>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</si>
  <si>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</si>
  <si>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</si>
  <si>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</si>
  <si>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</si>
  <si>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</si>
  <si>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</si>
  <si>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</si>
  <si>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</si>
  <si>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</si>
  <si>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</si>
  <si>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</si>
  <si>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</si>
  <si>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</si>
  <si>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</si>
  <si>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</si>
  <si>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</si>
  <si>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</si>
  <si>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</si>
  <si>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</si>
  <si>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</si>
  <si>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</si>
  <si>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</si>
  <si>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</si>
  <si>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</si>
  <si>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</si>
  <si>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</si>
  <si>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</si>
  <si>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</si>
  <si>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</si>
  <si>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</si>
  <si>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</si>
  <si>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</si>
  <si>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</si>
  <si>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</si>
  <si>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</si>
  <si>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</si>
  <si>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</si>
  <si>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</si>
  <si>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</si>
  <si>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</si>
  <si>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</si>
  <si>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</si>
  <si>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</si>
  <si>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</si>
  <si>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</si>
  <si>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</si>
  <si>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</si>
  <si>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</si>
  <si>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REVENUE</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</si>
  <si>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</si>
  <si>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</si>
  <si>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</si>
  <si>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</si>
  <si>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</si>
  <si>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</si>
  <si>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</si>
  <si>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</si>
  <si>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(1)</t>
  </si>
  <si>
    <t xml:space="preserve">          Total Program Disbursements</t>
  </si>
  <si>
    <t xml:space="preserve">  30610-30619-Park and Recreation Land Acquisition Bond</t>
  </si>
  <si>
    <t xml:space="preserve">  23250-23449-IFR/CUTRA</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</si>
  <si>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</si>
  <si>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</si>
  <si>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</si>
  <si>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</si>
  <si>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</si>
  <si>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</si>
  <si>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</si>
  <si>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</si>
  <si>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</si>
  <si>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</si>
  <si>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</si>
  <si>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</si>
  <si>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</si>
  <si>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</si>
  <si>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</si>
  <si>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</si>
  <si>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xml:space="preserve">           Total Program Disbursements</t>
  </si>
  <si>
    <t xml:space="preserve">Capital Projects Funds Combined - Statement of Cash Flow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</si>
  <si>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</si>
  <si>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</si>
  <si>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</si>
  <si>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</si>
  <si>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</si>
  <si>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</si>
  <si>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</si>
  <si>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</si>
  <si>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</si>
  <si>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</si>
  <si>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</si>
  <si>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</si>
  <si>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</si>
  <si>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</si>
  <si>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</si>
  <si>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</si>
  <si>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</si>
  <si>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Community Enhancement Facilities Assistance Program (CEFAP)</t>
  </si>
  <si>
    <t xml:space="preserve">Urban Development Corporation (Youth Facilities) </t>
  </si>
  <si>
    <t xml:space="preserve">Dormitory Authority (Mental Hygiene)  </t>
  </si>
  <si>
    <t xml:space="preserve">CAPITAL PROJECTS FUNDS - COMBINED  </t>
  </si>
  <si>
    <t xml:space="preserve">  60050-60149-School Capital Facilities Financing Reserve   </t>
  </si>
  <si>
    <t xml:space="preserve">           Rapid Transit and Rail Freight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</si>
  <si>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</si>
  <si>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</si>
  <si>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</si>
  <si>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</si>
  <si>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</si>
  <si>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</si>
  <si>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</si>
  <si>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</si>
  <si>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</si>
  <si>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</si>
  <si>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</si>
  <si>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</si>
  <si>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D01RVE- ALBANY</t>
  </si>
  <si>
    <t>D07RVE- BINGHAMTON</t>
  </si>
  <si>
    <t>DSAS-COMMUINTY FACILITIES</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</si>
  <si>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</si>
  <si>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</si>
  <si>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</si>
  <si>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</si>
  <si>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</si>
  <si>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</si>
  <si>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</si>
  <si>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</si>
  <si>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</si>
  <si>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</si>
  <si>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</si>
  <si>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</si>
  <si>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</si>
  <si>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</si>
  <si>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</si>
  <si>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</si>
  <si>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</si>
  <si>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</si>
  <si>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</si>
  <si>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</si>
  <si>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</si>
  <si>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</si>
  <si>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</si>
  <si>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</si>
  <si>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</si>
  <si>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</si>
  <si>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</si>
  <si>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</si>
  <si>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</si>
  <si>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</si>
  <si>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</si>
  <si>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</si>
  <si>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</si>
  <si>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</si>
  <si>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</si>
  <si>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</si>
  <si>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</si>
  <si>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</si>
  <si>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</si>
  <si>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</si>
  <si>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</si>
  <si>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</si>
  <si>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</si>
  <si>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</si>
  <si>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</si>
  <si>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</si>
  <si>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</si>
  <si>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</si>
  <si>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</si>
  <si>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</si>
  <si>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</si>
  <si>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</si>
  <si>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</si>
  <si>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</si>
  <si>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</si>
  <si>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</si>
  <si>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</si>
  <si>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</si>
  <si>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</si>
  <si>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</si>
  <si>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</si>
  <si>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</si>
  <si>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</si>
  <si>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</si>
  <si>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</si>
  <si>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</si>
  <si>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</si>
  <si>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</si>
  <si>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</si>
  <si>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</si>
  <si>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</si>
  <si>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</si>
  <si>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</si>
  <si>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</si>
  <si>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</si>
  <si>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</si>
  <si>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</si>
  <si>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Returns</t>
  </si>
  <si>
    <t xml:space="preserve">         State/City Offsets</t>
  </si>
  <si>
    <t xml:space="preserve">               Gross Receipts</t>
  </si>
  <si>
    <t xml:space="preserve">                  Total Personal Income Tax</t>
  </si>
  <si>
    <t xml:space="preserve">         Transfers to School Tax Relief Fund</t>
  </si>
  <si>
    <t xml:space="preserve">         Transfers to Revenue Bond Tax Fund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</si>
  <si>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</si>
  <si>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</si>
  <si>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</si>
  <si>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</si>
  <si>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</si>
  <si>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</si>
  <si>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</si>
  <si>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</si>
  <si>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</si>
  <si>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</si>
  <si>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</si>
  <si>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</si>
  <si>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</si>
  <si>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</si>
  <si>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</si>
  <si>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</si>
  <si>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</si>
  <si>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</si>
  <si>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</si>
  <si>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</si>
  <si>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</si>
  <si>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</si>
  <si>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</si>
  <si>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</si>
  <si>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</si>
  <si>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</si>
  <si>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</si>
  <si>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</si>
  <si>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</si>
  <si>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</si>
  <si>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</si>
  <si>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</si>
  <si>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</si>
  <si>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</si>
  <si>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</si>
  <si>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</si>
  <si>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</si>
  <si>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</si>
  <si>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</si>
  <si>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</si>
  <si>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</si>
  <si>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</si>
  <si>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</si>
  <si>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</si>
  <si>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Business/Professional:</t>
  </si>
  <si>
    <t xml:space="preserve">      Gaming:</t>
  </si>
  <si>
    <t xml:space="preserve">      Receipts from Public Authorities:</t>
  </si>
  <si>
    <t xml:space="preserve">      Revenues of State Departments:</t>
  </si>
  <si>
    <t xml:space="preserve">      Fees, Licenses and Permits:</t>
  </si>
  <si>
    <t xml:space="preserve">     Consumption/Use Taxes:</t>
  </si>
  <si>
    <t xml:space="preserve">     Business Taxes:</t>
  </si>
  <si>
    <t xml:space="preserve">     Other Taxes:</t>
  </si>
  <si>
    <t xml:space="preserve">     Personal Income Tax:   </t>
  </si>
  <si>
    <t xml:space="preserve">    Financing Agreements </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</si>
  <si>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</si>
  <si>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</si>
  <si>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</si>
  <si>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</si>
  <si>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</si>
  <si>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</si>
  <si>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</si>
  <si>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</si>
  <si>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</si>
  <si>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</si>
  <si>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</si>
  <si>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</si>
  <si>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</si>
  <si>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</si>
  <si>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</si>
  <si>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</si>
  <si>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</si>
  <si>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</si>
  <si>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GOVERNMENTAL FUNDS-STATE OPERATING (*)</t>
  </si>
  <si>
    <t xml:space="preserve">STATEMENT OF RECEIPTS AND DISBURSEMENTS   </t>
  </si>
  <si>
    <t xml:space="preserve">STATEMENT OF RECEIPTS AND DISBURSEMENTS BY ACCOUNT       </t>
  </si>
  <si>
    <t xml:space="preserve">SPECIAL REVENUE FUNDS - COMBINED  </t>
  </si>
  <si>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</si>
  <si>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</si>
  <si>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</si>
  <si>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</si>
  <si>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</si>
  <si>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</si>
  <si>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</si>
  <si>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</si>
  <si>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</si>
  <si>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</si>
  <si>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</si>
  <si>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</si>
  <si>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</si>
  <si>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</si>
  <si>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</si>
  <si>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</si>
  <si>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</si>
  <si>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</si>
  <si>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</si>
  <si>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</si>
  <si>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</si>
  <si>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</si>
  <si>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</si>
  <si>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</si>
  <si>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</si>
  <si>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xml:space="preserve">     Community Capital Assistance Program (CCAP)   </t>
  </si>
  <si>
    <t xml:space="preserve">(**) Eliminations between State and Federal Special Revenue Funds are not included.   </t>
  </si>
  <si>
    <t xml:space="preserve">  23700-23749-New York State Commercial Gaming Fund</t>
  </si>
  <si>
    <t xml:space="preserve">  21050-21149-Encon Special Revenue</t>
  </si>
  <si>
    <t xml:space="preserve">            Civil</t>
  </si>
  <si>
    <t xml:space="preserve">  30700-30709-State Housing Bond</t>
  </si>
  <si>
    <t xml:space="preserve">     TOTAL AGENCY FUNDS   </t>
  </si>
  <si>
    <t xml:space="preserve">TOTAL FIDUCIARY FUNDS    </t>
  </si>
  <si>
    <t>Banking Services Account</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</si>
  <si>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</si>
  <si>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</si>
  <si>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</si>
  <si>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</si>
  <si>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</si>
  <si>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</si>
  <si>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Total Miscellaneous Receipts           </t>
  </si>
  <si>
    <t xml:space="preserve">                  Total Consumption/Use Taxes                </t>
  </si>
  <si>
    <t xml:space="preserve">                  Total Business Taxes             </t>
  </si>
  <si>
    <t xml:space="preserve">                  Total Taxes                </t>
  </si>
  <si>
    <t xml:space="preserve">                  Total Business Taxes                </t>
  </si>
  <si>
    <t xml:space="preserve">      Transformative Economic Development Projects</t>
  </si>
  <si>
    <t xml:space="preserve">      Thruway Stabilization Program</t>
  </si>
  <si>
    <t xml:space="preserve">      Southern Tier / Hudson Valley Farm Initiative</t>
  </si>
  <si>
    <t xml:space="preserve">      Penn Station Access</t>
  </si>
  <si>
    <t xml:space="preserve">      Infrastructure Improvements</t>
  </si>
  <si>
    <t xml:space="preserve">      Broadband Initiative</t>
  </si>
  <si>
    <t xml:space="preserve">   Transfers from General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</si>
  <si>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</si>
  <si>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</si>
  <si>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</si>
  <si>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</si>
  <si>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</si>
  <si>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</si>
  <si>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</si>
  <si>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</si>
  <si>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</si>
  <si>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</si>
  <si>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Upstate Revitalization Program</t>
  </si>
  <si>
    <t xml:space="preserve">            Audit Fees</t>
  </si>
  <si>
    <t xml:space="preserve">        Audit Fees</t>
  </si>
  <si>
    <t xml:space="preserve">         Consolidated Service Contract Refunding</t>
  </si>
  <si>
    <t xml:space="preserve">         DASNY Revenue Bond</t>
  </si>
  <si>
    <t xml:space="preserve">         SUNY Community Colleges</t>
  </si>
  <si>
    <t xml:space="preserve">         SUNY Educational Facilities</t>
  </si>
  <si>
    <t xml:space="preserve">     Local Government Assistance Corporation</t>
  </si>
  <si>
    <t xml:space="preserve">         Medical Marijuana </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</si>
  <si>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</si>
  <si>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</si>
  <si>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</si>
  <si>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</si>
  <si>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</si>
  <si>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</si>
  <si>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</si>
  <si>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</si>
  <si>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</si>
  <si>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State bond and note proceeds </t>
  </si>
  <si>
    <t xml:space="preserve">      Resiliency, Mitigation, Security and Emergency Response</t>
  </si>
  <si>
    <t>Eliminations</t>
  </si>
  <si>
    <t xml:space="preserve">  Debt Service, Including Payments on  </t>
  </si>
  <si>
    <t xml:space="preserve">  Medical Marihuana</t>
  </si>
  <si>
    <t xml:space="preserve">  23800-23899-Dedicated Miscellaneous State Special Revenue</t>
  </si>
  <si>
    <t xml:space="preserve">Beginning Fund Balance           </t>
  </si>
  <si>
    <t>EMPIRE PLAZA GIFT SHOP</t>
  </si>
  <si>
    <t xml:space="preserve">      Transporation Capital Plan</t>
  </si>
  <si>
    <t xml:space="preserve">  </t>
  </si>
  <si>
    <t>NEIGHBOR WORK PROJECT</t>
  </si>
  <si>
    <t>LAKE GEORGE PARK TRUST FUND</t>
  </si>
  <si>
    <t>Intra-Fund</t>
  </si>
  <si>
    <t>Transfer</t>
  </si>
  <si>
    <t>Eliminations (*)</t>
  </si>
  <si>
    <t>(*)      Intra-Fund transfer eliminations represent transfers between Special Revenue-State and Federal Funds.</t>
  </si>
  <si>
    <t xml:space="preserve">      Affordable and Homeless Housing</t>
  </si>
  <si>
    <t xml:space="preserve">  24950-24999-Interactive Fantasy Sports</t>
  </si>
  <si>
    <t>AVIATION PURPOSE ACCOUNT</t>
  </si>
  <si>
    <t>CAPITAL PROJECT MISC GIFTS</t>
  </si>
  <si>
    <t>HIGHWAY USE TAX ADMIN</t>
  </si>
  <si>
    <t>25250-25299</t>
  </si>
  <si>
    <t>FEDERAL DHHS BLOCK GRANTS</t>
  </si>
  <si>
    <t xml:space="preserve">      Empire State Poverty Reduction Initiatives</t>
  </si>
  <si>
    <t xml:space="preserve">SUMMARY OF CASH RECEIPTS, DISBURSEMENTS AND   </t>
  </si>
  <si>
    <t xml:space="preserve">  23750-23799-Medical Marihuana Trust Fund</t>
  </si>
  <si>
    <t xml:space="preserve">  30710-30719-Smart Schools Bond</t>
  </si>
  <si>
    <t xml:space="preserve">  Smart Schools Bond Act</t>
  </si>
  <si>
    <t xml:space="preserve">SUMMARY OF CASH RECEIPTS, DISBURSEMENTS AND CHANGES IN FUND BALANCES </t>
  </si>
  <si>
    <t>SUMMARY OF CASH RECEIPTS, DISBURSEMENTS AND</t>
  </si>
  <si>
    <t>Exhibit A Notes</t>
  </si>
  <si>
    <t xml:space="preserve">Special Revenue Funds State - Statement of Cash Flow  </t>
  </si>
  <si>
    <t xml:space="preserve">Special Revenue Funds Federal - Statement of Cash Flow  </t>
  </si>
  <si>
    <t xml:space="preserve">Capital Projects Funds State - Statement of Cash Flow  </t>
  </si>
  <si>
    <t xml:space="preserve">Capital Projects Funds Federal - Statement of Cash Flow  </t>
  </si>
  <si>
    <t xml:space="preserve">Summary of Off-Budget Spending Report  </t>
  </si>
  <si>
    <t xml:space="preserve">   Public Health:</t>
  </si>
  <si>
    <t>(*)  Intra-Fund transfer eliminations represent transfers from Capital Projects-State and Federal Funds.</t>
  </si>
  <si>
    <t xml:space="preserve">      Jacob Javits Center Expansion</t>
  </si>
  <si>
    <t xml:space="preserve">     Indigent Care Fund - Matched</t>
  </si>
  <si>
    <t xml:space="preserve">     Indigent Care Fund - Unmatched</t>
  </si>
  <si>
    <t xml:space="preserve">           Clean Water </t>
  </si>
  <si>
    <t xml:space="preserve">           Low Income</t>
  </si>
  <si>
    <t xml:space="preserve">      Municipal Restructuring / Consolidation Competition</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</si>
  <si>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</si>
  <si>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CIVIL RECOVERIES ACCT</t>
  </si>
  <si>
    <t xml:space="preserve">      Downtown Revitalization</t>
  </si>
  <si>
    <t xml:space="preserve">      Life Sciences Initiative</t>
  </si>
  <si>
    <t xml:space="preserve">DEBT MATURED </t>
  </si>
  <si>
    <t xml:space="preserve">     Reclass of SUNY Hospital Poison Control Centers to Transfer</t>
  </si>
  <si>
    <t xml:space="preserve">     Reclass of SUNY Empire Clinical Research Investigator Program to Transfer</t>
  </si>
  <si>
    <t>NY ENVIRONMENTAL PROTECTION &amp; SPILL REMEDIATION</t>
  </si>
  <si>
    <t>UTILITY ENVIRONMENTAL REGULATORY ACCOUNT</t>
  </si>
  <si>
    <t>COURTS SPECIAL GRANTS</t>
  </si>
  <si>
    <t>NYS SECURE CHOICE ADMIN</t>
  </si>
  <si>
    <t>FANTASY SPORTS ADMINISTRATION</t>
  </si>
  <si>
    <t>(**)   Pursuant to Section 93(b) of the State Finance Law</t>
  </si>
  <si>
    <t xml:space="preserve">  70200-Comptroller's Refund Account  </t>
  </si>
  <si>
    <t>Mental Health Services Fund</t>
  </si>
  <si>
    <t xml:space="preserve">    PIT / ECET in excess of Revenue Bond Debt Service</t>
  </si>
  <si>
    <t xml:space="preserve">      Information Technology/Infrastructure for Behavioral Sciences</t>
  </si>
  <si>
    <t xml:space="preserve">        for patients residing in State-Operated Health and State University facilities.</t>
  </si>
  <si>
    <t xml:space="preserve">  24850-24899-Health Care Transformation</t>
  </si>
  <si>
    <t>ENCON ADMIN ACCT</t>
  </si>
  <si>
    <t>Appropriation Amount (*)</t>
  </si>
  <si>
    <t>CENTER FOR COMMUNITY HLTH</t>
  </si>
  <si>
    <t xml:space="preserve">CHILD HEALTH INSURANCE        </t>
  </si>
  <si>
    <t>COMMUNITY SUPPORT</t>
  </si>
  <si>
    <t>ELDERLY PHARMACEUTICAL INSURANCE COVERAGE</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</si>
  <si>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</si>
  <si>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</si>
  <si>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</si>
  <si>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</si>
  <si>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</si>
  <si>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</si>
  <si>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</si>
  <si>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</si>
  <si>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</si>
  <si>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</si>
  <si>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</si>
  <si>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</si>
  <si>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PART 405.4 HOSPITAL AUDITS NYCRR</t>
  </si>
  <si>
    <t xml:space="preserve">PHYSICIAN EXCESS MEDICAL MALPRACTICE            </t>
  </si>
  <si>
    <t>PHYSICIAN LOAN REPAYMENT</t>
  </si>
  <si>
    <t>PHYSICIAN WORKFORCE STUDIES</t>
  </si>
  <si>
    <t>POISON CONTROL CENTERS</t>
  </si>
  <si>
    <t>POOL ADMINISTRATION</t>
  </si>
  <si>
    <t>ROSWELL PARK CANCER INSTITUTE</t>
  </si>
  <si>
    <t>RURAL HEALTH CARE ACCESS</t>
  </si>
  <si>
    <t>RURAL HEALTH NETWORK</t>
  </si>
  <si>
    <t>SCHOOL BASED HEALTH CENTERS</t>
  </si>
  <si>
    <t>SCHOOL BASED HEALTH CLINICS-POOL ADMN</t>
  </si>
  <si>
    <t>TRANSITION ACCT - PRIOR YEAR ALLOCATION</t>
  </si>
  <si>
    <t>HOME HEALTH RATE INCREASE</t>
  </si>
  <si>
    <t>MEDICAID INDIGENT CARE</t>
  </si>
  <si>
    <t xml:space="preserve">MEDICAL ASSISTANCE </t>
  </si>
  <si>
    <t>PSNL CRE WRKR RECR &amp; RETEN NYC  (***)</t>
  </si>
  <si>
    <t>PSNL CRE WRKR RECR &amp; RETEN ROS  (****)</t>
  </si>
  <si>
    <t xml:space="preserve">OFFICE OF HEALTH INSURANCE </t>
  </si>
  <si>
    <t xml:space="preserve">OFFICE HEALTH SYSTEMS MANAGEMENT </t>
  </si>
  <si>
    <t>ADULT HOME INITIATIVE</t>
  </si>
  <si>
    <t>TOTAL REPORTED AMOUNT</t>
  </si>
  <si>
    <t xml:space="preserve">  24900-24949-Charitable Gifts Trust Fund</t>
  </si>
  <si>
    <t xml:space="preserve">            Commissions - Asset Conversion</t>
  </si>
  <si>
    <t xml:space="preserve">         Other (Assessments/LLC)</t>
  </si>
  <si>
    <t xml:space="preserve">         Estimated Payments</t>
  </si>
  <si>
    <t xml:space="preserve">         Refunds Issued</t>
  </si>
  <si>
    <t xml:space="preserve">     Personal Income Tax:</t>
  </si>
  <si>
    <t>2020</t>
  </si>
  <si>
    <t>DOL-CHILD PERFORMER PROTECTION ACCOUNT</t>
  </si>
  <si>
    <t>TRAINING, MANAGEMENT AND EVALUATION ACCOUNT</t>
  </si>
  <si>
    <t>CAMP SMITH BILLETING ACCOUNT</t>
  </si>
  <si>
    <t>NYS MEDICAL INDEMNITY FUND ACCOUNT</t>
  </si>
  <si>
    <t xml:space="preserve">  21850-21899-Arts Capital Grants</t>
  </si>
  <si>
    <t>NEW YORK STATE OF HEALTH</t>
  </si>
  <si>
    <t>NEW YORK STATE OF HEALTH ADMINISTRATION</t>
  </si>
  <si>
    <t>(amounts in millions)</t>
  </si>
  <si>
    <t xml:space="preserve">(amounts in millions)  </t>
  </si>
  <si>
    <t xml:space="preserve">(amounts in millions)        </t>
  </si>
  <si>
    <t xml:space="preserve">(amounts in millions)     </t>
  </si>
  <si>
    <t xml:space="preserve">(amounts in millions)    </t>
  </si>
  <si>
    <t>(amounts in thousands)</t>
  </si>
  <si>
    <t>Court Facilities Incentive Aid Fund</t>
  </si>
  <si>
    <t xml:space="preserve">         Employer Compensation Expense Tax</t>
  </si>
  <si>
    <t xml:space="preserve">  Employer Compensation Expense Tax</t>
  </si>
  <si>
    <t>fund through which disbursements will ultimately be made.  The more significant transfers include:</t>
  </si>
  <si>
    <t xml:space="preserve">        Commissions - Asset Conversion</t>
  </si>
  <si>
    <t>of lease-purchase obligations that are used to finance a portion of the operating expenses for the Department</t>
  </si>
  <si>
    <t>ROSWELL PARK COMPREHENSIVE CANCER CENTER</t>
  </si>
  <si>
    <t>CORR. FACILITIES CAPITAL CLOSURE</t>
  </si>
  <si>
    <t xml:space="preserve">DEDICATED INFRASTRUCTURE INVESTMENT FUND(*)   </t>
  </si>
  <si>
    <t>(*)    Fund created pursuant to Chapter 60, Laws of 2015-16, Part H and SFL § 93-b</t>
  </si>
  <si>
    <t xml:space="preserve">   Debt Service, Including Payments on</t>
  </si>
  <si>
    <t xml:space="preserve">  50650-50699-Unemployment Insurance</t>
  </si>
  <si>
    <t>Department of Health</t>
  </si>
  <si>
    <t>Other State Agencies</t>
  </si>
  <si>
    <t xml:space="preserve"> Year to Date</t>
  </si>
  <si>
    <t>Adult State Share Medicaid</t>
  </si>
  <si>
    <t>Reducing Maternal Mortality</t>
  </si>
  <si>
    <t>New York Connects</t>
  </si>
  <si>
    <t>Facilitated Enrollment</t>
  </si>
  <si>
    <t>Major Academic Pool</t>
  </si>
  <si>
    <t>Rural Transportation</t>
  </si>
  <si>
    <t>AIDS Epidemic</t>
  </si>
  <si>
    <t>Provide Affordable Housing</t>
  </si>
  <si>
    <t>Health Homes Establishment</t>
  </si>
  <si>
    <t>Community Provider Network</t>
  </si>
  <si>
    <t>Nursing Home Services</t>
  </si>
  <si>
    <t>Pharmacy Services</t>
  </si>
  <si>
    <t>Medical Assistance (HCRA)</t>
  </si>
  <si>
    <t>TOTAL REPORTED MEDICAID</t>
  </si>
  <si>
    <t>Partnership Plan</t>
  </si>
  <si>
    <t xml:space="preserve">Medical Assistance Administration </t>
  </si>
  <si>
    <t>Inpatient Services</t>
  </si>
  <si>
    <t>Outpatient &amp; Emergency Room Services</t>
  </si>
  <si>
    <t>Clinic Services</t>
  </si>
  <si>
    <t>Other Long Term Care Services</t>
  </si>
  <si>
    <t>Managed Care Services</t>
  </si>
  <si>
    <t>Transportation Services</t>
  </si>
  <si>
    <t>Dental Services</t>
  </si>
  <si>
    <t>Medical Services State Facilities</t>
  </si>
  <si>
    <t xml:space="preserve">State Share Medicaid </t>
  </si>
  <si>
    <t>Medical Assistance (OPWDD)</t>
  </si>
  <si>
    <t>Population Health Improvement</t>
  </si>
  <si>
    <t>Traumatic Brain Injury Services</t>
  </si>
  <si>
    <t xml:space="preserve">Nursing Home Transition &amp; Diversion </t>
  </si>
  <si>
    <t>Managed Long-Term Care Ombudsman</t>
  </si>
  <si>
    <t>Vital Access Program (OASAS)</t>
  </si>
  <si>
    <t>Vital Access Program (OMH)</t>
  </si>
  <si>
    <t>CSEA Family Health Plus Buy In</t>
  </si>
  <si>
    <t>Indigent Care</t>
  </si>
  <si>
    <t>Provider Assessments</t>
  </si>
  <si>
    <t>APPENDIX H</t>
  </si>
  <si>
    <t>Appendix H</t>
  </si>
  <si>
    <t>Appendix I</t>
  </si>
  <si>
    <t>APPENDIX I</t>
  </si>
  <si>
    <t>Fluoridation Systems</t>
  </si>
  <si>
    <t>General Hospitals Safety-Net Providers</t>
  </si>
  <si>
    <t>Medical Assistance &amp; Survey Certification Program</t>
  </si>
  <si>
    <t>Expanding Caregiver Support Services</t>
  </si>
  <si>
    <r>
      <t>TOTAL</t>
    </r>
    <r>
      <rPr>
        <b/>
        <vertAlign val="superscript"/>
        <sz val="12"/>
        <rFont val="Arial"/>
        <family val="2"/>
      </rPr>
      <t>(**)</t>
    </r>
  </si>
  <si>
    <r>
      <t>TOTAL REPORTED MEDICAID</t>
    </r>
    <r>
      <rPr>
        <b/>
        <vertAlign val="superscript"/>
        <sz val="12"/>
        <color theme="1"/>
        <rFont val="Arial"/>
        <family val="2"/>
      </rPr>
      <t>(***)</t>
    </r>
  </si>
  <si>
    <t>Emergency Medical Transportation</t>
  </si>
  <si>
    <t>Women's Health &amp; Multiple Births</t>
  </si>
  <si>
    <t>Non-Institutional &amp; Other</t>
  </si>
  <si>
    <t xml:space="preserve">Non-Institutional &amp; Other </t>
  </si>
  <si>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</si>
  <si>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</si>
  <si>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r>
      <rPr>
        <vertAlign val="superscript"/>
        <sz val="10"/>
        <color theme="1"/>
        <rFont val="Arial"/>
        <family val="2"/>
      </rPr>
      <t>(**)</t>
    </r>
    <r>
      <rPr>
        <sz val="10"/>
        <color theme="1"/>
        <rFont val="Arial"/>
        <family val="2"/>
      </rPr>
      <t>Source: Statewide Financial System</t>
    </r>
  </si>
  <si>
    <t xml:space="preserve">         Vapor Excise </t>
  </si>
  <si>
    <t xml:space="preserve">         Vapor Excise  </t>
  </si>
  <si>
    <t xml:space="preserve">         Opioid Excise </t>
  </si>
  <si>
    <t xml:space="preserve">  Vapor Excise </t>
  </si>
  <si>
    <t xml:space="preserve">  Opioid Excise </t>
  </si>
  <si>
    <t>Reclassification of Medical Assistance payments for care and treatment of patients at State-operated health, mental hygiene and State University facilities to Transfers.</t>
  </si>
  <si>
    <t xml:space="preserve">Reclassification of Medical Assistance payments for care and treatment of patients at State-operated health, mental hygiene and State University facilities to Transfers and adjustments for timing of payments at month end.  </t>
  </si>
  <si>
    <r>
      <t>MEDICAL ASSISTANCE DISBURSEMENTS - STATE FUNDS</t>
    </r>
    <r>
      <rPr>
        <b/>
        <vertAlign val="superscript"/>
        <sz val="14"/>
        <color theme="1"/>
        <rFont val="Arial"/>
        <family val="2"/>
      </rPr>
      <t>(*)</t>
    </r>
  </si>
  <si>
    <t xml:space="preserve">    and therefore amounts for any individual program may be restated by DOH.</t>
  </si>
  <si>
    <r>
      <t>MEDICAL ASSISTANCE DISBURSEMENTS - FEDERAL FUNDS</t>
    </r>
    <r>
      <rPr>
        <b/>
        <vertAlign val="superscript"/>
        <sz val="14"/>
        <color theme="1"/>
        <rFont val="Arial"/>
        <family val="2"/>
      </rPr>
      <t>(*)</t>
    </r>
  </si>
  <si>
    <r>
      <t xml:space="preserve">(*) </t>
    </r>
    <r>
      <rPr>
        <sz val="10"/>
        <color theme="1"/>
        <rFont val="Arial"/>
        <family val="2"/>
      </rPr>
      <t xml:space="preserve"> General Fund and State Special Revenue Funds only.</t>
    </r>
  </si>
  <si>
    <r>
      <t xml:space="preserve">(*) </t>
    </r>
    <r>
      <rPr>
        <sz val="10"/>
        <color theme="1"/>
        <rFont val="Arial"/>
        <family val="2"/>
      </rPr>
      <t xml:space="preserve"> Special Revenue Federal Funds only.</t>
    </r>
  </si>
  <si>
    <t xml:space="preserve">    These amounts are not comparable to Medicaid Global Cap spending.</t>
  </si>
  <si>
    <t xml:space="preserve">    These amounts do not include Medical Assistance spending for State Operations.</t>
  </si>
  <si>
    <t>Medical Assistance Disbursements - State Funds</t>
  </si>
  <si>
    <t>Medical Assistance Disbursements - Federal Funds</t>
  </si>
  <si>
    <t xml:space="preserve">    Department of Health regularly reclassifies spending between programs,  </t>
  </si>
  <si>
    <t xml:space="preserve">   Vapor Excise Tax</t>
  </si>
  <si>
    <t>NYC Personal Care Workforce Recruitment and Retention Rates (HCRA)</t>
  </si>
  <si>
    <t>Personal Care Workforce Recruitment and Retention Rates (HCRA)</t>
  </si>
  <si>
    <t>Home Health Rate Increase (HCRA)</t>
  </si>
  <si>
    <t>Patient Centered Medical Homes</t>
  </si>
  <si>
    <t>Additional DSH Payments SUNY</t>
  </si>
  <si>
    <t>Vital Access Provider Services</t>
  </si>
  <si>
    <t>DC37 &amp; Teamster Local 858</t>
  </si>
  <si>
    <t xml:space="preserve">   State Share of NYC Cigarette Tax   </t>
  </si>
  <si>
    <t xml:space="preserve">   Transfers to Miscellaneous Special Revenue Fund:    </t>
  </si>
  <si>
    <t xml:space="preserve">   Other</t>
  </si>
  <si>
    <t>FISCAL YEAR 2020-2021</t>
  </si>
  <si>
    <t>2020-2021</t>
  </si>
  <si>
    <t xml:space="preserve">FISCAL YEAR 2020-2021   </t>
  </si>
  <si>
    <t>APRIL 1, 2020</t>
  </si>
  <si>
    <t>FISCAL YEAR 2020-21</t>
  </si>
  <si>
    <t>2020-21</t>
  </si>
  <si>
    <t xml:space="preserve">FISCAL YEAR 2020-2021 </t>
  </si>
  <si>
    <t>(*)    Source: 2020-21 Enacted Financial Plan dated April 25, 2020.</t>
  </si>
  <si>
    <t xml:space="preserve">      Health Care / Hospital Initiatives </t>
  </si>
  <si>
    <t>RURAL HEALTH CARE ACCESS &amp; NETWORK DEVELOPMENT</t>
  </si>
  <si>
    <t xml:space="preserve">(*) Includes amounts appropriated in SFY 2020-21, as well as prior year appropriations that were reappropriated. </t>
  </si>
  <si>
    <t xml:space="preserve">  70093, 70095, 70300-70301-MTA State Assistance   </t>
  </si>
  <si>
    <t xml:space="preserve">  70050-70149-Sole Custody Investment (*)  </t>
  </si>
  <si>
    <t>(*) Includes Public Asset Fund resources:</t>
  </si>
  <si>
    <t>Temporary Loans are authorized pursuant to Subdivision 5 of Section 4 of the State Finance Law and Chapter 56, Part JJ, Section 1, of the Laws of 2020-21.</t>
  </si>
  <si>
    <t xml:space="preserve">  Bond and Note Proceeds (net)</t>
  </si>
  <si>
    <t xml:space="preserve">   Bond and Note Proceeds (net)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</si>
  <si>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</si>
  <si>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New York City County Clerks' Operations Offset</t>
  </si>
  <si>
    <t>RURAL HEALTH CARE GRANTS</t>
  </si>
  <si>
    <t>New York Central Business District Trust Fund</t>
  </si>
  <si>
    <t>Mass Transportation Operating Assistance Fund</t>
  </si>
  <si>
    <t xml:space="preserve">     TOTAL CAPITAL PROJECTS FUNDS </t>
  </si>
  <si>
    <t>-</t>
  </si>
  <si>
    <t>Building Administration Account</t>
  </si>
  <si>
    <t>Business Services Center</t>
  </si>
  <si>
    <t>Centralized Tech Services</t>
  </si>
  <si>
    <t>Dedicated Highway &amp; Bridge Trust Fund</t>
  </si>
  <si>
    <t>Environmental Protection Fund</t>
  </si>
  <si>
    <t>Health Insurance Revolving Fund</t>
  </si>
  <si>
    <t>Mass Transportation Financial Assistance</t>
  </si>
  <si>
    <t>State Fair Receipts</t>
  </si>
  <si>
    <t>State University Income Fund</t>
  </si>
  <si>
    <t>Also included in Special Revenue funds are transfers to the General Fund from the following:</t>
  </si>
  <si>
    <t>SUNY Income Fund</t>
  </si>
  <si>
    <t xml:space="preserve">Federal Department of Health Services Fund </t>
  </si>
  <si>
    <t>DEBT ISSUED</t>
  </si>
  <si>
    <t>1st Quarter</t>
  </si>
  <si>
    <t>APRIL - JUNE</t>
  </si>
  <si>
    <t>Dedicated Infrastructure Investment Fund</t>
  </si>
  <si>
    <t xml:space="preserve">  Plan (**)</t>
  </si>
  <si>
    <t xml:space="preserve">(***)  Actual reported transfer amounts include eliminations between Special Revenue - State and Federal Funds. </t>
  </si>
  <si>
    <t xml:space="preserve">  Transfers from Other Funds (***)</t>
  </si>
  <si>
    <t xml:space="preserve">  Transfers to Other Funds (***)</t>
  </si>
  <si>
    <t xml:space="preserve">(***)  Includes transfers to the Department of Health Income Fund and the State University Income Fund representing payments </t>
  </si>
  <si>
    <t xml:space="preserve">                                     STATE OPERATING FUNDS (***)</t>
  </si>
  <si>
    <t>(****)</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</si>
  <si>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</si>
  <si>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</si>
  <si>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payments for patients residing in State-operated Health and Mental Hygiene facilities, the General</t>
  </si>
  <si>
    <t xml:space="preserve">                        TOTAL GOVERNMENTAL FUNDS                                              YEAR OVER YEAR</t>
  </si>
  <si>
    <t xml:space="preserve">                                                                                                                                                             TOTAL STATE OPERATING FUNDS                                                </t>
  </si>
  <si>
    <t xml:space="preserve">COMPARATIVE SCHEDULE OF TAX RECEIPTS                   </t>
  </si>
  <si>
    <t>Federal Operating Grants Fund</t>
  </si>
  <si>
    <t>Federal USDA/Food and Nutrition Services Fund</t>
  </si>
  <si>
    <t>Unemployment Insurance Administration Fund</t>
  </si>
  <si>
    <t>A portion of Personal Income Tax receipts is transferred to the State Special Revenue School Tax Relief (STAR)</t>
  </si>
  <si>
    <t>Fund to be used to reimburse school districts for the STAR property tax exemptions for homeowners and payments</t>
  </si>
  <si>
    <t>3.</t>
  </si>
  <si>
    <t xml:space="preserve">Debt Service Fund ($4.9m), Medicaid Management Information System Escrow Fund ($122.3m), </t>
  </si>
  <si>
    <t>Unemployment Insurance Interest &amp; Penalty Account</t>
  </si>
  <si>
    <t>GOVT. SPONSORED AGENCIES</t>
  </si>
  <si>
    <t>Dedicated Mass Transportation - Railroad Account</t>
  </si>
  <si>
    <t>Dedicated Mass Transportation - Transit Authority Account</t>
  </si>
  <si>
    <t>Dedicated Mass Transportation - (Non MTA)</t>
  </si>
  <si>
    <t>October 31, 2020</t>
  </si>
  <si>
    <t>2nd Quarter</t>
  </si>
  <si>
    <t>JULY - SEPTEMBER</t>
  </si>
  <si>
    <t xml:space="preserve">     CSRA Inc (eMedNY) General Fund</t>
  </si>
  <si>
    <t xml:space="preserve">Recruitment Incentive Account </t>
  </si>
  <si>
    <t>November 30, 2020</t>
  </si>
  <si>
    <t>December 31, 2020</t>
  </si>
  <si>
    <t xml:space="preserve">     Financing Agreements</t>
  </si>
  <si>
    <r>
      <t>TAX</t>
    </r>
    <r>
      <rPr>
        <b/>
        <vertAlign val="superscript"/>
        <sz val="12.5"/>
        <rFont val="Arial"/>
        <family val="2"/>
      </rPr>
      <t>(*)</t>
    </r>
  </si>
  <si>
    <t xml:space="preserve">          Federal Funds.</t>
  </si>
  <si>
    <t>HESC Insurance Premium Account</t>
  </si>
  <si>
    <t>Business &amp; Licensing Services Account</t>
  </si>
  <si>
    <t>Public Service Account</t>
  </si>
  <si>
    <t>Patron Services Account</t>
  </si>
  <si>
    <t>System and Technology Account</t>
  </si>
  <si>
    <t xml:space="preserve">Encon Special Revenue </t>
  </si>
  <si>
    <t>Clean Air</t>
  </si>
  <si>
    <t>State Lottery Fund</t>
  </si>
  <si>
    <t xml:space="preserve">Federal Education Fund </t>
  </si>
  <si>
    <t>(*)      Debt Service does not include interest paid on Revenue Anticipation Notes (General Purpose), Series 2020A and 2020B that were reimbursed from the Coronavirus Relief Fund within the Special Revenue</t>
  </si>
  <si>
    <t>Miscellaneous State Special Revenue Fund</t>
  </si>
  <si>
    <t>January 31, 2021</t>
  </si>
  <si>
    <t>10 MOS. ENDED</t>
  </si>
  <si>
    <t>JAN. 31, 2020</t>
  </si>
  <si>
    <t>JAN. 2020</t>
  </si>
  <si>
    <t>JAN. 31, 2021</t>
  </si>
  <si>
    <t>JAN. 2021</t>
  </si>
  <si>
    <t>JANUARY 2021</t>
  </si>
  <si>
    <t xml:space="preserve">FOR TEN MONTHS ENDED JANUARY 31, 2021    </t>
  </si>
  <si>
    <t>10 Months Ended January 31</t>
  </si>
  <si>
    <t>JANUARY 1, 2021</t>
  </si>
  <si>
    <t>JANUARY 31, 2021</t>
  </si>
  <si>
    <t>10  MONTHS ENDED</t>
  </si>
  <si>
    <t xml:space="preserve">FOR THE TEN MONTHS ENDED JANUARY 31, 2021     </t>
  </si>
  <si>
    <t>10 MONTHS ENDED JANUARY 31</t>
  </si>
  <si>
    <t>FOR THE MONTH OF JANUARY 2021</t>
  </si>
  <si>
    <t>JANUARY 2020</t>
  </si>
  <si>
    <t>10 Months Ended</t>
  </si>
  <si>
    <t>January</t>
  </si>
  <si>
    <t>OCTOBER - DECEMBER</t>
  </si>
  <si>
    <t>3rd Quarter</t>
  </si>
  <si>
    <t>(**)   Source: 2021-22 Executive Budget dated January 19, 2021.</t>
  </si>
  <si>
    <t xml:space="preserve">As of January 31, 2021, $9,544,127.83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</si>
  <si>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Fund Balances (Deficits) at January 31, 2021</t>
  </si>
  <si>
    <t>as of January 31, 2021.</t>
  </si>
  <si>
    <t xml:space="preserve">the current fiscal quarter.  As of January 31, 2021 - pursuant to a certification of the Budget Director - </t>
  </si>
  <si>
    <t>the reserve amount is ($185.8m), which was funded by a transfer from the General Fund.</t>
  </si>
  <si>
    <t xml:space="preserve">to homeowners for the STAR Property Rebate Program.  School Tax Relief payments were ($2,008.6m) </t>
  </si>
  <si>
    <t xml:space="preserve"> the General Debt Service Fund - Lease Purchase ($104.2m), and the Revenue Bond Tax Fund ($201.9m).</t>
  </si>
  <si>
    <t xml:space="preserve">Fund and Department of Health Income Fund ($1,311.2m) representing the federal share of Medicaid </t>
  </si>
  <si>
    <t>SUNY Capital Projects Fund ($1.8m), and All Other Capital Projects ($32.0m).</t>
  </si>
  <si>
    <t>Indigent Legal Services</t>
  </si>
  <si>
    <t xml:space="preserve">operated health, mental hygiene and State University facilities to Debt Service funds ($7.1m), and  </t>
  </si>
  <si>
    <t xml:space="preserve">the State University Income Fund ($256.5.m). </t>
  </si>
  <si>
    <t xml:space="preserve">of Health ($96.2m). </t>
  </si>
  <si>
    <r>
      <t>Capital Projects Funds</t>
    </r>
    <r>
      <rPr>
        <b/>
        <sz val="9"/>
        <rFont val="Arial"/>
        <family val="2"/>
      </rPr>
      <t xml:space="preserve"> </t>
    </r>
    <r>
      <rPr>
        <sz val="9"/>
        <rFont val="Arial"/>
        <family val="2"/>
      </rPr>
      <t xml:space="preserve">“Transfers To Other Funds” includes transfers to the General Fund ($58.4m), </t>
    </r>
  </si>
  <si>
    <r>
      <t>Debt Service Funds</t>
    </r>
    <r>
      <rPr>
        <b/>
        <sz val="9"/>
        <rFont val="Arial"/>
        <family val="2"/>
      </rPr>
      <t xml:space="preserve"> </t>
    </r>
    <r>
      <rPr>
        <sz val="9"/>
        <rFont val="Arial"/>
        <family val="2"/>
      </rPr>
      <t>“Transfers To Other Funds” includes transfers to the General Fund from the following:</t>
    </r>
  </si>
  <si>
    <r>
      <t>Special Revenue Funds</t>
    </r>
    <r>
      <rPr>
        <b/>
        <sz val="9"/>
        <rFont val="Arial"/>
        <family val="2"/>
      </rPr>
      <t xml:space="preserve"> </t>
    </r>
    <r>
      <rPr>
        <sz val="9"/>
        <rFont val="Arial"/>
        <family val="2"/>
      </rPr>
      <t xml:space="preserve"> “Transfers To Other Funds” includes transfers to Mental Health Services</t>
    </r>
    <r>
      <rPr>
        <b/>
        <sz val="9"/>
        <rFont val="Arial"/>
        <family val="2"/>
      </rPr>
      <t xml:space="preserve"> </t>
    </r>
  </si>
  <si>
    <r>
      <t>General Fund</t>
    </r>
    <r>
      <rPr>
        <sz val="9"/>
        <rFont val="Arial"/>
        <family val="2"/>
      </rPr>
      <t xml:space="preserve">  “Transfers to Other Funds” are as follows:</t>
    </r>
  </si>
  <si>
    <t>10 Months Ended January 31, 2021 (**)</t>
  </si>
  <si>
    <t>Entertainment Diversity Job Training and Development</t>
  </si>
  <si>
    <t>State Police Motor Vehicle Law Enforcement Fund</t>
  </si>
  <si>
    <t>Workers' Compensation Board Account</t>
  </si>
</sst>
</file>

<file path=xl/styles.xml><?xml version="1.0" encoding="utf-8"?>
<styleSheet xmlns="http://schemas.openxmlformats.org/spreadsheetml/2006/main" xmlns:mc="http://schemas.openxmlformats.org/markup-compatibility/2006" xmlns:x14ac="http://schemas.microsoft.com/office/spreadsheetml/2009/9/ac" mc:Ignorable="x14ac">
  <numFmts count="46">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409]mmmmm\-yy;@"/>
    <numFmt numFmtId="194" formatCode="_(* #,##0.0_);_(* \(#,##0.0\);_(* &quot;-&quot;??_);_(@_)"/>
    <numFmt numFmtId="195" formatCode="0.0000%"/>
    <numFmt numFmtId="196" formatCode="#,##0.0000"/>
    <numFmt numFmtId="197" formatCode="#,##0.00000_);\(#,##0.00000\)"/>
    <numFmt numFmtId="198" formatCode="0.0_);\(0.0\)"/>
    <numFmt numFmtId="199" formatCode="_(&quot;$&quot;* #,##0_);_(&quot;$&quot;* \(#,##0\);_(&quot;$&quot;* &quot;-&quot;??_);_(@_)"/>
    <numFmt numFmtId="200" formatCode="#,#00.0%"/>
    <numFmt numFmtId="201" formatCode="0.000000"/>
  </numFmts>
  <fonts count="210">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2"/>
      <name val="Arial Unicode MS"/>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b/>
      <sz val="12"/>
      <name val="Arial"/>
      <family val="2"/>
    </font>
    <font>
      <sz val="11"/>
      <name val="Arial"/>
      <family val="2"/>
    </font>
    <font>
      <sz val="11"/>
      <name val="SWISS"/>
    </font>
    <font>
      <sz val="12"/>
      <name val="Arial"/>
      <family val="2"/>
    </font>
    <font>
      <sz val="10"/>
      <color rgb="FFFF0000"/>
      <name val="Wingdings"/>
      <charset val="2"/>
    </font>
    <font>
      <b/>
      <sz val="12"/>
      <name val="Arial"/>
      <family val="2"/>
    </font>
    <font>
      <sz val="9"/>
      <name val="Arial"/>
      <family val="2"/>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0"/>
      <color rgb="FFFF0000"/>
      <name val="Arial"/>
      <family val="2"/>
    </font>
    <font>
      <sz val="14"/>
      <color theme="1"/>
      <name val="Arial"/>
      <family val="2"/>
    </font>
    <font>
      <sz val="12"/>
      <color rgb="FF000000"/>
      <name val="Arial"/>
      <family val="2"/>
    </font>
    <font>
      <b/>
      <vertAlign val="superscript"/>
      <sz val="12.5"/>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10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auto="1"/>
      </top>
      <bottom style="thin">
        <color auto="1"/>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s>
  <cellStyleXfs count="25877">
    <xf numFmtId="164" fontId="0" fillId="0" borderId="0"/>
    <xf numFmtId="43" fontId="39" fillId="0" borderId="0" applyFont="0" applyFill="0" applyBorder="0" applyAlignment="0" applyProtection="0"/>
    <xf numFmtId="0" fontId="37" fillId="0" borderId="0"/>
    <xf numFmtId="0" fontId="37" fillId="0" borderId="0"/>
    <xf numFmtId="0" fontId="85" fillId="0" borderId="0"/>
    <xf numFmtId="43" fontId="85" fillId="0" borderId="0" applyFont="0" applyFill="0" applyBorder="0" applyAlignment="0" applyProtection="0"/>
    <xf numFmtId="44" fontId="39" fillId="0" borderId="0" applyFont="0" applyFill="0" applyBorder="0" applyAlignment="0" applyProtection="0"/>
    <xf numFmtId="9" fontId="39" fillId="0" borderId="0" applyFont="0" applyFill="0" applyBorder="0" applyAlignment="0" applyProtection="0"/>
    <xf numFmtId="0" fontId="97" fillId="0" borderId="0"/>
    <xf numFmtId="43" fontId="98" fillId="0" borderId="0" applyFont="0" applyFill="0" applyBorder="0" applyAlignment="0" applyProtection="0"/>
    <xf numFmtId="0" fontId="37" fillId="0" borderId="0"/>
    <xf numFmtId="43" fontId="42" fillId="0" borderId="0" applyFont="0" applyFill="0" applyBorder="0" applyAlignment="0" applyProtection="0"/>
    <xf numFmtId="40" fontId="103" fillId="33" borderId="0">
      <alignment horizontal="right"/>
    </xf>
    <xf numFmtId="0" fontId="104" fillId="33" borderId="0">
      <alignment horizontal="right"/>
    </xf>
    <xf numFmtId="0" fontId="105" fillId="33" borderId="13"/>
    <xf numFmtId="0" fontId="105" fillId="0" borderId="0" applyBorder="0">
      <alignment horizontal="centerContinuous"/>
    </xf>
    <xf numFmtId="0" fontId="106" fillId="0" borderId="0" applyBorder="0">
      <alignment horizontal="centerContinuous"/>
    </xf>
    <xf numFmtId="175" fontId="37" fillId="0" borderId="0"/>
    <xf numFmtId="175" fontId="39" fillId="0" borderId="0"/>
    <xf numFmtId="0" fontId="39"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111" fillId="0" borderId="0"/>
    <xf numFmtId="43" fontId="112"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37" fillId="0" borderId="0"/>
    <xf numFmtId="0" fontId="98" fillId="0" borderId="0"/>
    <xf numFmtId="43" fontId="98" fillId="0" borderId="0" applyFont="0" applyFill="0" applyBorder="0" applyAlignment="0" applyProtection="0"/>
    <xf numFmtId="0" fontId="36" fillId="12"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36" fillId="16"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36" fillId="20"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36" fillId="24"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6" fillId="28"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6" fillId="32"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6" fillId="9"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36" fillId="13"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36" fillId="17"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36" fillId="21"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6" fillId="25"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6" fillId="29"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26" fillId="3" borderId="0" applyNumberFormat="0" applyBorder="0" applyAlignment="0" applyProtection="0"/>
    <xf numFmtId="0" fontId="117" fillId="46" borderId="0" applyNumberFormat="0" applyBorder="0" applyAlignment="0" applyProtection="0"/>
    <xf numFmtId="0" fontId="117" fillId="46" borderId="0" applyNumberFormat="0" applyBorder="0" applyAlignment="0" applyProtection="0"/>
    <xf numFmtId="0" fontId="30" fillId="6" borderId="4" applyNumberFormat="0" applyAlignment="0" applyProtection="0"/>
    <xf numFmtId="0" fontId="118" fillId="47" borderId="58" applyNumberFormat="0" applyAlignment="0" applyProtection="0"/>
    <xf numFmtId="0" fontId="118" fillId="47" borderId="58" applyNumberFormat="0" applyAlignment="0" applyProtection="0"/>
    <xf numFmtId="0" fontId="32" fillId="7" borderId="7" applyNumberFormat="0" applyAlignment="0" applyProtection="0"/>
    <xf numFmtId="0" fontId="114" fillId="48" borderId="59" applyNumberFormat="0" applyAlignment="0" applyProtection="0"/>
    <xf numFmtId="0" fontId="114" fillId="48" borderId="59" applyNumberFormat="0" applyAlignment="0" applyProtection="0"/>
    <xf numFmtId="0" fontId="34"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25" fillId="2" borderId="0" applyNumberFormat="0" applyBorder="0" applyAlignment="0" applyProtection="0"/>
    <xf numFmtId="0" fontId="120" fillId="49" borderId="0" applyNumberFormat="0" applyBorder="0" applyAlignment="0" applyProtection="0"/>
    <xf numFmtId="0" fontId="120" fillId="49" borderId="0" applyNumberFormat="0" applyBorder="0" applyAlignment="0" applyProtection="0"/>
    <xf numFmtId="0" fontId="22" fillId="0" borderId="1" applyNumberFormat="0" applyFill="0" applyAlignment="0" applyProtection="0"/>
    <xf numFmtId="0" fontId="121" fillId="0" borderId="60" applyNumberFormat="0" applyFill="0" applyAlignment="0" applyProtection="0"/>
    <xf numFmtId="0" fontId="121" fillId="0" borderId="60" applyNumberFormat="0" applyFill="0" applyAlignment="0" applyProtection="0"/>
    <xf numFmtId="0" fontId="23" fillId="0" borderId="2" applyNumberFormat="0" applyFill="0" applyAlignment="0" applyProtection="0"/>
    <xf numFmtId="0" fontId="122" fillId="0" borderId="61" applyNumberFormat="0" applyFill="0" applyAlignment="0" applyProtection="0"/>
    <xf numFmtId="0" fontId="122" fillId="0" borderId="61" applyNumberFormat="0" applyFill="0" applyAlignment="0" applyProtection="0"/>
    <xf numFmtId="0" fontId="24" fillId="0" borderId="3" applyNumberFormat="0" applyFill="0" applyAlignment="0" applyProtection="0"/>
    <xf numFmtId="0" fontId="123" fillId="0" borderId="62" applyNumberFormat="0" applyFill="0" applyAlignment="0" applyProtection="0"/>
    <xf numFmtId="0" fontId="123" fillId="0" borderId="62" applyNumberFormat="0" applyFill="0" applyAlignment="0" applyProtection="0"/>
    <xf numFmtId="0" fontId="24"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28" fillId="5" borderId="4" applyNumberFormat="0" applyAlignment="0" applyProtection="0"/>
    <xf numFmtId="0" fontId="124" fillId="50" borderId="58" applyNumberFormat="0" applyAlignment="0" applyProtection="0"/>
    <xf numFmtId="0" fontId="124" fillId="50" borderId="58" applyNumberFormat="0" applyAlignment="0" applyProtection="0"/>
    <xf numFmtId="0" fontId="31" fillId="0" borderId="6" applyNumberFormat="0" applyFill="0" applyAlignment="0" applyProtection="0"/>
    <xf numFmtId="0" fontId="125" fillId="0" borderId="63" applyNumberFormat="0" applyFill="0" applyAlignment="0" applyProtection="0"/>
    <xf numFmtId="0" fontId="125" fillId="0" borderId="63" applyNumberFormat="0" applyFill="0" applyAlignment="0" applyProtection="0"/>
    <xf numFmtId="0" fontId="27" fillId="4" borderId="0" applyNumberFormat="0" applyBorder="0" applyAlignment="0" applyProtection="0"/>
    <xf numFmtId="0" fontId="126" fillId="51" borderId="0" applyNumberFormat="0" applyBorder="0" applyAlignment="0" applyProtection="0"/>
    <xf numFmtId="0" fontId="126" fillId="51" borderId="0" applyNumberFormat="0" applyBorder="0" applyAlignment="0" applyProtection="0"/>
    <xf numFmtId="0" fontId="20" fillId="0" borderId="0"/>
    <xf numFmtId="0" fontId="29" fillId="6" borderId="5" applyNumberFormat="0" applyAlignment="0" applyProtection="0"/>
    <xf numFmtId="0" fontId="127" fillId="47" borderId="64" applyNumberFormat="0" applyAlignment="0" applyProtection="0"/>
    <xf numFmtId="0" fontId="127" fillId="47" borderId="64" applyNumberFormat="0" applyAlignment="0" applyProtection="0"/>
    <xf numFmtId="0" fontId="21"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35" fillId="0" borderId="9"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33"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9" fillId="0" borderId="0"/>
    <xf numFmtId="0" fontId="37" fillId="0" borderId="0"/>
    <xf numFmtId="0" fontId="39" fillId="0" borderId="0"/>
    <xf numFmtId="0" fontId="37" fillId="0" borderId="0"/>
    <xf numFmtId="0" fontId="18" fillId="0" borderId="0"/>
    <xf numFmtId="43" fontId="1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42" fillId="0" borderId="0"/>
    <xf numFmtId="0" fontId="17" fillId="0" borderId="0"/>
    <xf numFmtId="43" fontId="17" fillId="0" borderId="0" applyFont="0" applyFill="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8" borderId="8" applyNumberFormat="0" applyFont="0" applyAlignment="0" applyProtection="0"/>
    <xf numFmtId="44" fontId="17" fillId="0" borderId="0" applyFont="0" applyFill="0" applyBorder="0" applyAlignment="0" applyProtection="0"/>
    <xf numFmtId="43" fontId="39" fillId="0" borderId="0" applyFont="0" applyFill="0" applyBorder="0" applyAlignment="0" applyProtection="0"/>
    <xf numFmtId="0" fontId="39" fillId="0" borderId="0"/>
    <xf numFmtId="0" fontId="98" fillId="0" borderId="0"/>
    <xf numFmtId="0" fontId="37" fillId="0" borderId="0"/>
    <xf numFmtId="0" fontId="147" fillId="0" borderId="0" applyNumberFormat="0" applyFill="0" applyBorder="0" applyAlignment="0" applyProtection="0">
      <alignment vertical="top"/>
      <protection locked="0"/>
    </xf>
    <xf numFmtId="0" fontId="149" fillId="5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49" fillId="5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49" fillId="4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49" fillId="4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49" fillId="49"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49" fillId="49"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49" fillId="53"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49" fillId="53"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49" fillId="54"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49" fillId="54"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49" fillId="5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49" fillId="5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49" fillId="55"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49" fillId="55"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49" fillId="3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49" fillId="3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49"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49"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49" fillId="5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49" fillId="5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49" fillId="55"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49" fillId="55"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49" fillId="56"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49" fillId="56"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7" fillId="0" borderId="0" applyFont="0" applyFill="0" applyBorder="0" applyAlignment="0" applyProtection="0"/>
    <xf numFmtId="43"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0" fontId="151" fillId="0" borderId="0"/>
    <xf numFmtId="0" fontId="17" fillId="0" borderId="0"/>
    <xf numFmtId="0" fontId="17" fillId="0" borderId="0"/>
    <xf numFmtId="0" fontId="17" fillId="0" borderId="0"/>
    <xf numFmtId="0" fontId="97" fillId="0" borderId="0"/>
    <xf numFmtId="0" fontId="150" fillId="0" borderId="0"/>
    <xf numFmtId="0" fontId="17" fillId="0" borderId="0"/>
    <xf numFmtId="0" fontId="17" fillId="0" borderId="0"/>
    <xf numFmtId="0" fontId="17" fillId="0" borderId="0"/>
    <xf numFmtId="0" fontId="17" fillId="0" borderId="0"/>
    <xf numFmtId="0" fontId="17" fillId="0" borderId="0"/>
    <xf numFmtId="0" fontId="17" fillId="0" borderId="0"/>
    <xf numFmtId="0" fontId="97" fillId="0" borderId="0"/>
    <xf numFmtId="0" fontId="150" fillId="0" borderId="0"/>
    <xf numFmtId="0" fontId="150" fillId="0" borderId="0"/>
    <xf numFmtId="0" fontId="17" fillId="0" borderId="0"/>
    <xf numFmtId="0" fontId="37" fillId="0" borderId="0"/>
    <xf numFmtId="0" fontId="149" fillId="57"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49" fillId="57"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37" fillId="0" borderId="0"/>
    <xf numFmtId="0" fontId="152" fillId="0" borderId="0"/>
    <xf numFmtId="9" fontId="37" fillId="0" borderId="0" applyFont="0" applyFill="0" applyBorder="0" applyAlignment="0" applyProtection="0"/>
    <xf numFmtId="43" fontId="37" fillId="0" borderId="0" applyFont="0" applyFill="0" applyBorder="0" applyAlignment="0" applyProtection="0"/>
    <xf numFmtId="0" fontId="42" fillId="0" borderId="0"/>
    <xf numFmtId="43" fontId="42"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175" fontId="37" fillId="0" borderId="0"/>
    <xf numFmtId="0" fontId="16" fillId="0" borderId="0"/>
    <xf numFmtId="43" fontId="16" fillId="0" borderId="0" applyFont="0" applyFill="0" applyBorder="0" applyAlignment="0" applyProtection="0"/>
    <xf numFmtId="0" fontId="16" fillId="8" borderId="8" applyNumberFormat="0" applyFont="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44" fontId="16" fillId="0" borderId="0" applyFont="0" applyFill="0" applyBorder="0" applyAlignment="0" applyProtection="0"/>
    <xf numFmtId="0" fontId="97" fillId="0" borderId="0"/>
    <xf numFmtId="0" fontId="16" fillId="0" borderId="0"/>
    <xf numFmtId="0" fontId="16" fillId="0" borderId="0"/>
    <xf numFmtId="0" fontId="37" fillId="0" borderId="0"/>
    <xf numFmtId="0" fontId="16" fillId="0" borderId="0"/>
    <xf numFmtId="43" fontId="1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7" fillId="0" borderId="0" applyFont="0" applyFill="0" applyBorder="0" applyAlignment="0" applyProtection="0"/>
    <xf numFmtId="0" fontId="37" fillId="0" borderId="0"/>
    <xf numFmtId="0" fontId="97" fillId="0" borderId="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9" fontId="164" fillId="0" borderId="0" applyFont="0" applyFill="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9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175" fontId="37" fillId="0" borderId="0"/>
    <xf numFmtId="0" fontId="112" fillId="0" borderId="0"/>
    <xf numFmtId="0" fontId="112" fillId="0" borderId="0"/>
    <xf numFmtId="0" fontId="112" fillId="0" borderId="0"/>
    <xf numFmtId="0" fontId="37" fillId="0" borderId="0"/>
    <xf numFmtId="0" fontId="112" fillId="0" borderId="0"/>
    <xf numFmtId="0" fontId="37" fillId="0" borderId="0"/>
    <xf numFmtId="0" fontId="37" fillId="0" borderId="0"/>
    <xf numFmtId="0" fontId="37" fillId="0" borderId="0"/>
    <xf numFmtId="0" fontId="37" fillId="0" borderId="0"/>
    <xf numFmtId="0" fontId="37" fillId="0" borderId="0"/>
    <xf numFmtId="0" fontId="97" fillId="0" borderId="0"/>
    <xf numFmtId="0" fontId="112" fillId="0" borderId="0"/>
    <xf numFmtId="0" fontId="112" fillId="0" borderId="0"/>
    <xf numFmtId="0" fontId="112" fillId="0" borderId="0"/>
    <xf numFmtId="0" fontId="112" fillId="0" borderId="0"/>
    <xf numFmtId="0" fontId="3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4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05" fillId="33" borderId="73"/>
    <xf numFmtId="0" fontId="42" fillId="0" borderId="0"/>
    <xf numFmtId="0" fontId="105" fillId="33" borderId="73"/>
    <xf numFmtId="175"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164" fontId="37" fillId="0" borderId="0"/>
    <xf numFmtId="0" fontId="174" fillId="0" borderId="0"/>
    <xf numFmtId="0" fontId="105" fillId="33" borderId="83"/>
    <xf numFmtId="0" fontId="174" fillId="0" borderId="0"/>
    <xf numFmtId="0" fontId="13" fillId="0" borderId="0"/>
    <xf numFmtId="0" fontId="174" fillId="0" borderId="0"/>
    <xf numFmtId="0" fontId="174" fillId="0" borderId="0"/>
    <xf numFmtId="0" fontId="12" fillId="0" borderId="0"/>
    <xf numFmtId="0" fontId="175" fillId="0" borderId="0"/>
    <xf numFmtId="43" fontId="176" fillId="0" borderId="0" applyFont="0" applyFill="0" applyBorder="0" applyAlignment="0" applyProtection="0"/>
    <xf numFmtId="0" fontId="175" fillId="0" borderId="0"/>
    <xf numFmtId="43" fontId="175" fillId="0" borderId="0" applyFont="0" applyFill="0" applyBorder="0" applyAlignment="0" applyProtection="0"/>
    <xf numFmtId="0" fontId="175" fillId="0" borderId="0"/>
    <xf numFmtId="0" fontId="12" fillId="0" borderId="0"/>
    <xf numFmtId="0" fontId="175" fillId="0" borderId="0"/>
    <xf numFmtId="43" fontId="175" fillId="0" borderId="0" applyFont="0" applyFill="0" applyBorder="0" applyAlignment="0" applyProtection="0"/>
    <xf numFmtId="0" fontId="177" fillId="0" borderId="0"/>
    <xf numFmtId="0" fontId="175" fillId="0" borderId="0"/>
    <xf numFmtId="0" fontId="175" fillId="0" borderId="0"/>
    <xf numFmtId="0" fontId="175" fillId="0" borderId="0"/>
    <xf numFmtId="0" fontId="12" fillId="0" borderId="0"/>
    <xf numFmtId="0" fontId="175" fillId="0" borderId="0"/>
    <xf numFmtId="0" fontId="177" fillId="0" borderId="0"/>
    <xf numFmtId="0" fontId="174" fillId="0" borderId="0"/>
    <xf numFmtId="0" fontId="174" fillId="0" borderId="0"/>
    <xf numFmtId="0" fontId="11" fillId="0" borderId="0"/>
    <xf numFmtId="0" fontId="174" fillId="0" borderId="0"/>
    <xf numFmtId="0" fontId="174" fillId="0" borderId="0"/>
    <xf numFmtId="0" fontId="11" fillId="0" borderId="0"/>
    <xf numFmtId="0" fontId="11" fillId="0" borderId="0"/>
    <xf numFmtId="0" fontId="42" fillId="0" borderId="0"/>
    <xf numFmtId="0" fontId="10" fillId="0" borderId="0"/>
    <xf numFmtId="0" fontId="175" fillId="0" borderId="0"/>
    <xf numFmtId="0" fontId="175" fillId="0" borderId="0"/>
    <xf numFmtId="0" fontId="175" fillId="0" borderId="0"/>
    <xf numFmtId="0" fontId="178" fillId="0" borderId="0"/>
    <xf numFmtId="0" fontId="178" fillId="0" borderId="0"/>
    <xf numFmtId="0" fontId="9" fillId="0" borderId="0"/>
    <xf numFmtId="0" fontId="9" fillId="0" borderId="0"/>
    <xf numFmtId="43" fontId="42" fillId="0" borderId="0" applyFont="0" applyFill="0" applyBorder="0" applyAlignment="0" applyProtection="0"/>
    <xf numFmtId="0" fontId="9" fillId="0" borderId="0"/>
    <xf numFmtId="0" fontId="178" fillId="0" borderId="0"/>
    <xf numFmtId="0" fontId="178" fillId="0" borderId="0"/>
    <xf numFmtId="0" fontId="8" fillId="0" borderId="0"/>
    <xf numFmtId="0" fontId="8" fillId="0" borderId="0"/>
    <xf numFmtId="0" fontId="8" fillId="0" borderId="0"/>
    <xf numFmtId="0" fontId="178" fillId="0" borderId="0"/>
    <xf numFmtId="0" fontId="175" fillId="0" borderId="0"/>
    <xf numFmtId="0" fontId="7" fillId="0" borderId="0"/>
    <xf numFmtId="0" fontId="175" fillId="0" borderId="0"/>
    <xf numFmtId="0" fontId="175" fillId="0" borderId="0"/>
    <xf numFmtId="0" fontId="175" fillId="0" borderId="0"/>
    <xf numFmtId="0" fontId="7" fillId="0" borderId="0"/>
    <xf numFmtId="0" fontId="175" fillId="0" borderId="0"/>
    <xf numFmtId="0" fontId="175" fillId="0" borderId="0"/>
    <xf numFmtId="164" fontId="179" fillId="0" borderId="0"/>
    <xf numFmtId="43" fontId="37" fillId="0" borderId="0" applyFont="0" applyFill="0" applyBorder="0" applyAlignment="0" applyProtection="0"/>
    <xf numFmtId="0" fontId="37" fillId="0" borderId="0"/>
    <xf numFmtId="0" fontId="37" fillId="0" borderId="0"/>
    <xf numFmtId="0" fontId="42" fillId="0" borderId="0"/>
    <xf numFmtId="43" fontId="42" fillId="0" borderId="0" applyFont="0" applyFill="0" applyBorder="0" applyAlignment="0" applyProtection="0"/>
    <xf numFmtId="0" fontId="97" fillId="0" borderId="0"/>
    <xf numFmtId="175" fontId="3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118" fillId="47" borderId="88" applyNumberFormat="0" applyAlignment="0" applyProtection="0"/>
    <xf numFmtId="0" fontId="118" fillId="47" borderId="88" applyNumberFormat="0" applyAlignment="0" applyProtection="0"/>
    <xf numFmtId="0" fontId="124" fillId="50" borderId="88" applyNumberFormat="0" applyAlignment="0" applyProtection="0"/>
    <xf numFmtId="0" fontId="124" fillId="50" borderId="88" applyNumberFormat="0" applyAlignment="0" applyProtection="0"/>
    <xf numFmtId="0" fontId="7" fillId="0" borderId="0"/>
    <xf numFmtId="0" fontId="175" fillId="0" borderId="0"/>
    <xf numFmtId="0" fontId="127" fillId="47" borderId="89" applyNumberFormat="0" applyAlignment="0" applyProtection="0"/>
    <xf numFmtId="0" fontId="127" fillId="47" borderId="89" applyNumberFormat="0" applyAlignment="0" applyProtection="0"/>
    <xf numFmtId="0" fontId="57" fillId="0" borderId="90" applyNumberFormat="0" applyFill="0" applyAlignment="0" applyProtection="0"/>
    <xf numFmtId="0" fontId="57" fillId="0" borderId="90" applyNumberFormat="0" applyFill="0" applyAlignment="0" applyProtection="0"/>
    <xf numFmtId="0" fontId="178"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9" fillId="57"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49" fillId="57"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75"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9" fontId="37" fillId="0" borderId="0" applyFont="0" applyFill="0" applyBorder="0" applyAlignment="0" applyProtection="0"/>
    <xf numFmtId="0" fontId="7" fillId="0" borderId="0"/>
    <xf numFmtId="0" fontId="105" fillId="33" borderId="83"/>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3" fontId="37" fillId="0" borderId="0" applyFont="0" applyFill="0" applyBorder="0" applyAlignment="0" applyProtection="0"/>
    <xf numFmtId="0" fontId="42" fillId="0" borderId="0"/>
    <xf numFmtId="0" fontId="175" fillId="0" borderId="0"/>
    <xf numFmtId="0" fontId="42" fillId="0" borderId="0"/>
    <xf numFmtId="0" fontId="7" fillId="0" borderId="0"/>
    <xf numFmtId="0" fontId="42" fillId="0" borderId="0"/>
    <xf numFmtId="0" fontId="42" fillId="0" borderId="0"/>
    <xf numFmtId="0" fontId="7" fillId="0" borderId="0"/>
    <xf numFmtId="0" fontId="7" fillId="0" borderId="0"/>
    <xf numFmtId="0" fontId="175" fillId="0" borderId="0"/>
    <xf numFmtId="0" fontId="7" fillId="0" borderId="0"/>
    <xf numFmtId="0" fontId="175" fillId="0" borderId="0"/>
    <xf numFmtId="0" fontId="42" fillId="0" borderId="0"/>
    <xf numFmtId="0" fontId="42" fillId="0" borderId="0"/>
    <xf numFmtId="0" fontId="7" fillId="0" borderId="0"/>
    <xf numFmtId="0" fontId="42" fillId="0" borderId="0"/>
    <xf numFmtId="0" fontId="42" fillId="0" borderId="0"/>
    <xf numFmtId="0" fontId="7" fillId="0" borderId="0"/>
    <xf numFmtId="0" fontId="7" fillId="0" borderId="0"/>
    <xf numFmtId="0" fontId="7" fillId="0" borderId="0"/>
    <xf numFmtId="0" fontId="180" fillId="0" borderId="0"/>
    <xf numFmtId="0" fontId="180" fillId="0" borderId="0"/>
    <xf numFmtId="0" fontId="6" fillId="0" borderId="0"/>
    <xf numFmtId="0" fontId="6" fillId="0" borderId="0"/>
    <xf numFmtId="175" fontId="37"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37" fillId="0" borderId="0"/>
    <xf numFmtId="0" fontId="181" fillId="0" borderId="0"/>
    <xf numFmtId="0" fontId="181" fillId="0" borderId="0"/>
    <xf numFmtId="0" fontId="5" fillId="0" borderId="0"/>
    <xf numFmtId="0" fontId="5" fillId="0" borderId="0"/>
    <xf numFmtId="0" fontId="181" fillId="0" borderId="0"/>
    <xf numFmtId="0" fontId="181" fillId="0" borderId="0"/>
    <xf numFmtId="0" fontId="181" fillId="0" borderId="0"/>
    <xf numFmtId="0" fontId="181" fillId="0" borderId="0"/>
    <xf numFmtId="0" fontId="181" fillId="0" borderId="0"/>
    <xf numFmtId="0" fontId="5" fillId="0" borderId="0"/>
    <xf numFmtId="0" fontId="183" fillId="0" borderId="0"/>
    <xf numFmtId="0" fontId="4" fillId="0" borderId="0"/>
    <xf numFmtId="0" fontId="4"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5" fillId="33" borderId="93"/>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3" fillId="0" borderId="0"/>
    <xf numFmtId="0" fontId="3" fillId="0" borderId="0"/>
    <xf numFmtId="164" fontId="37"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42"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105" fillId="33" borderId="93"/>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42" fillId="0" borderId="0"/>
    <xf numFmtId="0" fontId="42" fillId="0" borderId="0"/>
    <xf numFmtId="0" fontId="42" fillId="0" borderId="0"/>
    <xf numFmtId="0" fontId="42" fillId="0" borderId="0"/>
    <xf numFmtId="0" fontId="42" fillId="0" borderId="0"/>
    <xf numFmtId="0" fontId="3" fillId="0" borderId="0"/>
    <xf numFmtId="43" fontId="185" fillId="0" borderId="0" applyFont="0" applyFill="0" applyBorder="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44" fontId="189" fillId="0" borderId="0" applyFont="0" applyFill="0" applyBorder="0" applyAlignment="0" applyProtection="0"/>
    <xf numFmtId="0" fontId="193" fillId="0" borderId="0"/>
    <xf numFmtId="0" fontId="43" fillId="0" borderId="97" applyNumberFormat="0" applyFont="0" applyBorder="0">
      <alignment horizontal="right"/>
    </xf>
    <xf numFmtId="0" fontId="197" fillId="0" borderId="0" applyFill="0"/>
    <xf numFmtId="0" fontId="42" fillId="0" borderId="0" applyNumberFormat="0" applyFont="0" applyBorder="0" applyAlignment="0"/>
    <xf numFmtId="0" fontId="198" fillId="0" borderId="0" applyFill="0">
      <alignment horizontal="left" indent="1"/>
    </xf>
    <xf numFmtId="44" fontId="193" fillId="0" borderId="0" applyFont="0" applyFill="0" applyBorder="0" applyAlignment="0" applyProtection="0"/>
    <xf numFmtId="43" fontId="193" fillId="0" borderId="0" applyFont="0" applyFill="0" applyBorder="0" applyAlignment="0" applyProtection="0"/>
    <xf numFmtId="4" fontId="113" fillId="0" borderId="10" applyFill="0"/>
    <xf numFmtId="0" fontId="44" fillId="0" borderId="0" applyFill="0"/>
    <xf numFmtId="0" fontId="42" fillId="0" borderId="0"/>
    <xf numFmtId="43" fontId="42" fillId="0" borderId="0" applyFont="0" applyFill="0" applyBorder="0" applyAlignment="0" applyProtection="0"/>
    <xf numFmtId="44" fontId="42" fillId="0" borderId="0" applyFont="0" applyFill="0" applyBorder="0" applyAlignment="0" applyProtection="0"/>
    <xf numFmtId="0" fontId="42" fillId="0" borderId="0"/>
    <xf numFmtId="0" fontId="97" fillId="0" borderId="0"/>
  </cellStyleXfs>
  <cellXfs count="3991">
    <xf numFmtId="164" fontId="0" fillId="0" borderId="0" xfId="0"/>
    <xf numFmtId="166" fontId="42" fillId="0" borderId="0" xfId="0" applyNumberFormat="1" applyFont="1" applyAlignment="1" applyProtection="1"/>
    <xf numFmtId="166" fontId="43" fillId="0" borderId="0" xfId="0" applyNumberFormat="1" applyFont="1" applyAlignment="1" applyProtection="1"/>
    <xf numFmtId="166" fontId="44" fillId="0" borderId="10" xfId="0" applyNumberFormat="1" applyFont="1" applyBorder="1" applyAlignment="1" applyProtection="1">
      <alignment horizontal="centerContinuous"/>
    </xf>
    <xf numFmtId="166" fontId="44" fillId="0" borderId="0" xfId="0" quotePrefix="1" applyNumberFormat="1" applyFont="1" applyBorder="1" applyAlignment="1" applyProtection="1">
      <alignment horizontal="center"/>
    </xf>
    <xf numFmtId="166" fontId="44" fillId="0" borderId="0" xfId="0" applyNumberFormat="1" applyFont="1" applyBorder="1" applyAlignment="1" applyProtection="1">
      <alignment horizontal="center"/>
    </xf>
    <xf numFmtId="166" fontId="44" fillId="0" borderId="10" xfId="0" applyNumberFormat="1" applyFont="1" applyBorder="1" applyAlignment="1" applyProtection="1">
      <alignment horizontal="center"/>
    </xf>
    <xf numFmtId="166" fontId="39" fillId="0" borderId="0" xfId="0" applyNumberFormat="1" applyFont="1" applyBorder="1" applyAlignment="1" applyProtection="1"/>
    <xf numFmtId="164" fontId="39" fillId="0" borderId="0" xfId="0" applyNumberFormat="1" applyFont="1" applyBorder="1" applyAlignment="1" applyProtection="1">
      <protection locked="0"/>
    </xf>
    <xf numFmtId="170" fontId="39" fillId="0" borderId="0" xfId="0" applyNumberFormat="1" applyFont="1" applyAlignment="1" applyProtection="1"/>
    <xf numFmtId="170" fontId="39" fillId="0" borderId="0" xfId="0" applyNumberFormat="1" applyFont="1" applyAlignment="1" applyProtection="1">
      <alignment horizontal="center"/>
    </xf>
    <xf numFmtId="170" fontId="44" fillId="0" borderId="16" xfId="0" applyNumberFormat="1" applyFont="1" applyBorder="1" applyAlignment="1" applyProtection="1">
      <alignment horizontal="right"/>
    </xf>
    <xf numFmtId="170" fontId="44" fillId="0" borderId="16" xfId="0" applyNumberFormat="1" applyFont="1" applyBorder="1" applyAlignment="1" applyProtection="1"/>
    <xf numFmtId="164" fontId="44" fillId="0" borderId="16" xfId="0" applyNumberFormat="1" applyFont="1" applyBorder="1" applyAlignment="1" applyProtection="1">
      <protection locked="0"/>
    </xf>
    <xf numFmtId="170" fontId="39" fillId="0" borderId="0" xfId="0" applyNumberFormat="1" applyFont="1" applyBorder="1" applyAlignment="1" applyProtection="1"/>
    <xf numFmtId="170" fontId="39" fillId="0" borderId="0" xfId="0" quotePrefix="1" applyNumberFormat="1" applyFont="1" applyAlignment="1" applyProtection="1">
      <alignment horizontal="center"/>
    </xf>
    <xf numFmtId="170" fontId="39" fillId="0" borderId="0" xfId="0" quotePrefix="1" applyNumberFormat="1" applyFont="1" applyBorder="1" applyAlignment="1" applyProtection="1">
      <alignment horizontal="center"/>
    </xf>
    <xf numFmtId="170" fontId="39" fillId="0" borderId="0" xfId="0" applyNumberFormat="1" applyFont="1" applyBorder="1" applyAlignment="1" applyProtection="1">
      <alignment horizontal="center"/>
    </xf>
    <xf numFmtId="170" fontId="40" fillId="0" borderId="0" xfId="0" applyNumberFormat="1" applyFont="1" applyAlignment="1" applyProtection="1"/>
    <xf numFmtId="170" fontId="44" fillId="0" borderId="10" xfId="0" applyNumberFormat="1" applyFont="1" applyBorder="1" applyAlignment="1" applyProtection="1"/>
    <xf numFmtId="170" fontId="44" fillId="0" borderId="10" xfId="0" applyNumberFormat="1" applyFont="1" applyBorder="1" applyAlignment="1" applyProtection="1">
      <alignment horizontal="right"/>
    </xf>
    <xf numFmtId="170" fontId="39" fillId="0" borderId="0" xfId="0" applyNumberFormat="1" applyFont="1" applyFill="1" applyAlignment="1" applyProtection="1">
      <alignment horizontal="center"/>
    </xf>
    <xf numFmtId="170" fontId="39" fillId="0" borderId="0" xfId="0" applyNumberFormat="1" applyFont="1" applyFill="1" applyAlignment="1" applyProtection="1"/>
    <xf numFmtId="170" fontId="44" fillId="0" borderId="0" xfId="0" applyNumberFormat="1" applyFont="1" applyFill="1" applyAlignment="1" applyProtection="1"/>
    <xf numFmtId="164" fontId="44" fillId="0" borderId="0" xfId="0" applyNumberFormat="1" applyFont="1" applyBorder="1" applyAlignment="1" applyProtection="1">
      <protection locked="0"/>
    </xf>
    <xf numFmtId="174" fontId="44" fillId="0" borderId="17" xfId="0" applyNumberFormat="1" applyFont="1" applyFill="1" applyBorder="1" applyAlignment="1" applyProtection="1"/>
    <xf numFmtId="170" fontId="44" fillId="0" borderId="0" xfId="0" applyNumberFormat="1" applyFont="1" applyAlignment="1"/>
    <xf numFmtId="170" fontId="44" fillId="0" borderId="0" xfId="0" applyNumberFormat="1" applyFont="1" applyBorder="1" applyAlignment="1"/>
    <xf numFmtId="170" fontId="44" fillId="0" borderId="10" xfId="0" applyNumberFormat="1" applyFont="1" applyBorder="1" applyAlignment="1"/>
    <xf numFmtId="0" fontId="44" fillId="0" borderId="0" xfId="2" applyNumberFormat="1" applyFont="1" applyAlignment="1"/>
    <xf numFmtId="165" fontId="39" fillId="0" borderId="0" xfId="2" applyNumberFormat="1" applyFont="1" applyAlignment="1"/>
    <xf numFmtId="0" fontId="39" fillId="0" borderId="0" xfId="2" applyNumberFormat="1" applyFont="1" applyAlignment="1"/>
    <xf numFmtId="165" fontId="39" fillId="0" borderId="0" xfId="2" applyNumberFormat="1" applyFont="1" applyAlignment="1" applyProtection="1">
      <protection locked="0"/>
    </xf>
    <xf numFmtId="165" fontId="39" fillId="0" borderId="0" xfId="2" applyNumberFormat="1" applyFont="1" applyBorder="1" applyAlignment="1" applyProtection="1">
      <protection locked="0"/>
    </xf>
    <xf numFmtId="0" fontId="39" fillId="0" borderId="0" xfId="2" applyFont="1"/>
    <xf numFmtId="0" fontId="44" fillId="0" borderId="0" xfId="2" quotePrefix="1" applyNumberFormat="1" applyFont="1" applyAlignment="1">
      <alignment horizontal="left"/>
    </xf>
    <xf numFmtId="0" fontId="39" fillId="0" borderId="0" xfId="2" applyNumberFormat="1" applyFont="1" applyBorder="1" applyAlignment="1"/>
    <xf numFmtId="165" fontId="39" fillId="0" borderId="0" xfId="2" applyNumberFormat="1" applyFont="1" applyBorder="1" applyAlignment="1"/>
    <xf numFmtId="0" fontId="63" fillId="0" borderId="0" xfId="2" applyNumberFormat="1" applyFont="1" applyAlignment="1"/>
    <xf numFmtId="165" fontId="63" fillId="0" borderId="0" xfId="2" applyNumberFormat="1" applyFont="1" applyBorder="1" applyAlignment="1" applyProtection="1">
      <alignment horizontal="center"/>
      <protection locked="0"/>
    </xf>
    <xf numFmtId="165" fontId="63" fillId="0" borderId="0" xfId="2" applyNumberFormat="1" applyFont="1" applyAlignment="1" applyProtection="1">
      <protection locked="0"/>
    </xf>
    <xf numFmtId="165" fontId="63" fillId="0" borderId="0" xfId="2" applyNumberFormat="1" applyFont="1" applyAlignment="1"/>
    <xf numFmtId="0" fontId="39" fillId="0" borderId="20" xfId="2" applyNumberFormat="1" applyFont="1" applyBorder="1" applyAlignment="1"/>
    <xf numFmtId="165" fontId="39" fillId="0" borderId="20" xfId="2" applyNumberFormat="1" applyFont="1" applyBorder="1" applyAlignment="1"/>
    <xf numFmtId="165" fontId="63" fillId="0" borderId="0" xfId="2" applyNumberFormat="1" applyFont="1" applyBorder="1" applyAlignment="1" applyProtection="1">
      <protection locked="0"/>
    </xf>
    <xf numFmtId="0" fontId="39" fillId="0" borderId="21" xfId="2" applyNumberFormat="1" applyFont="1" applyBorder="1" applyAlignment="1"/>
    <xf numFmtId="0" fontId="39" fillId="0" borderId="22" xfId="2" applyNumberFormat="1" applyFont="1" applyBorder="1" applyAlignment="1"/>
    <xf numFmtId="0" fontId="39" fillId="0" borderId="0" xfId="2" applyFont="1" applyAlignment="1"/>
    <xf numFmtId="0" fontId="39" fillId="0" borderId="21" xfId="2" applyFont="1" applyBorder="1" applyAlignment="1"/>
    <xf numFmtId="0" fontId="39" fillId="0" borderId="0" xfId="2" applyFont="1" applyBorder="1" applyAlignment="1"/>
    <xf numFmtId="174" fontId="39" fillId="0" borderId="0" xfId="2" applyNumberFormat="1" applyFont="1" applyAlignment="1"/>
    <xf numFmtId="168" fontId="63" fillId="0" borderId="0" xfId="2" applyNumberFormat="1" applyFont="1" applyAlignment="1"/>
    <xf numFmtId="169" fontId="39" fillId="0" borderId="0" xfId="2" applyNumberFormat="1" applyFont="1" applyBorder="1" applyAlignment="1"/>
    <xf numFmtId="168" fontId="63" fillId="0" borderId="0" xfId="2" applyNumberFormat="1" applyFont="1" applyAlignment="1" applyProtection="1">
      <protection locked="0"/>
    </xf>
    <xf numFmtId="0" fontId="39" fillId="0" borderId="0" xfId="2" quotePrefix="1" applyNumberFormat="1" applyFont="1" applyAlignment="1">
      <alignment horizontal="left"/>
    </xf>
    <xf numFmtId="170" fontId="63" fillId="0" borderId="0" xfId="2" applyNumberFormat="1" applyFont="1" applyAlignment="1"/>
    <xf numFmtId="170" fontId="39" fillId="0" borderId="0" xfId="2" applyNumberFormat="1" applyFont="1" applyBorder="1" applyAlignment="1"/>
    <xf numFmtId="170" fontId="39" fillId="0" borderId="21" xfId="2" applyNumberFormat="1" applyFont="1" applyBorder="1" applyAlignment="1"/>
    <xf numFmtId="170" fontId="0" fillId="0" borderId="0" xfId="2" applyNumberFormat="1" applyFont="1" applyBorder="1"/>
    <xf numFmtId="166" fontId="39" fillId="0" borderId="0" xfId="2" applyNumberFormat="1" applyFont="1" applyBorder="1" applyAlignment="1"/>
    <xf numFmtId="170" fontId="39" fillId="0" borderId="0" xfId="2" applyNumberFormat="1" applyFont="1" applyBorder="1" applyAlignment="1">
      <alignment horizontal="center"/>
    </xf>
    <xf numFmtId="170" fontId="44" fillId="0" borderId="16" xfId="2" applyNumberFormat="1" applyFont="1" applyBorder="1" applyAlignment="1"/>
    <xf numFmtId="170" fontId="44" fillId="0" borderId="0" xfId="2" applyNumberFormat="1" applyFont="1" applyAlignment="1"/>
    <xf numFmtId="170" fontId="44" fillId="0" borderId="26" xfId="2" applyNumberFormat="1" applyFont="1" applyBorder="1" applyAlignment="1"/>
    <xf numFmtId="170" fontId="44" fillId="0" borderId="21" xfId="2" applyNumberFormat="1" applyFont="1" applyBorder="1" applyAlignment="1"/>
    <xf numFmtId="165" fontId="64" fillId="0" borderId="0" xfId="2" applyNumberFormat="1" applyFont="1" applyAlignment="1"/>
    <xf numFmtId="170" fontId="39" fillId="0" borderId="0" xfId="2" applyNumberFormat="1" applyFont="1" applyAlignment="1"/>
    <xf numFmtId="170" fontId="39" fillId="0" borderId="0" xfId="2" applyNumberFormat="1" applyFont="1" applyFill="1" applyBorder="1" applyAlignment="1"/>
    <xf numFmtId="170" fontId="39" fillId="0" borderId="0" xfId="2" applyNumberFormat="1" applyFont="1" applyFill="1" applyBorder="1" applyAlignment="1">
      <alignment horizontal="center"/>
    </xf>
    <xf numFmtId="170" fontId="39" fillId="0" borderId="0" xfId="2" applyNumberFormat="1" applyFont="1" applyAlignment="1">
      <alignment horizontal="center"/>
    </xf>
    <xf numFmtId="170" fontId="39" fillId="0" borderId="0" xfId="2" applyNumberFormat="1" applyFont="1" applyFill="1" applyBorder="1" applyAlignment="1">
      <alignment horizontal="right"/>
    </xf>
    <xf numFmtId="170" fontId="44" fillId="0" borderId="29" xfId="2" applyNumberFormat="1" applyFont="1" applyBorder="1" applyAlignment="1"/>
    <xf numFmtId="170" fontId="44" fillId="0" borderId="30" xfId="2" applyNumberFormat="1" applyFont="1" applyBorder="1" applyAlignment="1"/>
    <xf numFmtId="170" fontId="44" fillId="0" borderId="10" xfId="2" quotePrefix="1" applyNumberFormat="1" applyFont="1" applyBorder="1" applyAlignment="1">
      <alignment horizontal="center"/>
    </xf>
    <xf numFmtId="170" fontId="44" fillId="0" borderId="10" xfId="2" applyNumberFormat="1" applyFont="1" applyBorder="1" applyAlignment="1"/>
    <xf numFmtId="170" fontId="44" fillId="0" borderId="25" xfId="2" applyNumberFormat="1" applyFont="1" applyBorder="1" applyAlignment="1"/>
    <xf numFmtId="170" fontId="44" fillId="0" borderId="0" xfId="2" applyNumberFormat="1" applyFont="1" applyBorder="1" applyAlignment="1"/>
    <xf numFmtId="170" fontId="39" fillId="0" borderId="0" xfId="2" applyNumberFormat="1" applyFont="1" applyAlignment="1">
      <alignment horizontal="right"/>
    </xf>
    <xf numFmtId="170" fontId="39" fillId="0" borderId="0" xfId="2" applyNumberFormat="1" applyFont="1" applyBorder="1" applyAlignment="1">
      <alignment horizontal="right"/>
    </xf>
    <xf numFmtId="170" fontId="39" fillId="0" borderId="13" xfId="2" applyNumberFormat="1" applyFont="1" applyBorder="1" applyAlignment="1"/>
    <xf numFmtId="0" fontId="39" fillId="0" borderId="0" xfId="2" quotePrefix="1" applyFont="1" applyBorder="1" applyAlignment="1"/>
    <xf numFmtId="170" fontId="44" fillId="0" borderId="0" xfId="2" quotePrefix="1" applyNumberFormat="1" applyFont="1" applyBorder="1" applyAlignment="1">
      <alignment horizontal="center"/>
    </xf>
    <xf numFmtId="170" fontId="44" fillId="0" borderId="0" xfId="2" applyNumberFormat="1" applyFont="1" applyAlignment="1">
      <alignment horizontal="center"/>
    </xf>
    <xf numFmtId="170" fontId="44" fillId="0" borderId="16" xfId="2" quotePrefix="1" applyNumberFormat="1" applyFont="1" applyBorder="1" applyAlignment="1"/>
    <xf numFmtId="170" fontId="44" fillId="0" borderId="0" xfId="2" applyNumberFormat="1" applyFont="1" applyAlignment="1">
      <alignment horizontal="right"/>
    </xf>
    <xf numFmtId="170" fontId="44" fillId="0" borderId="32" xfId="2" quotePrefix="1" applyNumberFormat="1" applyFont="1" applyBorder="1" applyAlignment="1">
      <alignment horizontal="right"/>
    </xf>
    <xf numFmtId="170" fontId="44" fillId="0" borderId="27" xfId="2" quotePrefix="1" applyNumberFormat="1" applyFont="1" applyBorder="1" applyAlignment="1"/>
    <xf numFmtId="0" fontId="39" fillId="0" borderId="0" xfId="2" quotePrefix="1" applyFont="1" applyBorder="1" applyAlignment="1">
      <alignment horizontal="right"/>
    </xf>
    <xf numFmtId="170" fontId="39" fillId="0" borderId="20" xfId="2" applyNumberFormat="1" applyFont="1" applyBorder="1" applyAlignment="1"/>
    <xf numFmtId="170" fontId="44" fillId="0" borderId="0" xfId="2" applyNumberFormat="1" applyFont="1" applyAlignment="1">
      <alignment vertical="center"/>
    </xf>
    <xf numFmtId="170" fontId="44" fillId="0" borderId="14" xfId="2" applyNumberFormat="1" applyFont="1" applyBorder="1" applyAlignment="1"/>
    <xf numFmtId="0" fontId="44" fillId="0" borderId="0" xfId="2" applyFont="1" applyBorder="1" applyAlignment="1"/>
    <xf numFmtId="165" fontId="64" fillId="0" borderId="0" xfId="2" applyNumberFormat="1" applyFont="1" applyAlignment="1" applyProtection="1">
      <protection locked="0"/>
    </xf>
    <xf numFmtId="174" fontId="44" fillId="0" borderId="20" xfId="2" applyNumberFormat="1" applyFont="1" applyBorder="1" applyAlignment="1"/>
    <xf numFmtId="174" fontId="44" fillId="0" borderId="0" xfId="2" applyNumberFormat="1" applyFont="1" applyAlignment="1"/>
    <xf numFmtId="174" fontId="44" fillId="0" borderId="21" xfId="2" applyNumberFormat="1" applyFont="1" applyBorder="1" applyAlignment="1"/>
    <xf numFmtId="174" fontId="44" fillId="0" borderId="22" xfId="2" applyNumberFormat="1" applyFont="1" applyBorder="1" applyAlignment="1"/>
    <xf numFmtId="174" fontId="44" fillId="0" borderId="34" xfId="2" applyNumberFormat="1" applyFont="1" applyBorder="1" applyAlignment="1"/>
    <xf numFmtId="174" fontId="44" fillId="0" borderId="35" xfId="2" applyNumberFormat="1" applyFont="1" applyBorder="1" applyAlignment="1"/>
    <xf numFmtId="169" fontId="39" fillId="0" borderId="0" xfId="2" applyNumberFormat="1" applyFont="1" applyAlignment="1"/>
    <xf numFmtId="168" fontId="63" fillId="0" borderId="0" xfId="2" applyNumberFormat="1" applyFont="1" applyBorder="1" applyAlignment="1" applyProtection="1">
      <protection locked="0"/>
    </xf>
    <xf numFmtId="0" fontId="0" fillId="0" borderId="0" xfId="2" applyFont="1"/>
    <xf numFmtId="166" fontId="65" fillId="0" borderId="0" xfId="2" applyNumberFormat="1" applyFont="1" applyAlignment="1"/>
    <xf numFmtId="0" fontId="63" fillId="0" borderId="0" xfId="2" applyNumberFormat="1" applyFont="1" applyBorder="1" applyAlignment="1"/>
    <xf numFmtId="165" fontId="63" fillId="0" borderId="0" xfId="2" applyNumberFormat="1" applyFont="1" applyBorder="1" applyAlignment="1"/>
    <xf numFmtId="0" fontId="44" fillId="0" borderId="0" xfId="2" applyNumberFormat="1" applyFont="1" applyFill="1" applyAlignment="1"/>
    <xf numFmtId="165" fontId="39" fillId="0" borderId="0" xfId="2" applyNumberFormat="1" applyFont="1" applyFill="1" applyAlignment="1"/>
    <xf numFmtId="0" fontId="39" fillId="0" borderId="0" xfId="2" applyNumberFormat="1" applyFont="1" applyFill="1" applyAlignment="1"/>
    <xf numFmtId="0" fontId="44" fillId="0" borderId="0" xfId="2" quotePrefix="1" applyNumberFormat="1" applyFont="1" applyFill="1" applyAlignment="1">
      <alignment horizontal="left"/>
    </xf>
    <xf numFmtId="0" fontId="39" fillId="0" borderId="0" xfId="2" applyNumberFormat="1" applyFont="1" applyFill="1" applyBorder="1" applyAlignment="1"/>
    <xf numFmtId="0" fontId="44" fillId="0" borderId="0" xfId="2" applyNumberFormat="1" applyFont="1" applyFill="1" applyAlignment="1">
      <alignment horizontal="centerContinuous"/>
    </xf>
    <xf numFmtId="170" fontId="44" fillId="0" borderId="16" xfId="2" applyNumberFormat="1" applyFont="1" applyFill="1" applyBorder="1" applyAlignment="1">
      <alignment horizontal="right"/>
    </xf>
    <xf numFmtId="170" fontId="44" fillId="0" borderId="0" xfId="2" applyNumberFormat="1" applyFont="1" applyFill="1" applyAlignment="1"/>
    <xf numFmtId="170" fontId="44" fillId="0" borderId="10" xfId="2" applyNumberFormat="1" applyFont="1" applyFill="1" applyBorder="1" applyAlignment="1"/>
    <xf numFmtId="170" fontId="44" fillId="0" borderId="32" xfId="2" applyNumberFormat="1" applyFont="1" applyFill="1" applyBorder="1" applyAlignment="1">
      <alignment horizontal="right"/>
    </xf>
    <xf numFmtId="170" fontId="44" fillId="0" borderId="0" xfId="2" applyNumberFormat="1" applyFont="1" applyFill="1" applyBorder="1" applyAlignment="1"/>
    <xf numFmtId="170" fontId="44" fillId="0" borderId="27" xfId="2" applyNumberFormat="1" applyFont="1" applyFill="1" applyBorder="1" applyAlignment="1">
      <alignment horizontal="right"/>
    </xf>
    <xf numFmtId="166" fontId="39" fillId="0" borderId="0" xfId="2" applyNumberFormat="1" applyFont="1" applyFill="1" applyBorder="1" applyAlignment="1"/>
    <xf numFmtId="170" fontId="39" fillId="0" borderId="0" xfId="2" applyNumberFormat="1" applyFont="1" applyFill="1" applyAlignment="1"/>
    <xf numFmtId="170" fontId="39" fillId="0" borderId="0" xfId="2" applyNumberFormat="1" applyFont="1" applyFill="1" applyAlignment="1">
      <alignment horizontal="right"/>
    </xf>
    <xf numFmtId="170" fontId="44" fillId="0" borderId="10" xfId="2" applyNumberFormat="1" applyFont="1" applyFill="1" applyBorder="1" applyAlignment="1">
      <alignment horizontal="right"/>
    </xf>
    <xf numFmtId="170" fontId="44" fillId="0" borderId="12" xfId="2" applyNumberFormat="1" applyFont="1" applyFill="1" applyBorder="1" applyAlignment="1">
      <alignment horizontal="right"/>
    </xf>
    <xf numFmtId="170" fontId="44" fillId="0" borderId="11" xfId="2" applyNumberFormat="1" applyFont="1" applyFill="1" applyBorder="1" applyAlignment="1">
      <alignment horizontal="right"/>
    </xf>
    <xf numFmtId="170" fontId="44" fillId="0" borderId="16" xfId="2" applyNumberFormat="1" applyFont="1" applyFill="1" applyBorder="1" applyAlignment="1">
      <alignment horizontal="center"/>
    </xf>
    <xf numFmtId="170" fontId="44" fillId="0" borderId="32" xfId="2" applyNumberFormat="1" applyFont="1" applyFill="1" applyBorder="1" applyAlignment="1">
      <alignment horizontal="center"/>
    </xf>
    <xf numFmtId="170" fontId="44" fillId="0" borderId="27" xfId="2" applyNumberFormat="1" applyFont="1" applyFill="1" applyBorder="1" applyAlignment="1">
      <alignment horizontal="center"/>
    </xf>
    <xf numFmtId="170" fontId="39" fillId="0" borderId="20" xfId="2" applyNumberFormat="1" applyFont="1" applyFill="1" applyBorder="1" applyAlignment="1"/>
    <xf numFmtId="170" fontId="39" fillId="0" borderId="0" xfId="2" applyNumberFormat="1" applyFont="1" applyFill="1" applyAlignment="1">
      <alignment horizontal="center"/>
    </xf>
    <xf numFmtId="170" fontId="44" fillId="0" borderId="0" xfId="2" quotePrefix="1" applyNumberFormat="1" applyFont="1" applyFill="1" applyBorder="1" applyAlignment="1">
      <alignment horizontal="right"/>
    </xf>
    <xf numFmtId="170" fontId="44" fillId="0" borderId="13" xfId="2" quotePrefix="1" applyNumberFormat="1" applyFont="1" applyFill="1" applyBorder="1" applyAlignment="1">
      <alignment horizontal="right"/>
    </xf>
    <xf numFmtId="170" fontId="44" fillId="0" borderId="28" xfId="2" quotePrefix="1" applyNumberFormat="1" applyFont="1" applyFill="1" applyBorder="1" applyAlignment="1">
      <alignment horizontal="right"/>
    </xf>
    <xf numFmtId="170" fontId="44" fillId="0" borderId="10" xfId="2" quotePrefix="1" applyNumberFormat="1" applyFont="1" applyFill="1" applyBorder="1" applyAlignment="1">
      <alignment horizontal="right"/>
    </xf>
    <xf numFmtId="170" fontId="44" fillId="0" borderId="13" xfId="2" applyNumberFormat="1" applyFont="1" applyFill="1" applyBorder="1" applyAlignment="1">
      <alignment horizontal="right"/>
    </xf>
    <xf numFmtId="170" fontId="44" fillId="0" borderId="28" xfId="2" applyNumberFormat="1" applyFont="1" applyFill="1" applyBorder="1" applyAlignment="1">
      <alignment horizontal="right"/>
    </xf>
    <xf numFmtId="174" fontId="44" fillId="0" borderId="20" xfId="2" applyNumberFormat="1" applyFont="1" applyFill="1" applyBorder="1" applyAlignment="1">
      <alignment horizontal="right"/>
    </xf>
    <xf numFmtId="174" fontId="44" fillId="0" borderId="0" xfId="2" applyNumberFormat="1" applyFont="1" applyFill="1" applyAlignment="1"/>
    <xf numFmtId="174" fontId="44" fillId="0" borderId="20" xfId="2" applyNumberFormat="1" applyFont="1" applyFill="1" applyBorder="1" applyAlignment="1"/>
    <xf numFmtId="174" fontId="44" fillId="0" borderId="0" xfId="2" applyNumberFormat="1" applyFont="1" applyFill="1" applyAlignment="1">
      <alignment horizontal="center"/>
    </xf>
    <xf numFmtId="174" fontId="44" fillId="0" borderId="39" xfId="2" applyNumberFormat="1" applyFont="1" applyFill="1" applyBorder="1" applyAlignment="1">
      <alignment horizontal="right"/>
    </xf>
    <xf numFmtId="174" fontId="44" fillId="0" borderId="0" xfId="2" applyNumberFormat="1" applyFont="1" applyFill="1" applyBorder="1" applyAlignment="1"/>
    <xf numFmtId="166" fontId="39" fillId="0" borderId="0" xfId="2" applyNumberFormat="1" applyFont="1" applyFill="1" applyAlignment="1"/>
    <xf numFmtId="0" fontId="66" fillId="33" borderId="0" xfId="2" applyNumberFormat="1" applyFont="1" applyFill="1" applyAlignment="1">
      <alignment horizontal="left"/>
    </xf>
    <xf numFmtId="37" fontId="42" fillId="33" borderId="0" xfId="2" applyNumberFormat="1" applyFont="1" applyFill="1" applyAlignment="1"/>
    <xf numFmtId="37" fontId="42" fillId="0" borderId="0" xfId="2" applyNumberFormat="1" applyFont="1" applyAlignment="1"/>
    <xf numFmtId="37" fontId="67" fillId="0" borderId="0" xfId="2" applyNumberFormat="1" applyFont="1" applyFill="1" applyAlignment="1">
      <alignment horizontal="center"/>
    </xf>
    <xf numFmtId="37" fontId="68" fillId="0" borderId="0" xfId="2" applyNumberFormat="1" applyFont="1" applyFill="1" applyAlignment="1">
      <alignment horizontal="center"/>
    </xf>
    <xf numFmtId="37" fontId="69" fillId="0" borderId="0" xfId="2" applyNumberFormat="1" applyFont="1" applyFill="1" applyAlignment="1"/>
    <xf numFmtId="37" fontId="42" fillId="0" borderId="0" xfId="2" applyNumberFormat="1" applyFont="1" applyFill="1" applyBorder="1" applyAlignment="1"/>
    <xf numFmtId="37" fontId="42" fillId="0" borderId="0" xfId="2" applyNumberFormat="1" applyFont="1" applyFill="1" applyAlignment="1"/>
    <xf numFmtId="0" fontId="61" fillId="0" borderId="0" xfId="2" applyNumberFormat="1" applyFont="1" applyAlignment="1"/>
    <xf numFmtId="0" fontId="40" fillId="0" borderId="0" xfId="2" applyNumberFormat="1" applyFont="1" applyAlignment="1"/>
    <xf numFmtId="37" fontId="44" fillId="0" borderId="0" xfId="2" applyNumberFormat="1" applyFont="1" applyBorder="1" applyAlignment="1"/>
    <xf numFmtId="37" fontId="44" fillId="0" borderId="0" xfId="2" applyNumberFormat="1" applyFont="1" applyAlignment="1"/>
    <xf numFmtId="37" fontId="44" fillId="0" borderId="0" xfId="2" applyNumberFormat="1" applyFont="1" applyAlignment="1">
      <alignment horizontal="center"/>
    </xf>
    <xf numFmtId="37" fontId="44" fillId="0" borderId="0" xfId="2" quotePrefix="1" applyNumberFormat="1" applyFont="1" applyAlignment="1">
      <alignment horizontal="center"/>
    </xf>
    <xf numFmtId="3" fontId="42" fillId="0" borderId="0" xfId="2" applyNumberFormat="1" applyFont="1" applyAlignment="1"/>
    <xf numFmtId="37" fontId="42" fillId="0" borderId="0" xfId="2" applyNumberFormat="1" applyFont="1" applyBorder="1" applyAlignment="1"/>
    <xf numFmtId="37" fontId="42" fillId="0" borderId="20" xfId="2" applyNumberFormat="1" applyFont="1" applyBorder="1" applyAlignment="1"/>
    <xf numFmtId="37" fontId="39" fillId="0" borderId="0" xfId="2" applyNumberFormat="1" applyFont="1" applyBorder="1" applyAlignment="1"/>
    <xf numFmtId="37" fontId="39" fillId="0" borderId="0" xfId="2" applyNumberFormat="1" applyFont="1" applyAlignment="1"/>
    <xf numFmtId="37" fontId="39" fillId="0" borderId="0" xfId="2" applyNumberFormat="1" applyFont="1" applyAlignment="1">
      <alignment horizontal="right"/>
    </xf>
    <xf numFmtId="5" fontId="39" fillId="0" borderId="0" xfId="2" applyNumberFormat="1" applyFont="1" applyAlignment="1"/>
    <xf numFmtId="0" fontId="39" fillId="0" borderId="0" xfId="2" applyNumberFormat="1" applyFont="1" applyAlignment="1">
      <alignment horizontal="left"/>
    </xf>
    <xf numFmtId="174" fontId="39" fillId="0" borderId="0" xfId="2" applyNumberFormat="1" applyFont="1" applyAlignment="1">
      <alignment horizontal="right"/>
    </xf>
    <xf numFmtId="37" fontId="39" fillId="0" borderId="0" xfId="2" quotePrefix="1" applyNumberFormat="1" applyFont="1" applyAlignment="1">
      <alignment horizontal="center"/>
    </xf>
    <xf numFmtId="166" fontId="39" fillId="0" borderId="0" xfId="2" applyNumberFormat="1" applyFont="1" applyAlignment="1"/>
    <xf numFmtId="166" fontId="44" fillId="0" borderId="0" xfId="2" applyNumberFormat="1" applyFont="1" applyBorder="1" applyAlignment="1"/>
    <xf numFmtId="166" fontId="0" fillId="0" borderId="0" xfId="2" applyNumberFormat="1" applyFont="1"/>
    <xf numFmtId="166" fontId="39" fillId="0" borderId="20" xfId="2" applyNumberFormat="1" applyFont="1" applyBorder="1" applyAlignment="1"/>
    <xf numFmtId="166" fontId="39" fillId="0" borderId="0" xfId="2" applyNumberFormat="1" applyFont="1" applyAlignment="1">
      <alignment horizontal="right"/>
    </xf>
    <xf numFmtId="170" fontId="39" fillId="0" borderId="0" xfId="2" quotePrefix="1" applyNumberFormat="1" applyFont="1" applyAlignment="1">
      <alignment horizontal="center"/>
    </xf>
    <xf numFmtId="166" fontId="39" fillId="0" borderId="0" xfId="2" quotePrefix="1" applyNumberFormat="1" applyFont="1" applyAlignment="1">
      <alignment horizontal="center"/>
    </xf>
    <xf numFmtId="166" fontId="39" fillId="0" borderId="0" xfId="2" applyNumberFormat="1" applyFont="1" applyBorder="1" applyAlignment="1">
      <alignment horizontal="right"/>
    </xf>
    <xf numFmtId="0" fontId="44" fillId="0" borderId="0" xfId="2" applyNumberFormat="1" applyFont="1" applyAlignment="1">
      <alignment horizontal="left"/>
    </xf>
    <xf numFmtId="37" fontId="44" fillId="0" borderId="0" xfId="2" applyNumberFormat="1" applyFont="1" applyBorder="1" applyAlignment="1">
      <alignment horizontal="right"/>
    </xf>
    <xf numFmtId="37" fontId="44" fillId="0" borderId="0" xfId="2" applyNumberFormat="1" applyFont="1" applyAlignment="1">
      <alignment horizontal="right"/>
    </xf>
    <xf numFmtId="37" fontId="39" fillId="0" borderId="0" xfId="2" applyNumberFormat="1" applyFont="1" applyBorder="1"/>
    <xf numFmtId="37" fontId="39" fillId="0" borderId="0" xfId="2" applyNumberFormat="1" applyFont="1"/>
    <xf numFmtId="166" fontId="39" fillId="0" borderId="0" xfId="2" applyNumberFormat="1" applyFont="1" applyBorder="1"/>
    <xf numFmtId="3" fontId="39" fillId="0" borderId="0" xfId="2" applyNumberFormat="1" applyFont="1" applyAlignment="1"/>
    <xf numFmtId="3" fontId="44" fillId="0" borderId="0" xfId="2" applyNumberFormat="1" applyFont="1" applyAlignment="1">
      <alignment horizontal="right"/>
    </xf>
    <xf numFmtId="174" fontId="44" fillId="0" borderId="0" xfId="2" applyNumberFormat="1" applyFont="1" applyAlignment="1">
      <alignment horizontal="right"/>
    </xf>
    <xf numFmtId="169" fontId="44" fillId="0" borderId="0" xfId="2" applyNumberFormat="1" applyFont="1" applyBorder="1" applyAlignment="1"/>
    <xf numFmtId="166" fontId="63" fillId="0" borderId="0" xfId="2" quotePrefix="1" applyNumberFormat="1" applyFont="1" applyAlignment="1">
      <alignment horizontal="left"/>
    </xf>
    <xf numFmtId="166" fontId="71" fillId="0" borderId="0" xfId="2" quotePrefix="1" applyNumberFormat="1" applyFont="1" applyAlignment="1">
      <alignment horizontal="left"/>
    </xf>
    <xf numFmtId="0" fontId="72" fillId="0" borderId="0" xfId="2" applyNumberFormat="1" applyFont="1" applyAlignment="1"/>
    <xf numFmtId="37" fontId="65" fillId="0" borderId="0" xfId="2" applyNumberFormat="1" applyFont="1" applyBorder="1"/>
    <xf numFmtId="37" fontId="65" fillId="0" borderId="0" xfId="2" applyNumberFormat="1" applyFont="1"/>
    <xf numFmtId="0" fontId="73" fillId="0" borderId="0" xfId="2" applyNumberFormat="1" applyFont="1" applyFill="1" applyAlignment="1"/>
    <xf numFmtId="37" fontId="65" fillId="0" borderId="0" xfId="2" applyNumberFormat="1" applyFont="1" applyFill="1" applyBorder="1"/>
    <xf numFmtId="37" fontId="65" fillId="0" borderId="0" xfId="2" applyNumberFormat="1" applyFont="1" applyAlignment="1"/>
    <xf numFmtId="0" fontId="66" fillId="0" borderId="0" xfId="2" applyNumberFormat="1" applyFont="1" applyFill="1" applyAlignment="1">
      <alignment horizontal="left"/>
    </xf>
    <xf numFmtId="37" fontId="66" fillId="0" borderId="0" xfId="2" applyNumberFormat="1" applyFont="1" applyBorder="1" applyAlignment="1">
      <alignment horizontal="right"/>
    </xf>
    <xf numFmtId="0" fontId="61" fillId="0" borderId="0" xfId="2" applyNumberFormat="1" applyFont="1" applyFill="1" applyAlignment="1"/>
    <xf numFmtId="37" fontId="44" fillId="0" borderId="0" xfId="2" applyNumberFormat="1" applyFont="1" applyBorder="1" applyAlignment="1">
      <alignment horizontal="centerContinuous"/>
    </xf>
    <xf numFmtId="37" fontId="44" fillId="0" borderId="0" xfId="2" applyNumberFormat="1" applyFont="1" applyBorder="1" applyAlignment="1">
      <alignment horizontal="left"/>
    </xf>
    <xf numFmtId="0" fontId="44" fillId="0" borderId="0" xfId="2" applyFont="1" applyFill="1" applyBorder="1" applyAlignment="1">
      <alignment horizontal="center"/>
    </xf>
    <xf numFmtId="0" fontId="74" fillId="0" borderId="0" xfId="2" applyFont="1" applyFill="1" applyBorder="1" applyAlignment="1">
      <alignment horizontal="center"/>
    </xf>
    <xf numFmtId="37" fontId="44" fillId="0" borderId="0" xfId="2" applyNumberFormat="1" applyFont="1" applyFill="1" applyAlignment="1"/>
    <xf numFmtId="37" fontId="44" fillId="0" borderId="0" xfId="2" applyNumberFormat="1" applyFont="1" applyFill="1" applyAlignment="1">
      <alignment horizontal="center"/>
    </xf>
    <xf numFmtId="37" fontId="44" fillId="0" borderId="0" xfId="2" quotePrefix="1" applyNumberFormat="1" applyFont="1" applyBorder="1" applyAlignment="1">
      <alignment horizontal="center"/>
    </xf>
    <xf numFmtId="37" fontId="44" fillId="0" borderId="0" xfId="2" applyNumberFormat="1" applyFont="1" applyBorder="1" applyAlignment="1">
      <alignment horizontal="center"/>
    </xf>
    <xf numFmtId="37" fontId="70" fillId="0" borderId="0" xfId="2" quotePrefix="1" applyNumberFormat="1" applyFont="1" applyBorder="1" applyAlignment="1">
      <alignment horizontal="centerContinuous"/>
    </xf>
    <xf numFmtId="37" fontId="63" fillId="0" borderId="0" xfId="2" applyNumberFormat="1" applyFont="1" applyBorder="1" applyAlignment="1"/>
    <xf numFmtId="0" fontId="49" fillId="0" borderId="0" xfId="2" applyFont="1"/>
    <xf numFmtId="37" fontId="44" fillId="0" borderId="0" xfId="2" applyNumberFormat="1" applyFont="1" applyFill="1" applyBorder="1" applyAlignment="1">
      <alignment horizontal="centerContinuous"/>
    </xf>
    <xf numFmtId="0" fontId="44" fillId="0" borderId="0" xfId="2" applyFont="1" applyBorder="1" applyAlignment="1">
      <alignment horizontal="center"/>
    </xf>
    <xf numFmtId="166" fontId="44" fillId="0" borderId="0" xfId="2" applyNumberFormat="1" applyFont="1" applyAlignment="1"/>
    <xf numFmtId="165" fontId="65" fillId="0" borderId="0" xfId="2" applyNumberFormat="1" applyFont="1" applyAlignment="1"/>
    <xf numFmtId="165" fontId="44" fillId="0" borderId="0" xfId="2" applyNumberFormat="1" applyFont="1" applyAlignment="1"/>
    <xf numFmtId="165" fontId="44" fillId="0" borderId="0" xfId="2" applyNumberFormat="1" applyFont="1" applyBorder="1" applyAlignment="1"/>
    <xf numFmtId="165" fontId="39" fillId="0" borderId="0" xfId="2" applyNumberFormat="1" applyFont="1" applyAlignment="1">
      <alignment horizontal="center"/>
    </xf>
    <xf numFmtId="165" fontId="39" fillId="0" borderId="21" xfId="2" applyNumberFormat="1" applyFont="1" applyBorder="1" applyAlignment="1"/>
    <xf numFmtId="166" fontId="63" fillId="0" borderId="0" xfId="2" applyNumberFormat="1" applyFont="1" applyBorder="1" applyAlignment="1"/>
    <xf numFmtId="166" fontId="63" fillId="0" borderId="0" xfId="2" applyNumberFormat="1" applyFont="1" applyAlignment="1"/>
    <xf numFmtId="170" fontId="44" fillId="0" borderId="20" xfId="2" applyNumberFormat="1" applyFont="1" applyBorder="1" applyAlignment="1"/>
    <xf numFmtId="170" fontId="44" fillId="0" borderId="13" xfId="2" applyNumberFormat="1" applyFont="1" applyBorder="1" applyAlignment="1"/>
    <xf numFmtId="165" fontId="75" fillId="0" borderId="0" xfId="2" applyNumberFormat="1" applyFont="1" applyAlignment="1"/>
    <xf numFmtId="174" fontId="44" fillId="0" borderId="13" xfId="2" applyNumberFormat="1" applyFont="1" applyBorder="1" applyAlignment="1"/>
    <xf numFmtId="174" fontId="44" fillId="0" borderId="0" xfId="2" applyNumberFormat="1" applyFont="1" applyBorder="1" applyAlignment="1"/>
    <xf numFmtId="165" fontId="39" fillId="0" borderId="0" xfId="2" quotePrefix="1" applyNumberFormat="1" applyFont="1" applyAlignment="1">
      <alignment horizontal="left"/>
    </xf>
    <xf numFmtId="166" fontId="76" fillId="0" borderId="0" xfId="2" applyNumberFormat="1" applyFont="1" applyAlignment="1"/>
    <xf numFmtId="166" fontId="77" fillId="0" borderId="0" xfId="2" applyNumberFormat="1" applyFont="1" applyAlignment="1"/>
    <xf numFmtId="166" fontId="78" fillId="0" borderId="0" xfId="2" applyNumberFormat="1" applyFont="1" applyAlignment="1"/>
    <xf numFmtId="166" fontId="77" fillId="0" borderId="0" xfId="2" quotePrefix="1" applyNumberFormat="1" applyFont="1" applyAlignment="1">
      <alignment horizontal="left"/>
    </xf>
    <xf numFmtId="166" fontId="59" fillId="0" borderId="0" xfId="2" applyNumberFormat="1" applyFont="1" applyAlignment="1"/>
    <xf numFmtId="166" fontId="76" fillId="0" borderId="20" xfId="2" applyNumberFormat="1" applyFont="1" applyBorder="1" applyAlignment="1"/>
    <xf numFmtId="166" fontId="79" fillId="0" borderId="0" xfId="2" quotePrefix="1" applyNumberFormat="1" applyFont="1" applyAlignment="1">
      <alignment horizontal="left"/>
    </xf>
    <xf numFmtId="174" fontId="79" fillId="0" borderId="0" xfId="2" applyNumberFormat="1" applyFont="1" applyAlignment="1"/>
    <xf numFmtId="174" fontId="79" fillId="0" borderId="21" xfId="2" applyNumberFormat="1" applyFont="1" applyBorder="1" applyAlignment="1"/>
    <xf numFmtId="166" fontId="79" fillId="0" borderId="0" xfId="2" applyNumberFormat="1" applyFont="1" applyAlignment="1"/>
    <xf numFmtId="166" fontId="76" fillId="0" borderId="0" xfId="2" applyNumberFormat="1" applyFont="1" applyAlignment="1">
      <alignment horizontal="right"/>
    </xf>
    <xf numFmtId="166" fontId="76" fillId="0" borderId="21" xfId="2" applyNumberFormat="1" applyFont="1" applyBorder="1" applyAlignment="1"/>
    <xf numFmtId="170" fontId="76" fillId="0" borderId="0" xfId="2" applyNumberFormat="1" applyFont="1" applyAlignment="1"/>
    <xf numFmtId="170" fontId="76" fillId="0" borderId="21" xfId="2" applyNumberFormat="1" applyFont="1" applyBorder="1" applyAlignment="1"/>
    <xf numFmtId="170" fontId="79" fillId="0" borderId="0" xfId="2" applyNumberFormat="1" applyFont="1" applyAlignment="1"/>
    <xf numFmtId="170" fontId="79" fillId="0" borderId="21" xfId="2" applyNumberFormat="1" applyFont="1" applyBorder="1" applyAlignment="1"/>
    <xf numFmtId="170" fontId="61" fillId="0" borderId="0" xfId="2" applyNumberFormat="1" applyFont="1" applyAlignment="1"/>
    <xf numFmtId="170" fontId="61" fillId="0" borderId="0" xfId="2" quotePrefix="1" applyNumberFormat="1" applyFont="1" applyAlignment="1">
      <alignment horizontal="center"/>
    </xf>
    <xf numFmtId="166" fontId="78" fillId="0" borderId="0" xfId="2" applyNumberFormat="1" applyFont="1" applyBorder="1" applyAlignment="1"/>
    <xf numFmtId="170" fontId="76" fillId="0" borderId="0" xfId="2" applyNumberFormat="1" applyFont="1" applyBorder="1" applyAlignment="1">
      <alignment horizontal="right"/>
    </xf>
    <xf numFmtId="170" fontId="61" fillId="0" borderId="0" xfId="2" applyNumberFormat="1" applyFont="1" applyBorder="1" applyAlignment="1"/>
    <xf numFmtId="170" fontId="76" fillId="0" borderId="0" xfId="2" applyNumberFormat="1" applyFont="1" applyAlignment="1">
      <alignment horizontal="right"/>
    </xf>
    <xf numFmtId="170" fontId="79" fillId="0" borderId="0" xfId="2" applyNumberFormat="1" applyFont="1" applyAlignment="1">
      <alignment horizontal="right"/>
    </xf>
    <xf numFmtId="166" fontId="61" fillId="0" borderId="0" xfId="2" quotePrefix="1" applyNumberFormat="1" applyFont="1" applyAlignment="1">
      <alignment horizontal="left"/>
    </xf>
    <xf numFmtId="165" fontId="61" fillId="0" borderId="0" xfId="2" applyNumberFormat="1" applyFont="1" applyAlignment="1"/>
    <xf numFmtId="165" fontId="42" fillId="0" borderId="0" xfId="2" applyNumberFormat="1" applyFont="1"/>
    <xf numFmtId="165" fontId="42" fillId="0" borderId="0" xfId="2" applyNumberFormat="1" applyFont="1" applyAlignment="1"/>
    <xf numFmtId="165" fontId="66" fillId="0" borderId="0" xfId="2" applyNumberFormat="1" applyFont="1" applyAlignment="1"/>
    <xf numFmtId="0" fontId="66" fillId="0" borderId="0" xfId="2" applyNumberFormat="1" applyFont="1" applyAlignment="1"/>
    <xf numFmtId="164" fontId="66" fillId="0" borderId="0" xfId="2" applyNumberFormat="1" applyFont="1" applyAlignment="1">
      <alignment horizontal="right"/>
    </xf>
    <xf numFmtId="174" fontId="64" fillId="0" borderId="0" xfId="2" applyNumberFormat="1" applyFont="1" applyAlignment="1"/>
    <xf numFmtId="166" fontId="39" fillId="0" borderId="21" xfId="2" applyNumberFormat="1" applyFont="1" applyBorder="1" applyAlignment="1"/>
    <xf numFmtId="166" fontId="44" fillId="0" borderId="13" xfId="2" applyNumberFormat="1" applyFont="1" applyBorder="1" applyAlignment="1"/>
    <xf numFmtId="0" fontId="44" fillId="0" borderId="0" xfId="2" applyNumberFormat="1" applyFont="1" applyBorder="1" applyAlignment="1"/>
    <xf numFmtId="166" fontId="44" fillId="0" borderId="0" xfId="2" applyNumberFormat="1" applyFont="1" applyFill="1" applyAlignment="1"/>
    <xf numFmtId="3" fontId="39" fillId="0" borderId="0" xfId="2" applyNumberFormat="1" applyFont="1" applyAlignment="1">
      <alignment vertical="center"/>
    </xf>
    <xf numFmtId="3" fontId="39" fillId="0" borderId="0" xfId="2" applyNumberFormat="1" applyFont="1" applyAlignment="1">
      <alignment horizontal="left" vertical="center"/>
    </xf>
    <xf numFmtId="170" fontId="44" fillId="0" borderId="45" xfId="2" applyNumberFormat="1" applyFont="1" applyBorder="1" applyAlignment="1"/>
    <xf numFmtId="0" fontId="44" fillId="0" borderId="21" xfId="2" applyNumberFormat="1" applyFont="1" applyBorder="1" applyAlignment="1"/>
    <xf numFmtId="166" fontId="39" fillId="0" borderId="13" xfId="2" applyNumberFormat="1" applyFont="1" applyBorder="1" applyAlignment="1"/>
    <xf numFmtId="0" fontId="44" fillId="0" borderId="0" xfId="2" applyNumberFormat="1" applyFont="1" applyFill="1" applyAlignment="1">
      <alignment horizontal="left"/>
    </xf>
    <xf numFmtId="174" fontId="44" fillId="0" borderId="17" xfId="2" applyNumberFormat="1" applyFont="1" applyFill="1" applyBorder="1" applyAlignment="1"/>
    <xf numFmtId="169" fontId="44" fillId="0" borderId="0" xfId="2" applyNumberFormat="1" applyFont="1" applyFill="1" applyBorder="1" applyAlignment="1"/>
    <xf numFmtId="164" fontId="39" fillId="0" borderId="0" xfId="2" applyNumberFormat="1" applyFont="1" applyAlignment="1"/>
    <xf numFmtId="0" fontId="42" fillId="0" borderId="0" xfId="2" applyNumberFormat="1" applyFont="1" applyAlignment="1"/>
    <xf numFmtId="0" fontId="75" fillId="0" borderId="0" xfId="2" applyNumberFormat="1" applyFont="1" applyAlignment="1"/>
    <xf numFmtId="174" fontId="44" fillId="0" borderId="17" xfId="2" applyNumberFormat="1" applyFont="1" applyBorder="1" applyAlignment="1"/>
    <xf numFmtId="168" fontId="39" fillId="0" borderId="0" xfId="2" applyNumberFormat="1" applyFont="1" applyAlignment="1"/>
    <xf numFmtId="0" fontId="38" fillId="0" borderId="0" xfId="2" applyNumberFormat="1" applyFont="1" applyAlignment="1">
      <alignment horizontal="right"/>
    </xf>
    <xf numFmtId="165" fontId="39" fillId="0" borderId="20" xfId="2" applyNumberFormat="1" applyFont="1" applyBorder="1"/>
    <xf numFmtId="165" fontId="39" fillId="0" borderId="15" xfId="2" applyNumberFormat="1" applyFont="1" applyBorder="1" applyAlignment="1"/>
    <xf numFmtId="174" fontId="44" fillId="0" borderId="47" xfId="2" applyNumberFormat="1" applyFont="1" applyBorder="1" applyAlignment="1"/>
    <xf numFmtId="164" fontId="44" fillId="0" borderId="0" xfId="2" applyNumberFormat="1" applyFont="1" applyAlignment="1"/>
    <xf numFmtId="165" fontId="39" fillId="0" borderId="47" xfId="2" applyNumberFormat="1" applyFont="1" applyBorder="1" applyAlignment="1"/>
    <xf numFmtId="170" fontId="39" fillId="0" borderId="47" xfId="2" applyNumberFormat="1" applyFont="1" applyBorder="1" applyAlignment="1"/>
    <xf numFmtId="170" fontId="39" fillId="0" borderId="0" xfId="2" quotePrefix="1" applyNumberFormat="1" applyFont="1" applyAlignment="1">
      <alignment horizontal="right"/>
    </xf>
    <xf numFmtId="170" fontId="39" fillId="0" borderId="0" xfId="2" quotePrefix="1" applyNumberFormat="1" applyFont="1" applyAlignment="1"/>
    <xf numFmtId="170" fontId="63" fillId="0" borderId="0" xfId="2" applyNumberFormat="1" applyFont="1" applyFill="1" applyAlignment="1"/>
    <xf numFmtId="170" fontId="39" fillId="0" borderId="47" xfId="2" applyNumberFormat="1" applyFont="1" applyBorder="1" applyAlignment="1">
      <alignment horizontal="center"/>
    </xf>
    <xf numFmtId="165" fontId="39" fillId="0" borderId="0" xfId="2" applyNumberFormat="1" applyFont="1" applyAlignment="1">
      <alignment horizontal="left"/>
    </xf>
    <xf numFmtId="170" fontId="39" fillId="0" borderId="10" xfId="2" applyNumberFormat="1" applyFont="1" applyBorder="1" applyAlignment="1">
      <alignment horizontal="right"/>
    </xf>
    <xf numFmtId="170" fontId="44" fillId="0" borderId="47" xfId="2" applyNumberFormat="1" applyFont="1" applyBorder="1" applyAlignment="1"/>
    <xf numFmtId="170" fontId="44" fillId="0" borderId="10" xfId="2" applyNumberFormat="1" applyFont="1" applyBorder="1" applyAlignment="1">
      <alignment horizontal="right"/>
    </xf>
    <xf numFmtId="166" fontId="44" fillId="0" borderId="0" xfId="2" applyNumberFormat="1" applyFont="1" applyBorder="1" applyAlignment="1">
      <alignment horizontal="right"/>
    </xf>
    <xf numFmtId="164" fontId="44" fillId="0" borderId="16" xfId="2" applyNumberFormat="1" applyFont="1" applyBorder="1" applyAlignment="1"/>
    <xf numFmtId="164" fontId="44" fillId="0" borderId="17" xfId="2" applyNumberFormat="1" applyFont="1" applyBorder="1" applyAlignment="1"/>
    <xf numFmtId="168" fontId="39" fillId="0" borderId="0" xfId="2" applyNumberFormat="1" applyFont="1" applyBorder="1" applyAlignment="1"/>
    <xf numFmtId="0" fontId="0" fillId="0" borderId="0" xfId="2" applyFont="1" applyBorder="1" applyAlignment="1"/>
    <xf numFmtId="168" fontId="40" fillId="0" borderId="0" xfId="2" applyNumberFormat="1" applyFont="1" applyAlignment="1"/>
    <xf numFmtId="0" fontId="38" fillId="0" borderId="0" xfId="2" applyNumberFormat="1" applyFont="1" applyAlignment="1">
      <alignment horizontal="left"/>
    </xf>
    <xf numFmtId="165" fontId="39" fillId="0" borderId="18" xfId="2" applyNumberFormat="1" applyFont="1" applyBorder="1" applyAlignment="1"/>
    <xf numFmtId="165" fontId="39" fillId="0" borderId="0" xfId="2" applyNumberFormat="1" applyFont="1" applyAlignment="1">
      <alignment horizontal="right"/>
    </xf>
    <xf numFmtId="166" fontId="39" fillId="0" borderId="47" xfId="2" applyNumberFormat="1" applyFont="1" applyBorder="1" applyAlignment="1">
      <alignment horizontal="center"/>
    </xf>
    <xf numFmtId="170" fontId="44" fillId="0" borderId="40" xfId="2" applyNumberFormat="1" applyFont="1" applyBorder="1" applyAlignment="1"/>
    <xf numFmtId="168" fontId="42" fillId="0" borderId="0" xfId="2" applyNumberFormat="1" applyFont="1" applyAlignment="1"/>
    <xf numFmtId="0" fontId="84" fillId="0" borderId="0" xfId="2" applyNumberFormat="1" applyFont="1" applyAlignment="1"/>
    <xf numFmtId="166" fontId="63" fillId="0" borderId="0" xfId="2" applyNumberFormat="1" applyFont="1" applyFill="1" applyAlignment="1"/>
    <xf numFmtId="164" fontId="39" fillId="0" borderId="0" xfId="2" applyNumberFormat="1" applyFont="1" applyAlignment="1">
      <alignment horizontal="right"/>
    </xf>
    <xf numFmtId="164" fontId="44" fillId="0" borderId="10" xfId="2" applyNumberFormat="1" applyFont="1" applyBorder="1"/>
    <xf numFmtId="0" fontId="42" fillId="0" borderId="0" xfId="4" applyFont="1" applyFill="1"/>
    <xf numFmtId="0" fontId="66" fillId="0" borderId="0" xfId="4" applyFont="1" applyFill="1"/>
    <xf numFmtId="0" fontId="39" fillId="0" borderId="0" xfId="4" applyFont="1" applyFill="1"/>
    <xf numFmtId="166" fontId="39" fillId="0" borderId="0" xfId="4" applyNumberFormat="1" applyFont="1" applyFill="1"/>
    <xf numFmtId="0" fontId="39" fillId="0" borderId="0" xfId="4" applyNumberFormat="1" applyFont="1" applyFill="1" applyBorder="1" applyAlignment="1">
      <alignment horizontal="center"/>
    </xf>
    <xf numFmtId="0" fontId="39" fillId="0" borderId="0" xfId="4" applyFont="1" applyFill="1" applyBorder="1"/>
    <xf numFmtId="174" fontId="44" fillId="0" borderId="0" xfId="4" applyNumberFormat="1" applyFont="1" applyFill="1"/>
    <xf numFmtId="0" fontId="44" fillId="0" borderId="0" xfId="4" applyFont="1" applyFill="1" applyBorder="1"/>
    <xf numFmtId="166" fontId="39" fillId="0" borderId="15" xfId="4" applyNumberFormat="1" applyFont="1" applyFill="1" applyBorder="1"/>
    <xf numFmtId="166" fontId="39" fillId="0" borderId="0" xfId="4" applyNumberFormat="1" applyFont="1" applyFill="1" applyBorder="1"/>
    <xf numFmtId="0" fontId="44" fillId="0" borderId="0" xfId="4" applyFont="1" applyFill="1"/>
    <xf numFmtId="170" fontId="39" fillId="0" borderId="0" xfId="4" applyNumberFormat="1" applyFont="1" applyFill="1" applyBorder="1"/>
    <xf numFmtId="170" fontId="44" fillId="0" borderId="10" xfId="4" applyNumberFormat="1" applyFont="1" applyFill="1" applyBorder="1"/>
    <xf numFmtId="170" fontId="44" fillId="0" borderId="10" xfId="5" applyNumberFormat="1" applyFont="1" applyFill="1" applyBorder="1"/>
    <xf numFmtId="165" fontId="87" fillId="0" borderId="0" xfId="2" applyNumberFormat="1" applyFont="1" applyAlignment="1">
      <alignment horizontal="left"/>
    </xf>
    <xf numFmtId="165" fontId="88" fillId="0" borderId="0" xfId="2" applyNumberFormat="1" applyFont="1" applyAlignment="1"/>
    <xf numFmtId="165" fontId="89" fillId="0" borderId="0" xfId="2" applyNumberFormat="1" applyFont="1" applyAlignment="1"/>
    <xf numFmtId="165" fontId="90" fillId="0" borderId="0" xfId="2" applyNumberFormat="1" applyFont="1" applyAlignment="1">
      <alignment horizontal="centerContinuous"/>
    </xf>
    <xf numFmtId="165" fontId="87" fillId="0" borderId="0" xfId="2" applyNumberFormat="1" applyFont="1" applyAlignment="1"/>
    <xf numFmtId="0" fontId="80" fillId="0" borderId="0" xfId="2" applyNumberFormat="1" applyFont="1" applyAlignment="1"/>
    <xf numFmtId="0" fontId="66" fillId="0" borderId="0" xfId="2" applyNumberFormat="1" applyFont="1" applyAlignment="1">
      <alignment horizontal="left"/>
    </xf>
    <xf numFmtId="165" fontId="87" fillId="0" borderId="0" xfId="2" applyNumberFormat="1" applyFont="1" applyAlignment="1">
      <alignment horizontal="centerContinuous"/>
    </xf>
    <xf numFmtId="0" fontId="91" fillId="0" borderId="0" xfId="2" applyNumberFormat="1" applyFont="1" applyAlignment="1">
      <alignment horizontal="left"/>
    </xf>
    <xf numFmtId="165" fontId="92" fillId="0" borderId="0" xfId="2" applyNumberFormat="1" applyFont="1" applyAlignment="1"/>
    <xf numFmtId="166" fontId="44" fillId="0" borderId="15" xfId="2" applyNumberFormat="1" applyFont="1" applyBorder="1" applyAlignment="1"/>
    <xf numFmtId="0" fontId="0" fillId="0" borderId="0" xfId="2" applyFont="1" applyBorder="1"/>
    <xf numFmtId="174" fontId="44" fillId="0" borderId="0" xfId="2" quotePrefix="1" applyNumberFormat="1" applyFont="1" applyAlignment="1"/>
    <xf numFmtId="174" fontId="44" fillId="0" borderId="15" xfId="2" applyNumberFormat="1" applyFont="1" applyBorder="1" applyAlignment="1"/>
    <xf numFmtId="174" fontId="44" fillId="0" borderId="0" xfId="2" applyNumberFormat="1" applyFont="1" applyBorder="1"/>
    <xf numFmtId="164" fontId="44" fillId="0" borderId="0" xfId="2" applyNumberFormat="1" applyFont="1" applyBorder="1"/>
    <xf numFmtId="0" fontId="44" fillId="0" borderId="0" xfId="2" applyFont="1"/>
    <xf numFmtId="166" fontId="0" fillId="0" borderId="0" xfId="2" applyNumberFormat="1" applyFont="1" applyBorder="1" applyAlignment="1">
      <alignment horizontal="center"/>
    </xf>
    <xf numFmtId="164" fontId="0" fillId="0" borderId="0" xfId="2" applyNumberFormat="1" applyFont="1" applyBorder="1"/>
    <xf numFmtId="170" fontId="44" fillId="0" borderId="15" xfId="2" applyNumberFormat="1" applyFont="1" applyBorder="1" applyAlignment="1">
      <alignment horizontal="right"/>
    </xf>
    <xf numFmtId="166" fontId="0" fillId="0" borderId="0" xfId="2" applyNumberFormat="1" applyFont="1" applyBorder="1"/>
    <xf numFmtId="170" fontId="44" fillId="0" borderId="15" xfId="2" applyNumberFormat="1" applyFont="1" applyBorder="1" applyAlignment="1"/>
    <xf numFmtId="170" fontId="0" fillId="0" borderId="10" xfId="2" applyNumberFormat="1" applyFont="1" applyBorder="1"/>
    <xf numFmtId="164" fontId="0" fillId="0" borderId="10" xfId="2" applyNumberFormat="1" applyFont="1" applyBorder="1"/>
    <xf numFmtId="166" fontId="44" fillId="0" borderId="0" xfId="2" applyNumberFormat="1" applyFont="1"/>
    <xf numFmtId="172" fontId="0" fillId="0" borderId="0" xfId="2" applyNumberFormat="1" applyFont="1" applyBorder="1"/>
    <xf numFmtId="170" fontId="39" fillId="0" borderId="0" xfId="2" applyNumberFormat="1" applyFont="1" applyBorder="1"/>
    <xf numFmtId="0" fontId="44" fillId="0" borderId="0" xfId="2" applyFont="1" applyBorder="1"/>
    <xf numFmtId="170" fontId="44" fillId="0" borderId="15" xfId="2" applyNumberFormat="1" applyFont="1" applyBorder="1" applyAlignment="1">
      <alignment horizontal="center"/>
    </xf>
    <xf numFmtId="170" fontId="39" fillId="0" borderId="0" xfId="2" applyNumberFormat="1" applyFont="1" applyAlignment="1">
      <alignment horizontal="right" vertical="center"/>
    </xf>
    <xf numFmtId="170" fontId="39" fillId="0" borderId="21" xfId="2" applyNumberFormat="1" applyFont="1" applyBorder="1" applyAlignment="1">
      <alignment horizontal="right" vertical="center"/>
    </xf>
    <xf numFmtId="170" fontId="44" fillId="0" borderId="15" xfId="2" applyNumberFormat="1" applyFont="1" applyBorder="1"/>
    <xf numFmtId="170" fontId="44" fillId="0" borderId="0" xfId="2" applyNumberFormat="1" applyFont="1" applyBorder="1"/>
    <xf numFmtId="170" fontId="44" fillId="0" borderId="10" xfId="1" applyNumberFormat="1" applyFont="1" applyBorder="1" applyAlignment="1"/>
    <xf numFmtId="172" fontId="44" fillId="0" borderId="10" xfId="2" applyNumberFormat="1" applyFont="1" applyBorder="1"/>
    <xf numFmtId="7" fontId="44" fillId="0" borderId="0" xfId="2" applyNumberFormat="1" applyFont="1"/>
    <xf numFmtId="169" fontId="39" fillId="0" borderId="21" xfId="2" applyNumberFormat="1" applyFont="1" applyBorder="1" applyAlignment="1"/>
    <xf numFmtId="166" fontId="82" fillId="0" borderId="0" xfId="2" applyNumberFormat="1" applyFont="1" applyAlignment="1">
      <alignment horizontal="left"/>
    </xf>
    <xf numFmtId="0" fontId="82" fillId="0" borderId="0" xfId="2" applyFont="1" applyAlignment="1"/>
    <xf numFmtId="0" fontId="82" fillId="0" borderId="0" xfId="2" applyFont="1"/>
    <xf numFmtId="166" fontId="82" fillId="0" borderId="0" xfId="2" quotePrefix="1" applyNumberFormat="1" applyFont="1" applyAlignment="1">
      <alignment horizontal="left"/>
    </xf>
    <xf numFmtId="170" fontId="0" fillId="0" borderId="0" xfId="2" applyNumberFormat="1" applyFont="1"/>
    <xf numFmtId="166" fontId="39" fillId="0" borderId="0" xfId="2" quotePrefix="1" applyNumberFormat="1" applyFont="1" applyAlignment="1">
      <alignment horizontal="left"/>
    </xf>
    <xf numFmtId="170" fontId="39" fillId="0" borderId="0" xfId="2" quotePrefix="1" applyNumberFormat="1" applyFont="1" applyFill="1" applyAlignment="1">
      <alignment horizontal="center"/>
    </xf>
    <xf numFmtId="170" fontId="0" fillId="0" borderId="0" xfId="2" applyNumberFormat="1" applyFont="1" applyFill="1" applyBorder="1"/>
    <xf numFmtId="174" fontId="79" fillId="0" borderId="0" xfId="2" applyNumberFormat="1" applyFont="1" applyAlignment="1">
      <alignment horizontal="right"/>
    </xf>
    <xf numFmtId="166" fontId="75" fillId="0" borderId="0" xfId="2" applyNumberFormat="1" applyFont="1" applyAlignment="1"/>
    <xf numFmtId="170" fontId="59" fillId="0" borderId="0" xfId="2" applyNumberFormat="1" applyFont="1" applyAlignment="1">
      <alignment horizontal="right"/>
    </xf>
    <xf numFmtId="170" fontId="76" fillId="0" borderId="20" xfId="2" applyNumberFormat="1" applyFont="1" applyBorder="1" applyAlignment="1"/>
    <xf numFmtId="170" fontId="76" fillId="0" borderId="20" xfId="2" applyNumberFormat="1" applyFont="1" applyBorder="1" applyAlignment="1">
      <alignment horizontal="right"/>
    </xf>
    <xf numFmtId="170" fontId="79" fillId="0" borderId="0" xfId="2" applyNumberFormat="1" applyFont="1" applyBorder="1" applyAlignment="1">
      <alignment horizontal="right"/>
    </xf>
    <xf numFmtId="170" fontId="79" fillId="0" borderId="0" xfId="2" applyNumberFormat="1" applyFont="1" applyAlignment="1">
      <alignment horizontal="center"/>
    </xf>
    <xf numFmtId="170" fontId="65" fillId="0" borderId="0" xfId="2" applyNumberFormat="1" applyFont="1" applyAlignment="1">
      <alignment horizontal="right"/>
    </xf>
    <xf numFmtId="166" fontId="79" fillId="0" borderId="20" xfId="2" applyNumberFormat="1" applyFont="1" applyBorder="1" applyAlignment="1"/>
    <xf numFmtId="166" fontId="79" fillId="0" borderId="20" xfId="2" applyNumberFormat="1" applyFont="1" applyBorder="1" applyAlignment="1">
      <alignment horizontal="right"/>
    </xf>
    <xf numFmtId="166" fontId="79" fillId="0" borderId="0" xfId="2" applyNumberFormat="1" applyFont="1" applyAlignment="1">
      <alignment horizontal="right"/>
    </xf>
    <xf numFmtId="166" fontId="75" fillId="0" borderId="0" xfId="2" applyNumberFormat="1" applyFont="1" applyAlignment="1">
      <alignment horizontal="right"/>
    </xf>
    <xf numFmtId="166" fontId="79" fillId="0" borderId="21" xfId="2" applyNumberFormat="1" applyFont="1" applyBorder="1" applyAlignment="1"/>
    <xf numFmtId="174" fontId="79" fillId="0" borderId="0" xfId="2" applyNumberFormat="1" applyFont="1" applyBorder="1" applyAlignment="1">
      <alignment horizontal="right"/>
    </xf>
    <xf numFmtId="166" fontId="78" fillId="0" borderId="36" xfId="2" applyNumberFormat="1" applyFont="1" applyBorder="1" applyAlignment="1"/>
    <xf numFmtId="165" fontId="78" fillId="0" borderId="0" xfId="2" applyNumberFormat="1" applyFont="1" applyAlignment="1"/>
    <xf numFmtId="165" fontId="93" fillId="0" borderId="0" xfId="2" applyNumberFormat="1" applyFont="1" applyAlignment="1"/>
    <xf numFmtId="165" fontId="61" fillId="0" borderId="20" xfId="2" applyNumberFormat="1" applyFont="1" applyBorder="1" applyAlignment="1"/>
    <xf numFmtId="174" fontId="66" fillId="0" borderId="0" xfId="2" applyNumberFormat="1" applyFont="1" applyAlignment="1"/>
    <xf numFmtId="174" fontId="66" fillId="0" borderId="0" xfId="2" applyNumberFormat="1" applyFont="1" applyBorder="1" applyAlignment="1"/>
    <xf numFmtId="0" fontId="61" fillId="0" borderId="0" xfId="2" applyFont="1" applyAlignment="1"/>
    <xf numFmtId="0" fontId="61" fillId="0" borderId="0" xfId="2" applyFont="1" applyBorder="1" applyAlignment="1"/>
    <xf numFmtId="170" fontId="61" fillId="0" borderId="20" xfId="2" applyNumberFormat="1" applyFont="1" applyBorder="1" applyAlignment="1"/>
    <xf numFmtId="170" fontId="66" fillId="0" borderId="0" xfId="2" applyNumberFormat="1" applyFont="1" applyAlignment="1"/>
    <xf numFmtId="170" fontId="66" fillId="0" borderId="0" xfId="2" applyNumberFormat="1" applyFont="1" applyBorder="1" applyAlignment="1"/>
    <xf numFmtId="170" fontId="66" fillId="0" borderId="0" xfId="2" applyNumberFormat="1" applyFont="1" applyAlignment="1">
      <alignment horizontal="right"/>
    </xf>
    <xf numFmtId="0" fontId="61" fillId="0" borderId="20" xfId="2" applyFont="1" applyBorder="1" applyAlignment="1"/>
    <xf numFmtId="174" fontId="66" fillId="0" borderId="17" xfId="2" applyNumberFormat="1" applyFont="1" applyBorder="1" applyAlignment="1"/>
    <xf numFmtId="0" fontId="61" fillId="0" borderId="36" xfId="2" applyFont="1" applyBorder="1" applyAlignment="1"/>
    <xf numFmtId="165" fontId="61" fillId="0" borderId="0" xfId="2" quotePrefix="1" applyNumberFormat="1" applyFont="1" applyAlignment="1"/>
    <xf numFmtId="0" fontId="94" fillId="0" borderId="0" xfId="2" applyNumberFormat="1" applyFont="1" applyAlignment="1"/>
    <xf numFmtId="0" fontId="66" fillId="0" borderId="0" xfId="2" applyNumberFormat="1" applyFont="1" applyAlignment="1">
      <alignment horizontal="right"/>
    </xf>
    <xf numFmtId="0" fontId="95" fillId="0" borderId="0" xfId="2" applyNumberFormat="1" applyFont="1" applyAlignment="1"/>
    <xf numFmtId="170" fontId="44" fillId="0" borderId="0" xfId="2" applyNumberFormat="1" applyFont="1" applyBorder="1" applyAlignment="1">
      <alignment horizontal="right"/>
    </xf>
    <xf numFmtId="0" fontId="96" fillId="0" borderId="0" xfId="2" applyNumberFormat="1" applyFont="1" applyAlignment="1"/>
    <xf numFmtId="0" fontId="95" fillId="0" borderId="0" xfId="2" applyNumberFormat="1" applyFont="1" applyAlignment="1">
      <alignment horizontal="left"/>
    </xf>
    <xf numFmtId="0" fontId="95" fillId="0" borderId="0" xfId="2" applyNumberFormat="1" applyFont="1" applyBorder="1" applyAlignment="1"/>
    <xf numFmtId="0" fontId="94" fillId="0" borderId="0" xfId="2" applyNumberFormat="1" applyFont="1" applyBorder="1" applyAlignment="1"/>
    <xf numFmtId="182" fontId="42" fillId="0" borderId="0" xfId="11" applyNumberFormat="1" applyFont="1" applyFill="1" applyBorder="1"/>
    <xf numFmtId="182" fontId="43" fillId="0" borderId="0" xfId="11" applyNumberFormat="1" applyFont="1" applyFill="1" applyBorder="1"/>
    <xf numFmtId="0" fontId="0" fillId="0" borderId="0" xfId="17" applyNumberFormat="1" applyFont="1"/>
    <xf numFmtId="0" fontId="44" fillId="0" borderId="0" xfId="17" applyNumberFormat="1" applyFont="1" applyAlignment="1" applyProtection="1">
      <alignment horizontal="center"/>
      <protection locked="0"/>
    </xf>
    <xf numFmtId="0" fontId="44" fillId="0" borderId="0" xfId="17" applyNumberFormat="1" applyFont="1" applyAlignment="1">
      <alignment horizontal="center"/>
    </xf>
    <xf numFmtId="49" fontId="44" fillId="0" borderId="0" xfId="17" applyNumberFormat="1" applyFont="1" applyAlignment="1">
      <alignment horizontal="center"/>
    </xf>
    <xf numFmtId="0" fontId="70" fillId="0" borderId="0" xfId="17" applyNumberFormat="1" applyFont="1" applyAlignment="1"/>
    <xf numFmtId="174" fontId="44" fillId="0" borderId="0" xfId="17" applyNumberFormat="1" applyFont="1" applyBorder="1" applyAlignment="1"/>
    <xf numFmtId="0" fontId="0" fillId="0" borderId="0" xfId="17" applyNumberFormat="1" applyFont="1" applyFill="1"/>
    <xf numFmtId="190" fontId="108" fillId="0" borderId="0" xfId="11" applyNumberFormat="1" applyFont="1" applyAlignment="1">
      <alignment horizontal="right"/>
    </xf>
    <xf numFmtId="190" fontId="65" fillId="0" borderId="0" xfId="11" applyNumberFormat="1" applyFont="1" applyAlignment="1"/>
    <xf numFmtId="43" fontId="75" fillId="0" borderId="0" xfId="11" applyFont="1" applyAlignment="1"/>
    <xf numFmtId="190" fontId="42" fillId="0" borderId="0" xfId="11" applyNumberFormat="1" applyFont="1" applyAlignment="1"/>
    <xf numFmtId="0" fontId="38" fillId="0" borderId="0" xfId="739" quotePrefix="1" applyNumberFormat="1" applyFont="1" applyAlignment="1">
      <alignment horizontal="left"/>
    </xf>
    <xf numFmtId="0" fontId="44" fillId="0" borderId="0" xfId="739" applyNumberFormat="1" applyFont="1" applyAlignment="1"/>
    <xf numFmtId="0" fontId="95" fillId="0" borderId="0" xfId="739" applyNumberFormat="1" applyFont="1" applyAlignment="1"/>
    <xf numFmtId="0" fontId="94" fillId="0" borderId="0" xfId="739" applyNumberFormat="1" applyFont="1" applyAlignment="1"/>
    <xf numFmtId="0" fontId="95" fillId="0" borderId="0" xfId="739" applyNumberFormat="1" applyFont="1" applyBorder="1" applyAlignment="1"/>
    <xf numFmtId="37" fontId="94" fillId="0" borderId="0" xfId="739" applyNumberFormat="1" applyFont="1" applyBorder="1" applyAlignment="1"/>
    <xf numFmtId="0" fontId="96" fillId="0" borderId="0" xfId="739" applyNumberFormat="1" applyFont="1" applyAlignment="1"/>
    <xf numFmtId="37" fontId="94" fillId="0" borderId="0" xfId="739" applyNumberFormat="1" applyFont="1" applyAlignment="1"/>
    <xf numFmtId="37" fontId="95" fillId="0" borderId="42" xfId="739" quotePrefix="1" applyNumberFormat="1" applyFont="1" applyBorder="1" applyAlignment="1">
      <alignment horizontal="center"/>
    </xf>
    <xf numFmtId="37" fontId="132" fillId="0" borderId="0" xfId="2" applyNumberFormat="1" applyFont="1"/>
    <xf numFmtId="37" fontId="132" fillId="0" borderId="0" xfId="2" applyNumberFormat="1" applyFont="1" applyFill="1"/>
    <xf numFmtId="37" fontId="133" fillId="0" borderId="0" xfId="2" applyNumberFormat="1" applyFont="1" applyFill="1" applyAlignment="1"/>
    <xf numFmtId="37" fontId="133" fillId="0" borderId="0" xfId="2" applyNumberFormat="1" applyFont="1" applyAlignment="1"/>
    <xf numFmtId="0" fontId="131" fillId="0" borderId="0" xfId="2" applyFont="1" applyFill="1" applyBorder="1" applyAlignment="1">
      <alignment horizontal="center"/>
    </xf>
    <xf numFmtId="37" fontId="131" fillId="0" borderId="0" xfId="2" applyNumberFormat="1" applyFont="1" applyFill="1" applyAlignment="1"/>
    <xf numFmtId="37" fontId="130" fillId="0" borderId="0" xfId="2" applyNumberFormat="1" applyFont="1" applyBorder="1"/>
    <xf numFmtId="37" fontId="130" fillId="0" borderId="0" xfId="2" applyNumberFormat="1" applyFont="1" applyFill="1" applyBorder="1"/>
    <xf numFmtId="37" fontId="131" fillId="0" borderId="0" xfId="2" applyNumberFormat="1" applyFont="1" applyAlignment="1"/>
    <xf numFmtId="166" fontId="64" fillId="0" borderId="0" xfId="2" applyNumberFormat="1" applyFont="1" applyAlignment="1"/>
    <xf numFmtId="177" fontId="44" fillId="0" borderId="0" xfId="740" quotePrefix="1" applyNumberFormat="1" applyFont="1" applyFill="1" applyAlignment="1">
      <alignment horizontal="left"/>
    </xf>
    <xf numFmtId="177" fontId="44" fillId="0" borderId="16" xfId="740" applyNumberFormat="1" applyFont="1" applyFill="1" applyBorder="1" applyAlignment="1">
      <alignment horizontal="right"/>
    </xf>
    <xf numFmtId="177" fontId="44" fillId="0" borderId="0" xfId="740" applyNumberFormat="1" applyFont="1" applyFill="1" applyAlignment="1">
      <alignment horizontal="center"/>
    </xf>
    <xf numFmtId="177" fontId="70" fillId="0" borderId="0" xfId="740" applyNumberFormat="1" applyFont="1" applyFill="1" applyAlignment="1"/>
    <xf numFmtId="177" fontId="99" fillId="0" borderId="0" xfId="740" applyNumberFormat="1" applyFont="1" applyFill="1" applyAlignment="1"/>
    <xf numFmtId="165" fontId="99" fillId="0" borderId="0" xfId="740" applyNumberFormat="1" applyFont="1" applyFill="1" applyAlignment="1"/>
    <xf numFmtId="177" fontId="44" fillId="0" borderId="0" xfId="740" applyNumberFormat="1" applyFont="1" applyFill="1" applyAlignment="1"/>
    <xf numFmtId="177" fontId="44" fillId="0" borderId="16" xfId="740" applyNumberFormat="1" applyFont="1" applyFill="1" applyBorder="1" applyAlignment="1"/>
    <xf numFmtId="177" fontId="44" fillId="0" borderId="0" xfId="740" applyNumberFormat="1" applyFont="1" applyFill="1" applyBorder="1" applyAlignment="1"/>
    <xf numFmtId="177" fontId="44" fillId="0" borderId="0" xfId="740" applyNumberFormat="1" applyFont="1" applyFill="1" applyAlignment="1">
      <alignment horizontal="right"/>
    </xf>
    <xf numFmtId="180" fontId="44" fillId="0" borderId="17" xfId="740" applyNumberFormat="1" applyFont="1" applyFill="1" applyBorder="1" applyAlignment="1"/>
    <xf numFmtId="181" fontId="44" fillId="0" borderId="0" xfId="740" applyNumberFormat="1" applyFont="1" applyFill="1" applyAlignment="1">
      <alignment horizontal="right"/>
    </xf>
    <xf numFmtId="183" fontId="44" fillId="0" borderId="0" xfId="740" applyNumberFormat="1" applyFont="1" applyFill="1" applyBorder="1" applyAlignment="1"/>
    <xf numFmtId="0" fontId="61" fillId="0" borderId="0" xfId="836" applyNumberFormat="1" applyFont="1" applyFill="1" applyAlignment="1"/>
    <xf numFmtId="0" fontId="61" fillId="0" borderId="0" xfId="836" applyNumberFormat="1" applyFont="1" applyFill="1" applyAlignment="1">
      <alignment horizontal="right"/>
    </xf>
    <xf numFmtId="0" fontId="61" fillId="0" borderId="0" xfId="836" applyFont="1" applyFill="1"/>
    <xf numFmtId="177" fontId="61" fillId="0" borderId="0" xfId="836" applyNumberFormat="1" applyFont="1" applyFill="1" applyAlignment="1"/>
    <xf numFmtId="177" fontId="61" fillId="0" borderId="0" xfId="836" applyNumberFormat="1" applyFont="1" applyFill="1" applyBorder="1" applyAlignment="1"/>
    <xf numFmtId="173" fontId="65" fillId="0" borderId="0" xfId="836" applyNumberFormat="1" applyFont="1" applyFill="1" applyAlignment="1"/>
    <xf numFmtId="0" fontId="66" fillId="0" borderId="0" xfId="836" applyNumberFormat="1" applyFont="1" applyFill="1" applyAlignment="1"/>
    <xf numFmtId="0" fontId="44" fillId="0" borderId="0" xfId="836" applyNumberFormat="1" applyFont="1" applyFill="1" applyAlignment="1"/>
    <xf numFmtId="173" fontId="39" fillId="0" borderId="0" xfId="836" applyNumberFormat="1" applyFont="1" applyFill="1" applyAlignment="1"/>
    <xf numFmtId="0" fontId="66" fillId="0" borderId="0" xfId="836" applyNumberFormat="1" applyFont="1" applyFill="1" applyAlignment="1">
      <alignment horizontal="right"/>
    </xf>
    <xf numFmtId="173" fontId="61" fillId="0" borderId="0" xfId="836" applyNumberFormat="1" applyFont="1" applyFill="1" applyAlignment="1"/>
    <xf numFmtId="0" fontId="44" fillId="0" borderId="0" xfId="836" applyNumberFormat="1" applyFont="1" applyFill="1" applyAlignment="1">
      <alignment horizontal="right"/>
    </xf>
    <xf numFmtId="0" fontId="66" fillId="0" borderId="0" xfId="836" quotePrefix="1" applyNumberFormat="1" applyFont="1" applyFill="1" applyAlignment="1">
      <alignment horizontal="left"/>
    </xf>
    <xf numFmtId="0" fontId="102" fillId="0" borderId="0" xfId="836" applyNumberFormat="1" applyFont="1" applyFill="1" applyAlignment="1"/>
    <xf numFmtId="181" fontId="39" fillId="0" borderId="0" xfId="836" applyNumberFormat="1" applyFont="1" applyFill="1" applyBorder="1" applyAlignment="1"/>
    <xf numFmtId="173" fontId="61" fillId="0" borderId="0" xfId="836" applyNumberFormat="1" applyFont="1" applyFill="1" applyBorder="1" applyAlignment="1"/>
    <xf numFmtId="165" fontId="61" fillId="0" borderId="0" xfId="836" applyNumberFormat="1" applyFont="1" applyFill="1" applyBorder="1" applyAlignment="1"/>
    <xf numFmtId="181" fontId="39" fillId="0" borderId="0" xfId="836" applyNumberFormat="1" applyFont="1" applyFill="1" applyAlignment="1"/>
    <xf numFmtId="181" fontId="44" fillId="0" borderId="0" xfId="836" applyNumberFormat="1" applyFont="1" applyFill="1" applyAlignment="1"/>
    <xf numFmtId="0" fontId="102" fillId="0" borderId="0" xfId="836" applyNumberFormat="1" applyFont="1" applyFill="1" applyBorder="1" applyAlignment="1"/>
    <xf numFmtId="173" fontId="44" fillId="0" borderId="0" xfId="836" applyNumberFormat="1" applyFont="1" applyFill="1" applyAlignment="1"/>
    <xf numFmtId="173" fontId="66" fillId="0" borderId="0" xfId="836" applyNumberFormat="1" applyFont="1" applyFill="1" applyAlignment="1"/>
    <xf numFmtId="181" fontId="39" fillId="0" borderId="0" xfId="836" quotePrefix="1" applyNumberFormat="1" applyFont="1" applyFill="1" applyAlignment="1">
      <alignment horizontal="left"/>
    </xf>
    <xf numFmtId="165" fontId="61" fillId="0" borderId="0" xfId="836" applyNumberFormat="1" applyFont="1" applyFill="1" applyAlignment="1"/>
    <xf numFmtId="173" fontId="66" fillId="0" borderId="0" xfId="836" applyNumberFormat="1" applyFont="1" applyFill="1" applyAlignment="1">
      <alignment horizontal="centerContinuous"/>
    </xf>
    <xf numFmtId="173" fontId="66" fillId="0" borderId="0" xfId="836" applyNumberFormat="1" applyFont="1" applyFill="1" applyAlignment="1">
      <alignment horizontal="center"/>
    </xf>
    <xf numFmtId="0" fontId="102" fillId="0" borderId="0" xfId="836" applyNumberFormat="1" applyFont="1" applyFill="1" applyAlignment="1">
      <alignment horizontal="center"/>
    </xf>
    <xf numFmtId="0" fontId="66" fillId="0" borderId="0" xfId="836" applyNumberFormat="1" applyFont="1" applyFill="1" applyBorder="1" applyAlignment="1">
      <alignment horizontal="center"/>
    </xf>
    <xf numFmtId="173" fontId="61" fillId="0" borderId="0" xfId="836" applyNumberFormat="1" applyFont="1" applyFill="1" applyAlignment="1">
      <alignment horizontal="right"/>
    </xf>
    <xf numFmtId="176" fontId="61" fillId="0" borderId="0" xfId="836" applyNumberFormat="1" applyFont="1" applyFill="1" applyAlignment="1"/>
    <xf numFmtId="173" fontId="61" fillId="0" borderId="0" xfId="836" applyNumberFormat="1" applyFont="1" applyFill="1" applyAlignment="1" applyProtection="1">
      <protection locked="0"/>
    </xf>
    <xf numFmtId="176" fontId="61" fillId="0" borderId="0" xfId="836" applyNumberFormat="1" applyFont="1" applyFill="1" applyAlignment="1" applyProtection="1">
      <protection locked="0"/>
    </xf>
    <xf numFmtId="173" fontId="61" fillId="0" borderId="0" xfId="836" applyNumberFormat="1" applyFont="1" applyFill="1" applyAlignment="1">
      <alignment horizontal="center"/>
    </xf>
    <xf numFmtId="176" fontId="61" fillId="0" borderId="0" xfId="836" applyNumberFormat="1" applyFont="1" applyFill="1" applyAlignment="1" applyProtection="1">
      <alignment horizontal="right"/>
      <protection locked="0"/>
    </xf>
    <xf numFmtId="176" fontId="61" fillId="0" borderId="0" xfId="836" applyNumberFormat="1" applyFont="1" applyFill="1" applyAlignment="1">
      <alignment horizontal="center"/>
    </xf>
    <xf numFmtId="0" fontId="62" fillId="0" borderId="0" xfId="836" applyNumberFormat="1" applyFont="1" applyFill="1" applyAlignment="1"/>
    <xf numFmtId="165" fontId="42" fillId="0" borderId="0" xfId="840" applyNumberFormat="1" applyFont="1" applyAlignment="1"/>
    <xf numFmtId="165" fontId="108" fillId="0" borderId="0" xfId="840" applyNumberFormat="1" applyFont="1" applyAlignment="1">
      <alignment horizontal="right"/>
    </xf>
    <xf numFmtId="39" fontId="42" fillId="0" borderId="0" xfId="840" applyNumberFormat="1" applyFont="1" applyAlignment="1"/>
    <xf numFmtId="40" fontId="42" fillId="0" borderId="0" xfId="840" applyNumberFormat="1" applyFont="1" applyAlignment="1"/>
    <xf numFmtId="165" fontId="65" fillId="0" borderId="0" xfId="840" applyNumberFormat="1" applyFont="1" applyAlignment="1"/>
    <xf numFmtId="5" fontId="44" fillId="0" borderId="0" xfId="840" applyNumberFormat="1" applyFont="1" applyAlignment="1"/>
    <xf numFmtId="40" fontId="44" fillId="0" borderId="0" xfId="840" applyNumberFormat="1" applyFont="1" applyAlignment="1"/>
    <xf numFmtId="165" fontId="75" fillId="0" borderId="0" xfId="840" applyNumberFormat="1" applyFont="1" applyAlignment="1">
      <alignment horizontal="right"/>
    </xf>
    <xf numFmtId="0" fontId="67" fillId="0" borderId="0" xfId="840" quotePrefix="1" applyNumberFormat="1" applyFont="1" applyAlignment="1">
      <alignment horizontal="left"/>
    </xf>
    <xf numFmtId="0" fontId="66" fillId="0" borderId="0" xfId="840" applyNumberFormat="1" applyFont="1" applyAlignment="1"/>
    <xf numFmtId="40" fontId="109" fillId="0" borderId="0" xfId="840" applyNumberFormat="1" applyFont="1" applyAlignment="1">
      <alignment horizontal="center"/>
    </xf>
    <xf numFmtId="40" fontId="44" fillId="0" borderId="0" xfId="840" quotePrefix="1" applyNumberFormat="1" applyFont="1" applyBorder="1" applyAlignment="1">
      <alignment horizontal="left"/>
    </xf>
    <xf numFmtId="40" fontId="44" fillId="0" borderId="0" xfId="840" applyNumberFormat="1" applyFont="1" applyBorder="1" applyAlignment="1">
      <alignment horizontal="left"/>
    </xf>
    <xf numFmtId="39" fontId="44" fillId="0" borderId="0" xfId="840" quotePrefix="1" applyNumberFormat="1" applyFont="1" applyAlignment="1">
      <alignment horizontal="center"/>
    </xf>
    <xf numFmtId="40" fontId="44" fillId="0" borderId="0" xfId="840" applyNumberFormat="1" applyFont="1" applyAlignment="1">
      <alignment horizontal="center"/>
    </xf>
    <xf numFmtId="40" fontId="44" fillId="0" borderId="0" xfId="840" applyNumberFormat="1" applyFont="1" applyBorder="1" applyAlignment="1">
      <alignment horizontal="center"/>
    </xf>
    <xf numFmtId="39" fontId="44" fillId="0" borderId="0" xfId="840" applyNumberFormat="1" applyFont="1" applyAlignment="1">
      <alignment horizontal="center"/>
    </xf>
    <xf numFmtId="39" fontId="44" fillId="0" borderId="0" xfId="840" applyNumberFormat="1" applyFont="1" applyBorder="1" applyAlignment="1">
      <alignment horizontal="center"/>
    </xf>
    <xf numFmtId="37" fontId="44" fillId="0" borderId="0" xfId="840" applyNumberFormat="1" applyFont="1" applyFill="1" applyBorder="1" applyAlignment="1"/>
    <xf numFmtId="186" fontId="44" fillId="0" borderId="0" xfId="840" quotePrefix="1" applyNumberFormat="1" applyFont="1" applyBorder="1" applyAlignment="1">
      <alignment horizontal="center"/>
    </xf>
    <xf numFmtId="165" fontId="65" fillId="0" borderId="0" xfId="840" applyNumberFormat="1" applyFont="1" applyBorder="1" applyAlignment="1"/>
    <xf numFmtId="42" fontId="44" fillId="0" borderId="0" xfId="840" applyNumberFormat="1" applyFont="1" applyAlignment="1"/>
    <xf numFmtId="42" fontId="44" fillId="0" borderId="0" xfId="840" applyNumberFormat="1" applyFont="1" applyBorder="1" applyAlignment="1"/>
    <xf numFmtId="42" fontId="44" fillId="0" borderId="0" xfId="840" applyNumberFormat="1" applyFont="1" applyFill="1" applyBorder="1" applyAlignment="1"/>
    <xf numFmtId="37" fontId="44" fillId="0" borderId="0" xfId="840" applyNumberFormat="1" applyFont="1" applyAlignment="1"/>
    <xf numFmtId="165" fontId="75" fillId="0" borderId="0" xfId="840" applyNumberFormat="1" applyFont="1" applyAlignment="1"/>
    <xf numFmtId="0" fontId="44" fillId="0" borderId="0" xfId="840" applyNumberFormat="1" applyFont="1" applyAlignment="1"/>
    <xf numFmtId="41" fontId="44" fillId="0" borderId="0" xfId="840" applyNumberFormat="1" applyFont="1" applyBorder="1" applyAlignment="1"/>
    <xf numFmtId="41" fontId="44" fillId="0" borderId="0" xfId="840" applyNumberFormat="1" applyFont="1" applyAlignment="1"/>
    <xf numFmtId="41" fontId="44" fillId="0" borderId="16" xfId="840" applyNumberFormat="1" applyFont="1" applyFill="1" applyBorder="1" applyAlignment="1"/>
    <xf numFmtId="41" fontId="44" fillId="0" borderId="0" xfId="840" applyNumberFormat="1" applyFont="1" applyFill="1" applyBorder="1" applyAlignment="1"/>
    <xf numFmtId="0" fontId="44" fillId="0" borderId="0" xfId="840" applyNumberFormat="1" applyFont="1" applyFill="1" applyAlignment="1"/>
    <xf numFmtId="0" fontId="44" fillId="0" borderId="0" xfId="840" applyNumberFormat="1" applyFont="1" applyFill="1" applyAlignment="1">
      <alignment horizontal="left"/>
    </xf>
    <xf numFmtId="37" fontId="44" fillId="0" borderId="0" xfId="840" applyNumberFormat="1" applyFont="1" applyFill="1" applyAlignment="1"/>
    <xf numFmtId="42" fontId="44" fillId="0" borderId="0" xfId="840" applyNumberFormat="1" applyFont="1" applyFill="1" applyAlignment="1"/>
    <xf numFmtId="0" fontId="42" fillId="0" borderId="0" xfId="840" applyNumberFormat="1" applyFont="1" applyAlignment="1">
      <alignment horizontal="left"/>
    </xf>
    <xf numFmtId="166" fontId="58" fillId="0" borderId="0" xfId="2" applyNumberFormat="1" applyFont="1" applyAlignment="1"/>
    <xf numFmtId="166" fontId="58" fillId="0" borderId="0" xfId="2" quotePrefix="1" applyNumberFormat="1" applyFont="1" applyAlignment="1">
      <alignment horizontal="left"/>
    </xf>
    <xf numFmtId="166" fontId="59" fillId="0" borderId="0" xfId="2" applyNumberFormat="1" applyFont="1" applyAlignment="1">
      <alignment horizontal="center"/>
    </xf>
    <xf numFmtId="166" fontId="59" fillId="0" borderId="20" xfId="2" applyNumberFormat="1" applyFont="1" applyBorder="1" applyAlignment="1"/>
    <xf numFmtId="174" fontId="58" fillId="0" borderId="0" xfId="2" applyNumberFormat="1" applyFont="1" applyAlignment="1"/>
    <xf numFmtId="174" fontId="58" fillId="0" borderId="18" xfId="2" applyNumberFormat="1" applyFont="1" applyBorder="1" applyAlignment="1"/>
    <xf numFmtId="166" fontId="59" fillId="0" borderId="0" xfId="2" applyNumberFormat="1" applyFont="1" applyAlignment="1">
      <alignment horizontal="right"/>
    </xf>
    <xf numFmtId="166" fontId="59" fillId="0" borderId="18" xfId="2" applyNumberFormat="1" applyFont="1" applyBorder="1" applyAlignment="1"/>
    <xf numFmtId="170" fontId="59" fillId="0" borderId="0" xfId="2" applyNumberFormat="1" applyFont="1" applyAlignment="1"/>
    <xf numFmtId="170" fontId="59" fillId="0" borderId="18" xfId="2" applyNumberFormat="1" applyFont="1" applyBorder="1" applyAlignment="1"/>
    <xf numFmtId="170" fontId="59" fillId="0" borderId="66" xfId="2" applyNumberFormat="1" applyFont="1" applyBorder="1" applyAlignment="1"/>
    <xf numFmtId="170" fontId="58" fillId="0" borderId="10" xfId="2" applyNumberFormat="1" applyFont="1" applyBorder="1" applyAlignment="1">
      <alignment horizontal="right"/>
    </xf>
    <xf numFmtId="170" fontId="58" fillId="0" borderId="0" xfId="2" applyNumberFormat="1" applyFont="1" applyAlignment="1"/>
    <xf numFmtId="170" fontId="58" fillId="0" borderId="18" xfId="2" applyNumberFormat="1" applyFont="1" applyBorder="1" applyAlignment="1"/>
    <xf numFmtId="170" fontId="63" fillId="0" borderId="0" xfId="2" applyNumberFormat="1" applyFont="1" applyBorder="1" applyAlignment="1"/>
    <xf numFmtId="170" fontId="59" fillId="0" borderId="0" xfId="2" applyNumberFormat="1" applyFont="1" applyBorder="1" applyAlignment="1"/>
    <xf numFmtId="170" fontId="59" fillId="0" borderId="0" xfId="2" applyNumberFormat="1" applyFont="1" applyBorder="1" applyAlignment="1">
      <alignment horizontal="right"/>
    </xf>
    <xf numFmtId="170" fontId="39" fillId="0" borderId="66" xfId="2" applyNumberFormat="1" applyFont="1" applyBorder="1" applyAlignment="1"/>
    <xf numFmtId="166" fontId="59" fillId="0" borderId="0" xfId="2" quotePrefix="1" applyNumberFormat="1" applyFont="1" applyAlignment="1">
      <alignment horizontal="left"/>
    </xf>
    <xf numFmtId="170" fontId="58" fillId="0" borderId="16" xfId="2" applyNumberFormat="1" applyFont="1" applyBorder="1" applyAlignment="1"/>
    <xf numFmtId="170" fontId="137" fillId="0" borderId="0" xfId="2" applyNumberFormat="1" applyFont="1" applyBorder="1" applyAlignment="1"/>
    <xf numFmtId="170" fontId="137" fillId="0" borderId="0" xfId="2" applyNumberFormat="1" applyFont="1" applyAlignment="1"/>
    <xf numFmtId="170" fontId="63" fillId="0" borderId="18" xfId="2" applyNumberFormat="1" applyFont="1" applyBorder="1" applyAlignment="1"/>
    <xf numFmtId="170" fontId="64" fillId="0" borderId="0" xfId="2" applyNumberFormat="1" applyFont="1" applyAlignment="1"/>
    <xf numFmtId="170" fontId="64" fillId="0" borderId="18" xfId="2" applyNumberFormat="1" applyFont="1" applyBorder="1" applyAlignment="1"/>
    <xf numFmtId="170" fontId="58" fillId="0" borderId="0" xfId="2" applyNumberFormat="1" applyFont="1" applyAlignment="1">
      <alignment horizontal="right"/>
    </xf>
    <xf numFmtId="166" fontId="63" fillId="0" borderId="18" xfId="2" applyNumberFormat="1" applyFont="1" applyBorder="1" applyAlignment="1"/>
    <xf numFmtId="166" fontId="44" fillId="0" borderId="0" xfId="2" applyNumberFormat="1" applyFont="1" applyFill="1" applyAlignment="1">
      <alignment horizontal="left"/>
    </xf>
    <xf numFmtId="174" fontId="58" fillId="0" borderId="17" xfId="2" applyNumberFormat="1" applyFont="1" applyBorder="1" applyAlignment="1"/>
    <xf numFmtId="174" fontId="64" fillId="0" borderId="0" xfId="2" applyNumberFormat="1" applyFont="1" applyAlignment="1">
      <alignment horizontal="right"/>
    </xf>
    <xf numFmtId="174" fontId="64" fillId="0" borderId="18" xfId="2" applyNumberFormat="1" applyFont="1" applyBorder="1" applyAlignment="1"/>
    <xf numFmtId="166" fontId="46" fillId="0" borderId="0" xfId="2" applyNumberFormat="1" applyFont="1" applyFill="1" applyAlignment="1"/>
    <xf numFmtId="43" fontId="42" fillId="0" borderId="0" xfId="5" applyFont="1" applyFill="1" applyBorder="1" applyAlignment="1">
      <alignment horizontal="right"/>
    </xf>
    <xf numFmtId="0" fontId="81" fillId="0" borderId="0" xfId="8" applyFont="1" applyAlignment="1"/>
    <xf numFmtId="0" fontId="138" fillId="0" borderId="0" xfId="8" applyFont="1" applyAlignment="1"/>
    <xf numFmtId="0" fontId="113" fillId="0" borderId="0" xfId="8" applyFont="1" applyAlignment="1"/>
    <xf numFmtId="0" fontId="49" fillId="0" borderId="0" xfId="8" applyFont="1" applyAlignment="1"/>
    <xf numFmtId="0" fontId="49" fillId="0" borderId="0" xfId="8" applyFont="1" applyAlignment="1">
      <alignment horizontal="left"/>
    </xf>
    <xf numFmtId="0" fontId="49" fillId="0" borderId="0" xfId="8" applyFont="1" applyAlignment="1">
      <alignment horizontal="right" indent="15"/>
    </xf>
    <xf numFmtId="0" fontId="113" fillId="0" borderId="0" xfId="8" applyFont="1" applyAlignment="1">
      <alignment horizontal="right"/>
    </xf>
    <xf numFmtId="0" fontId="42" fillId="0" borderId="0" xfId="8" applyFont="1" applyAlignment="1">
      <alignment horizontal="center"/>
    </xf>
    <xf numFmtId="0" fontId="49" fillId="0" borderId="0" xfId="8" applyFont="1" applyAlignment="1">
      <alignment horizontal="center"/>
    </xf>
    <xf numFmtId="0" fontId="49" fillId="0" borderId="0" xfId="8" applyFont="1" applyAlignment="1">
      <alignment horizontal="right"/>
    </xf>
    <xf numFmtId="0" fontId="113" fillId="0" borderId="0" xfId="8" quotePrefix="1" applyFont="1" applyAlignment="1">
      <alignment horizontal="right"/>
    </xf>
    <xf numFmtId="165" fontId="49" fillId="0" borderId="0" xfId="8" applyNumberFormat="1" applyFont="1" applyAlignment="1">
      <alignment horizontal="right"/>
    </xf>
    <xf numFmtId="0" fontId="140" fillId="0" borderId="0" xfId="8" applyFont="1"/>
    <xf numFmtId="0" fontId="113" fillId="0" borderId="0" xfId="8" applyFont="1" applyAlignment="1">
      <alignment horizontal="center"/>
    </xf>
    <xf numFmtId="188" fontId="49" fillId="0" borderId="0" xfId="8" quotePrefix="1" applyNumberFormat="1" applyFont="1"/>
    <xf numFmtId="3" fontId="49" fillId="0" borderId="0" xfId="8" quotePrefix="1" applyNumberFormat="1" applyFont="1"/>
    <xf numFmtId="3" fontId="49" fillId="0" borderId="0" xfId="8" quotePrefix="1" applyNumberFormat="1" applyFont="1" applyAlignment="1">
      <alignment horizontal="center"/>
    </xf>
    <xf numFmtId="0" fontId="49" fillId="0" borderId="0" xfId="8" applyFont="1" applyFill="1"/>
    <xf numFmtId="188" fontId="49" fillId="0" borderId="0" xfId="8" applyNumberFormat="1" applyFont="1" applyAlignment="1"/>
    <xf numFmtId="3" fontId="49" fillId="0" borderId="0" xfId="8" applyNumberFormat="1" applyFont="1"/>
    <xf numFmtId="188" fontId="49" fillId="0" borderId="0" xfId="8" applyNumberFormat="1" applyFont="1" applyBorder="1"/>
    <xf numFmtId="0" fontId="138" fillId="0" borderId="0" xfId="8" applyFont="1" applyAlignment="1">
      <alignment horizontal="center"/>
    </xf>
    <xf numFmtId="0" fontId="49" fillId="0" borderId="0" xfId="8" applyFont="1" applyBorder="1"/>
    <xf numFmtId="0" fontId="49" fillId="0" borderId="0" xfId="8" applyFont="1" applyFill="1" applyBorder="1" applyAlignment="1"/>
    <xf numFmtId="0" fontId="49" fillId="0" borderId="0" xfId="8" applyFont="1" applyFill="1" applyBorder="1"/>
    <xf numFmtId="0" fontId="139" fillId="0" borderId="0" xfId="8" applyFont="1" applyBorder="1"/>
    <xf numFmtId="191" fontId="49" fillId="0" borderId="0" xfId="8" applyNumberFormat="1" applyFont="1" applyBorder="1"/>
    <xf numFmtId="6" fontId="49" fillId="0" borderId="0" xfId="8" applyNumberFormat="1" applyFont="1" applyAlignment="1"/>
    <xf numFmtId="175" fontId="49" fillId="0" borderId="0" xfId="8" quotePrefix="1" applyNumberFormat="1" applyFont="1" applyAlignment="1">
      <alignment horizontal="right"/>
    </xf>
    <xf numFmtId="192" fontId="49" fillId="0" borderId="0" xfId="8" applyNumberFormat="1" applyFont="1"/>
    <xf numFmtId="175" fontId="49" fillId="0" borderId="0" xfId="8" quotePrefix="1" applyNumberFormat="1" applyFont="1" applyBorder="1" applyAlignment="1"/>
    <xf numFmtId="0" fontId="43" fillId="0" borderId="0" xfId="860" applyNumberFormat="1" applyFont="1" applyAlignment="1">
      <alignment horizontal="centerContinuous"/>
    </xf>
    <xf numFmtId="37" fontId="43" fillId="0" borderId="0" xfId="860" applyNumberFormat="1" applyFont="1" applyAlignment="1">
      <alignment horizontal="centerContinuous"/>
    </xf>
    <xf numFmtId="0" fontId="43" fillId="0" borderId="0" xfId="860" applyNumberFormat="1" applyFont="1" applyAlignment="1"/>
    <xf numFmtId="0" fontId="42" fillId="0" borderId="0" xfId="860" applyNumberFormat="1" applyFont="1" applyAlignment="1">
      <alignment horizontal="centerContinuous"/>
    </xf>
    <xf numFmtId="37" fontId="66" fillId="0" borderId="0" xfId="860" applyNumberFormat="1" applyFont="1" applyAlignment="1">
      <alignment horizontal="centerContinuous"/>
    </xf>
    <xf numFmtId="0" fontId="42" fillId="0" borderId="0" xfId="860" applyNumberFormat="1" applyFont="1" applyAlignment="1"/>
    <xf numFmtId="0" fontId="43" fillId="0" borderId="67" xfId="860" applyNumberFormat="1" applyFont="1" applyBorder="1" applyAlignment="1">
      <alignment horizontal="centerContinuous"/>
    </xf>
    <xf numFmtId="0" fontId="42" fillId="0" borderId="36" xfId="860" applyNumberFormat="1" applyFont="1" applyBorder="1" applyAlignment="1">
      <alignment horizontal="centerContinuous"/>
    </xf>
    <xf numFmtId="37" fontId="66" fillId="0" borderId="68" xfId="860" applyNumberFormat="1" applyFont="1" applyBorder="1" applyAlignment="1"/>
    <xf numFmtId="0" fontId="43" fillId="0" borderId="36" xfId="860" applyNumberFormat="1" applyFont="1" applyBorder="1" applyAlignment="1"/>
    <xf numFmtId="0" fontId="42" fillId="0" borderId="36" xfId="860" applyNumberFormat="1" applyFont="1" applyBorder="1"/>
    <xf numFmtId="37" fontId="66" fillId="0" borderId="0" xfId="860" applyNumberFormat="1" applyFont="1" applyAlignment="1"/>
    <xf numFmtId="37" fontId="42" fillId="0" borderId="0" xfId="860" applyNumberFormat="1" applyFont="1" applyAlignment="1"/>
    <xf numFmtId="37" fontId="40" fillId="0" borderId="0" xfId="860" applyNumberFormat="1" applyFont="1" applyAlignment="1"/>
    <xf numFmtId="0" fontId="42" fillId="0" borderId="66" xfId="860" applyNumberFormat="1" applyFont="1" applyBorder="1" applyAlignment="1"/>
    <xf numFmtId="0" fontId="141" fillId="0" borderId="0" xfId="860" applyNumberFormat="1" applyFont="1" applyAlignment="1"/>
    <xf numFmtId="37" fontId="42" fillId="0" borderId="0" xfId="860" applyNumberFormat="1" applyFont="1" applyAlignment="1">
      <alignment horizontal="left"/>
    </xf>
    <xf numFmtId="0" fontId="42" fillId="0" borderId="16" xfId="860" applyNumberFormat="1" applyFont="1" applyBorder="1" applyAlignment="1"/>
    <xf numFmtId="0" fontId="141" fillId="0" borderId="16" xfId="860" applyNumberFormat="1" applyFont="1" applyBorder="1" applyAlignment="1"/>
    <xf numFmtId="0" fontId="40" fillId="0" borderId="0" xfId="860" applyNumberFormat="1" applyFont="1" applyAlignment="1"/>
    <xf numFmtId="0" fontId="110" fillId="0" borderId="0" xfId="860" applyNumberFormat="1" applyFont="1" applyAlignment="1"/>
    <xf numFmtId="0" fontId="42" fillId="0" borderId="20" xfId="860" applyNumberFormat="1" applyFont="1" applyBorder="1" applyAlignment="1"/>
    <xf numFmtId="0" fontId="42" fillId="0" borderId="40" xfId="860" applyNumberFormat="1" applyFont="1" applyBorder="1" applyAlignment="1"/>
    <xf numFmtId="165" fontId="42" fillId="0" borderId="0" xfId="860" applyNumberFormat="1" applyFont="1" applyAlignment="1">
      <alignment horizontal="left"/>
    </xf>
    <xf numFmtId="0" fontId="42" fillId="0" borderId="0" xfId="860" applyNumberFormat="1" applyFont="1" applyBorder="1" applyAlignment="1"/>
    <xf numFmtId="0" fontId="43" fillId="0" borderId="0" xfId="860" applyNumberFormat="1" applyFont="1" applyBorder="1" applyAlignment="1"/>
    <xf numFmtId="0" fontId="142" fillId="0" borderId="0" xfId="860" applyFont="1" applyBorder="1" applyAlignment="1">
      <alignment vertical="top" wrapText="1"/>
    </xf>
    <xf numFmtId="0" fontId="42" fillId="0" borderId="16" xfId="860" applyNumberFormat="1" applyFont="1" applyBorder="1" applyAlignment="1">
      <alignment horizontal="left"/>
    </xf>
    <xf numFmtId="0" fontId="83" fillId="0" borderId="0" xfId="860" applyNumberFormat="1" applyFont="1" applyAlignment="1"/>
    <xf numFmtId="0" fontId="141" fillId="0" borderId="0" xfId="860" applyNumberFormat="1" applyFont="1" applyBorder="1" applyAlignment="1"/>
    <xf numFmtId="0" fontId="83" fillId="0" borderId="0" xfId="860" applyNumberFormat="1" applyFont="1" applyBorder="1" applyAlignment="1"/>
    <xf numFmtId="0" fontId="42" fillId="0" borderId="0" xfId="860" applyNumberFormat="1" applyFont="1" applyAlignment="1">
      <alignment horizontal="left"/>
    </xf>
    <xf numFmtId="0" fontId="42" fillId="0" borderId="0" xfId="860" applyNumberFormat="1" applyFont="1" applyBorder="1" applyAlignment="1">
      <alignment horizontal="left"/>
    </xf>
    <xf numFmtId="170" fontId="37" fillId="0" borderId="0" xfId="0" applyNumberFormat="1" applyFont="1" applyAlignment="1"/>
    <xf numFmtId="165" fontId="37" fillId="0" borderId="0" xfId="0" applyNumberFormat="1" applyFont="1" applyBorder="1" applyAlignment="1"/>
    <xf numFmtId="166" fontId="37" fillId="0" borderId="0" xfId="0" applyNumberFormat="1" applyFont="1" applyAlignment="1" applyProtection="1">
      <protection locked="0"/>
    </xf>
    <xf numFmtId="166" fontId="37" fillId="0" borderId="0" xfId="0" applyNumberFormat="1" applyFont="1" applyBorder="1" applyAlignment="1" applyProtection="1"/>
    <xf numFmtId="170" fontId="37" fillId="0" borderId="0" xfId="0" applyNumberFormat="1" applyFont="1" applyAlignment="1" applyProtection="1">
      <protection locked="0"/>
    </xf>
    <xf numFmtId="170" fontId="37" fillId="0" borderId="0" xfId="0" applyNumberFormat="1" applyFont="1" applyAlignment="1" applyProtection="1"/>
    <xf numFmtId="170" fontId="37" fillId="0" borderId="0" xfId="0" applyNumberFormat="1" applyFont="1" applyBorder="1" applyAlignment="1" applyProtection="1"/>
    <xf numFmtId="170" fontId="37" fillId="0" borderId="0" xfId="0" quotePrefix="1" applyNumberFormat="1" applyFont="1" applyAlignment="1" applyProtection="1">
      <alignment horizontal="center"/>
    </xf>
    <xf numFmtId="170" fontId="37" fillId="0" borderId="0" xfId="0" applyNumberFormat="1" applyFont="1" applyAlignment="1" applyProtection="1">
      <alignment horizontal="center"/>
    </xf>
    <xf numFmtId="170" fontId="37" fillId="0" borderId="10" xfId="0" applyNumberFormat="1" applyFont="1" applyBorder="1" applyAlignment="1" applyProtection="1"/>
    <xf numFmtId="170" fontId="37" fillId="0" borderId="0" xfId="0" applyNumberFormat="1" applyFont="1" applyFill="1" applyAlignment="1" applyProtection="1"/>
    <xf numFmtId="37" fontId="37" fillId="0" borderId="0" xfId="2" applyNumberFormat="1" applyFont="1" applyBorder="1"/>
    <xf numFmtId="49" fontId="37" fillId="0" borderId="0" xfId="17" applyNumberFormat="1" applyFont="1" applyBorder="1" applyAlignment="1">
      <alignment horizontal="center"/>
    </xf>
    <xf numFmtId="0" fontId="66" fillId="0" borderId="0" xfId="0" applyNumberFormat="1" applyFont="1" applyFill="1"/>
    <xf numFmtId="0" fontId="42" fillId="0" borderId="0" xfId="0" applyNumberFormat="1" applyFont="1" applyFill="1"/>
    <xf numFmtId="0" fontId="42" fillId="0" borderId="0" xfId="0" applyNumberFormat="1" applyFont="1" applyFill="1" applyAlignment="1">
      <alignment horizontal="right"/>
    </xf>
    <xf numFmtId="0" fontId="43" fillId="0" borderId="0" xfId="0" applyNumberFormat="1" applyFont="1" applyFill="1"/>
    <xf numFmtId="7" fontId="42" fillId="0" borderId="0" xfId="0" applyNumberFormat="1" applyFont="1" applyFill="1"/>
    <xf numFmtId="39" fontId="42" fillId="0" borderId="0" xfId="0" applyNumberFormat="1" applyFont="1" applyFill="1"/>
    <xf numFmtId="39" fontId="42" fillId="0" borderId="0" xfId="0" applyNumberFormat="1" applyFont="1" applyFill="1" applyAlignment="1">
      <alignment horizontal="center"/>
    </xf>
    <xf numFmtId="39" fontId="42" fillId="0" borderId="0" xfId="0" applyNumberFormat="1" applyFont="1" applyFill="1" applyAlignment="1">
      <alignment horizontal="right"/>
    </xf>
    <xf numFmtId="43" fontId="42" fillId="0" borderId="0" xfId="0" applyNumberFormat="1" applyFont="1" applyFill="1" applyAlignment="1">
      <alignment horizontal="center"/>
    </xf>
    <xf numFmtId="0" fontId="43" fillId="0" borderId="0" xfId="0" applyNumberFormat="1" applyFont="1" applyFill="1" applyBorder="1"/>
    <xf numFmtId="39" fontId="43" fillId="0" borderId="0" xfId="0" applyNumberFormat="1" applyFont="1" applyFill="1" applyBorder="1"/>
    <xf numFmtId="0" fontId="42" fillId="0" borderId="0" xfId="0" applyNumberFormat="1" applyFont="1" applyFill="1" applyBorder="1"/>
    <xf numFmtId="39" fontId="42" fillId="0" borderId="0" xfId="0" quotePrefix="1" applyNumberFormat="1" applyFont="1" applyFill="1" applyAlignment="1">
      <alignment horizontal="center"/>
    </xf>
    <xf numFmtId="39" fontId="43" fillId="0" borderId="0" xfId="0" applyNumberFormat="1" applyFont="1" applyFill="1" applyBorder="1" applyAlignment="1">
      <alignment horizontal="right"/>
    </xf>
    <xf numFmtId="0" fontId="42" fillId="0" borderId="0" xfId="0" applyNumberFormat="1" applyFont="1" applyFill="1" applyBorder="1" applyAlignment="1">
      <alignment horizontal="right"/>
    </xf>
    <xf numFmtId="187" fontId="42" fillId="0" borderId="0" xfId="0" applyNumberFormat="1" applyFont="1" applyFill="1"/>
    <xf numFmtId="0" fontId="42" fillId="0" borderId="0" xfId="0" applyNumberFormat="1" applyFont="1" applyFill="1" applyAlignment="1"/>
    <xf numFmtId="0" fontId="42" fillId="0" borderId="0" xfId="0" applyNumberFormat="1" applyFont="1" applyFill="1" applyAlignment="1">
      <alignment horizontal="left" vertical="top"/>
    </xf>
    <xf numFmtId="177" fontId="37" fillId="0" borderId="0" xfId="740" applyNumberFormat="1" applyFont="1" applyFill="1" applyAlignment="1">
      <alignment horizontal="center"/>
    </xf>
    <xf numFmtId="170" fontId="37" fillId="0" borderId="0" xfId="2" applyNumberFormat="1" applyFont="1" applyAlignment="1"/>
    <xf numFmtId="165" fontId="37" fillId="0" borderId="0" xfId="0" applyNumberFormat="1" applyFont="1" applyAlignment="1" applyProtection="1">
      <protection locked="0"/>
    </xf>
    <xf numFmtId="164" fontId="37" fillId="0" borderId="0" xfId="0" applyFont="1"/>
    <xf numFmtId="164" fontId="37" fillId="0" borderId="0" xfId="0" applyFont="1" applyAlignment="1"/>
    <xf numFmtId="164" fontId="37" fillId="0" borderId="0" xfId="0" applyFont="1" applyAlignment="1">
      <alignment horizontal="center"/>
    </xf>
    <xf numFmtId="164" fontId="95" fillId="0" borderId="0" xfId="0" applyFont="1"/>
    <xf numFmtId="166" fontId="37" fillId="0" borderId="0" xfId="2" applyNumberFormat="1" applyFont="1" applyFill="1" applyBorder="1" applyAlignment="1"/>
    <xf numFmtId="0" fontId="37" fillId="0" borderId="0" xfId="17" applyNumberFormat="1" applyFont="1" applyAlignment="1">
      <alignment horizontal="left"/>
    </xf>
    <xf numFmtId="164" fontId="66" fillId="0" borderId="0" xfId="0" applyFont="1"/>
    <xf numFmtId="0" fontId="146" fillId="0" borderId="0" xfId="860" applyNumberFormat="1" applyFont="1" applyAlignment="1"/>
    <xf numFmtId="37" fontId="42" fillId="34" borderId="0" xfId="860" applyNumberFormat="1" applyFont="1" applyFill="1" applyAlignment="1">
      <alignment horizontal="left"/>
    </xf>
    <xf numFmtId="0" fontId="43" fillId="34" borderId="0" xfId="860" applyNumberFormat="1" applyFont="1" applyFill="1" applyAlignment="1"/>
    <xf numFmtId="0" fontId="43" fillId="34" borderId="0" xfId="860" applyNumberFormat="1" applyFont="1" applyFill="1" applyBorder="1" applyAlignment="1"/>
    <xf numFmtId="174" fontId="39" fillId="0" borderId="0" xfId="0" applyNumberFormat="1" applyFont="1" applyAlignment="1" applyProtection="1"/>
    <xf numFmtId="37" fontId="37" fillId="0" borderId="0" xfId="2" applyNumberFormat="1" applyFont="1" applyAlignment="1"/>
    <xf numFmtId="174" fontId="37" fillId="0" borderId="0" xfId="2" applyNumberFormat="1" applyFont="1" applyAlignment="1"/>
    <xf numFmtId="170" fontId="37" fillId="0" borderId="0" xfId="2" quotePrefix="1" applyNumberFormat="1" applyFont="1" applyAlignment="1">
      <alignment horizontal="center"/>
    </xf>
    <xf numFmtId="174" fontId="37" fillId="0" borderId="0" xfId="2" applyNumberFormat="1" applyFont="1" applyAlignment="1">
      <alignment horizontal="right"/>
    </xf>
    <xf numFmtId="174" fontId="37" fillId="0" borderId="0" xfId="2" quotePrefix="1" applyNumberFormat="1" applyFont="1" applyAlignment="1">
      <alignment horizontal="center"/>
    </xf>
    <xf numFmtId="187" fontId="97" fillId="0" borderId="0" xfId="8" applyNumberFormat="1" applyFont="1"/>
    <xf numFmtId="0" fontId="37" fillId="0" borderId="0" xfId="8" applyFont="1" applyBorder="1"/>
    <xf numFmtId="0" fontId="37" fillId="0" borderId="0" xfId="17" quotePrefix="1" applyNumberFormat="1" applyFont="1" applyAlignment="1">
      <alignment horizontal="left"/>
    </xf>
    <xf numFmtId="164" fontId="61" fillId="0" borderId="0" xfId="0" applyFont="1"/>
    <xf numFmtId="164" fontId="44" fillId="0" borderId="0" xfId="0" applyFont="1"/>
    <xf numFmtId="0" fontId="139" fillId="0" borderId="0" xfId="8" applyFont="1" applyFill="1" applyAlignment="1">
      <alignment horizontal="left"/>
    </xf>
    <xf numFmtId="166" fontId="37" fillId="0" borderId="0" xfId="2" applyNumberFormat="1" applyFont="1" applyBorder="1" applyAlignment="1"/>
    <xf numFmtId="164" fontId="37" fillId="0" borderId="0" xfId="2" applyNumberFormat="1" applyFont="1" applyBorder="1" applyAlignment="1"/>
    <xf numFmtId="170" fontId="37" fillId="0" borderId="0" xfId="2" applyNumberFormat="1" applyFont="1" applyBorder="1"/>
    <xf numFmtId="165" fontId="37" fillId="0" borderId="0" xfId="0" applyNumberFormat="1" applyFont="1" applyAlignment="1"/>
    <xf numFmtId="165" fontId="44" fillId="0" borderId="0" xfId="0" applyNumberFormat="1" applyFont="1" applyAlignment="1"/>
    <xf numFmtId="174" fontId="37" fillId="0" borderId="0" xfId="0" quotePrefix="1" applyNumberFormat="1" applyFont="1" applyAlignment="1" applyProtection="1">
      <alignment horizontal="left"/>
    </xf>
    <xf numFmtId="170" fontId="44" fillId="0" borderId="20" xfId="0" applyNumberFormat="1" applyFont="1" applyBorder="1" applyAlignment="1"/>
    <xf numFmtId="165" fontId="37" fillId="0" borderId="0" xfId="0" quotePrefix="1" applyNumberFormat="1" applyFont="1" applyAlignment="1">
      <alignment horizontal="center"/>
    </xf>
    <xf numFmtId="170" fontId="39" fillId="0" borderId="0" xfId="2" quotePrefix="1" applyNumberFormat="1" applyFont="1" applyFill="1" applyAlignment="1">
      <alignment horizontal="right"/>
    </xf>
    <xf numFmtId="170" fontId="44" fillId="0" borderId="45" xfId="2" applyNumberFormat="1" applyFont="1" applyFill="1" applyBorder="1" applyAlignment="1"/>
    <xf numFmtId="170" fontId="39" fillId="0" borderId="21" xfId="2" applyNumberFormat="1" applyFont="1" applyFill="1" applyBorder="1" applyAlignment="1"/>
    <xf numFmtId="170" fontId="44" fillId="0" borderId="21" xfId="2" applyNumberFormat="1" applyFont="1" applyFill="1" applyBorder="1" applyAlignment="1"/>
    <xf numFmtId="170" fontId="39" fillId="0" borderId="0" xfId="2" applyNumberFormat="1" applyFont="1"/>
    <xf numFmtId="170" fontId="37" fillId="0" borderId="0" xfId="2" applyNumberFormat="1" applyFont="1" applyAlignment="1">
      <alignment horizontal="right"/>
    </xf>
    <xf numFmtId="177" fontId="100" fillId="0" borderId="0" xfId="740" applyNumberFormat="1" applyFont="1" applyFill="1"/>
    <xf numFmtId="0" fontId="140" fillId="0" borderId="0" xfId="8" applyFont="1" applyBorder="1"/>
    <xf numFmtId="170" fontId="37" fillId="0" borderId="0" xfId="2" applyNumberFormat="1" applyFont="1" applyFill="1" applyAlignment="1">
      <alignment horizontal="right"/>
    </xf>
    <xf numFmtId="170" fontId="37" fillId="0" borderId="0" xfId="2" quotePrefix="1" applyNumberFormat="1" applyFont="1" applyFill="1" applyAlignment="1">
      <alignment horizontal="right"/>
    </xf>
    <xf numFmtId="170" fontId="37" fillId="0" borderId="0" xfId="2" quotePrefix="1" applyNumberFormat="1" applyFont="1" applyAlignment="1">
      <alignment horizontal="right"/>
    </xf>
    <xf numFmtId="170" fontId="37" fillId="0" borderId="0" xfId="2" quotePrefix="1" applyNumberFormat="1" applyFont="1" applyAlignment="1"/>
    <xf numFmtId="170" fontId="37" fillId="0" borderId="20" xfId="2" applyNumberFormat="1" applyFont="1" applyBorder="1" applyAlignment="1"/>
    <xf numFmtId="174" fontId="130" fillId="0" borderId="0" xfId="2" applyNumberFormat="1" applyFont="1" applyBorder="1"/>
    <xf numFmtId="0" fontId="37" fillId="0" borderId="0" xfId="2" applyNumberFormat="1" applyFont="1" applyAlignment="1"/>
    <xf numFmtId="0" fontId="37" fillId="0" borderId="0" xfId="2" applyFont="1" applyBorder="1"/>
    <xf numFmtId="0" fontId="66" fillId="0" borderId="0" xfId="836" applyNumberFormat="1" applyFont="1" applyFill="1" applyAlignment="1">
      <alignment horizontal="center"/>
    </xf>
    <xf numFmtId="0" fontId="66" fillId="0" borderId="20" xfId="836" applyNumberFormat="1" applyFont="1" applyFill="1" applyBorder="1" applyAlignment="1"/>
    <xf numFmtId="181" fontId="61" fillId="0" borderId="0" xfId="836" applyNumberFormat="1" applyFont="1" applyFill="1" applyBorder="1" applyAlignment="1"/>
    <xf numFmtId="181" fontId="61" fillId="0" borderId="0" xfId="836" applyNumberFormat="1" applyFont="1" applyFill="1" applyAlignment="1"/>
    <xf numFmtId="181" fontId="61" fillId="0" borderId="20" xfId="836" applyNumberFormat="1" applyFont="1" applyFill="1" applyBorder="1" applyAlignment="1"/>
    <xf numFmtId="181" fontId="61" fillId="0" borderId="20" xfId="836" applyNumberFormat="1" applyFont="1" applyFill="1" applyBorder="1" applyAlignment="1">
      <alignment horizontal="right"/>
    </xf>
    <xf numFmtId="181" fontId="78" fillId="0" borderId="20" xfId="836" applyNumberFormat="1" applyFont="1" applyFill="1" applyBorder="1"/>
    <xf numFmtId="177" fontId="66" fillId="0" borderId="0" xfId="836" applyNumberFormat="1" applyFont="1" applyFill="1" applyAlignment="1">
      <alignment horizontal="right"/>
    </xf>
    <xf numFmtId="177" fontId="66" fillId="0" borderId="0" xfId="836" applyNumberFormat="1" applyFont="1" applyFill="1" applyAlignment="1"/>
    <xf numFmtId="177" fontId="61" fillId="0" borderId="20" xfId="836" applyNumberFormat="1" applyFont="1" applyFill="1" applyBorder="1" applyAlignment="1"/>
    <xf numFmtId="177" fontId="66" fillId="0" borderId="0" xfId="836" applyNumberFormat="1" applyFont="1" applyFill="1" applyBorder="1" applyAlignment="1"/>
    <xf numFmtId="173" fontId="61" fillId="0" borderId="0" xfId="836" quotePrefix="1" applyNumberFormat="1" applyFont="1" applyFill="1" applyAlignment="1">
      <alignment horizontal="left"/>
    </xf>
    <xf numFmtId="177" fontId="61" fillId="0" borderId="0" xfId="836" applyNumberFormat="1" applyFont="1" applyFill="1" applyBorder="1" applyAlignment="1" applyProtection="1">
      <protection locked="0"/>
    </xf>
    <xf numFmtId="177" fontId="61" fillId="0" borderId="0" xfId="836" applyNumberFormat="1" applyFont="1" applyFill="1" applyBorder="1" applyAlignment="1">
      <alignment horizontal="center"/>
    </xf>
    <xf numFmtId="177" fontId="66" fillId="0" borderId="10" xfId="836" applyNumberFormat="1" applyFont="1" applyFill="1" applyBorder="1" applyAlignment="1"/>
    <xf numFmtId="177" fontId="66" fillId="0" borderId="33" xfId="836" applyNumberFormat="1" applyFont="1" applyFill="1" applyBorder="1" applyAlignment="1">
      <alignment horizontal="right"/>
    </xf>
    <xf numFmtId="180" fontId="61" fillId="0" borderId="0" xfId="836" applyNumberFormat="1" applyFont="1" applyFill="1" applyAlignment="1"/>
    <xf numFmtId="180" fontId="66" fillId="0" borderId="17" xfId="836" applyNumberFormat="1" applyFont="1" applyFill="1" applyBorder="1" applyAlignment="1"/>
    <xf numFmtId="180" fontId="66" fillId="0" borderId="0" xfId="836" applyNumberFormat="1" applyFont="1" applyFill="1" applyAlignment="1">
      <alignment horizontal="right"/>
    </xf>
    <xf numFmtId="180" fontId="66" fillId="0" borderId="0" xfId="836" applyNumberFormat="1" applyFont="1" applyFill="1" applyAlignment="1"/>
    <xf numFmtId="181" fontId="61" fillId="0" borderId="36" xfId="836" applyNumberFormat="1" applyFont="1" applyFill="1" applyBorder="1" applyAlignment="1"/>
    <xf numFmtId="0" fontId="153" fillId="0" borderId="0" xfId="836" quotePrefix="1" applyNumberFormat="1" applyFont="1" applyFill="1" applyAlignment="1">
      <alignment horizontal="left"/>
    </xf>
    <xf numFmtId="173" fontId="78" fillId="0" borderId="0" xfId="836" applyNumberFormat="1" applyFont="1" applyFill="1"/>
    <xf numFmtId="0" fontId="37" fillId="0" borderId="0" xfId="17" applyNumberFormat="1" applyFont="1" applyFill="1" applyAlignment="1">
      <alignment readingOrder="1"/>
    </xf>
    <xf numFmtId="0" fontId="37" fillId="0" borderId="0" xfId="17" applyNumberFormat="1" applyFont="1" applyFill="1" applyAlignment="1"/>
    <xf numFmtId="0" fontId="37" fillId="0" borderId="0" xfId="17" applyNumberFormat="1" applyFont="1" applyFill="1" applyAlignment="1" applyProtection="1">
      <alignment readingOrder="1"/>
      <protection locked="0"/>
    </xf>
    <xf numFmtId="0" fontId="37" fillId="0" borderId="0" xfId="17" applyNumberFormat="1" applyFont="1" applyFill="1" applyAlignment="1" applyProtection="1">
      <protection locked="0"/>
    </xf>
    <xf numFmtId="0" fontId="44" fillId="0" borderId="0" xfId="17" applyNumberFormat="1" applyFont="1" applyAlignment="1" applyProtection="1">
      <protection locked="0"/>
    </xf>
    <xf numFmtId="39" fontId="42" fillId="0" borderId="0" xfId="0" applyNumberFormat="1" applyFont="1" applyFill="1" applyAlignment="1"/>
    <xf numFmtId="39" fontId="42" fillId="0" borderId="0" xfId="0" applyNumberFormat="1" applyFont="1" applyFill="1" applyAlignment="1">
      <alignment horizontal="right" vertical="top"/>
    </xf>
    <xf numFmtId="39" fontId="42" fillId="0" borderId="0" xfId="0" applyNumberFormat="1" applyFont="1" applyFill="1" applyAlignment="1">
      <alignment horizontal="center" vertical="top"/>
    </xf>
    <xf numFmtId="0" fontId="42" fillId="0" borderId="0" xfId="0" quotePrefix="1" applyNumberFormat="1" applyFont="1" applyFill="1" applyAlignment="1"/>
    <xf numFmtId="0" fontId="42" fillId="0" borderId="0" xfId="0" applyNumberFormat="1" applyFont="1" applyFill="1" applyAlignment="1">
      <alignment horizontal="center" vertical="top"/>
    </xf>
    <xf numFmtId="177" fontId="37" fillId="0" borderId="0" xfId="740" applyNumberFormat="1" applyFont="1" applyFill="1" applyBorder="1" applyAlignment="1">
      <alignment horizontal="right"/>
    </xf>
    <xf numFmtId="177" fontId="37" fillId="0" borderId="0" xfId="740" applyNumberFormat="1" applyFont="1" applyFill="1" applyAlignment="1"/>
    <xf numFmtId="177" fontId="37" fillId="0" borderId="0" xfId="740" quotePrefix="1" applyNumberFormat="1" applyFont="1" applyFill="1" applyAlignment="1">
      <alignment horizontal="left"/>
    </xf>
    <xf numFmtId="177" fontId="37" fillId="0" borderId="0" xfId="740" applyNumberFormat="1" applyFont="1" applyFill="1" applyBorder="1" applyAlignment="1"/>
    <xf numFmtId="177" fontId="37" fillId="0" borderId="0" xfId="740" applyNumberFormat="1" applyFont="1" applyFill="1" applyBorder="1" applyAlignment="1">
      <alignment horizontal="center"/>
    </xf>
    <xf numFmtId="177" fontId="97" fillId="0" borderId="0" xfId="740" applyNumberFormat="1" applyFont="1" applyFill="1"/>
    <xf numFmtId="0" fontId="97" fillId="0" borderId="0" xfId="740" applyFont="1" applyFill="1"/>
    <xf numFmtId="181" fontId="37" fillId="0" borderId="0" xfId="740" applyNumberFormat="1" applyFont="1" applyFill="1" applyBorder="1" applyAlignment="1"/>
    <xf numFmtId="181" fontId="37" fillId="0" borderId="0" xfId="740" applyNumberFormat="1" applyFont="1" applyFill="1" applyAlignment="1"/>
    <xf numFmtId="0" fontId="37" fillId="0" borderId="0" xfId="740" quotePrefix="1" applyNumberFormat="1" applyFont="1" applyFill="1" applyAlignment="1">
      <alignment horizontal="left"/>
    </xf>
    <xf numFmtId="182" fontId="37" fillId="0" borderId="0" xfId="741" applyNumberFormat="1" applyFont="1" applyFill="1" applyBorder="1" applyAlignment="1"/>
    <xf numFmtId="0" fontId="44" fillId="0" borderId="0" xfId="2" quotePrefix="1" applyNumberFormat="1" applyFont="1" applyBorder="1" applyAlignment="1">
      <alignment horizontal="center"/>
    </xf>
    <xf numFmtId="0" fontId="44" fillId="0" borderId="0" xfId="2" applyNumberFormat="1" applyFont="1" applyAlignment="1">
      <alignment horizontal="center"/>
    </xf>
    <xf numFmtId="17" fontId="44" fillId="0" borderId="0" xfId="2" quotePrefix="1" applyNumberFormat="1" applyFont="1" applyAlignment="1">
      <alignment horizontal="center"/>
    </xf>
    <xf numFmtId="15" fontId="44" fillId="0" borderId="0" xfId="2" quotePrefix="1" applyNumberFormat="1" applyFont="1" applyAlignment="1">
      <alignment horizontal="center"/>
    </xf>
    <xf numFmtId="0" fontId="44" fillId="0" borderId="0" xfId="2" applyNumberFormat="1" applyFont="1" applyFill="1" applyAlignment="1">
      <alignment horizontal="center"/>
    </xf>
    <xf numFmtId="0" fontId="44" fillId="0" borderId="0" xfId="2" quotePrefix="1" applyNumberFormat="1" applyFont="1" applyFill="1" applyAlignment="1">
      <alignment horizontal="center"/>
    </xf>
    <xf numFmtId="165" fontId="44" fillId="0" borderId="0" xfId="2" applyNumberFormat="1" applyFont="1" applyFill="1" applyAlignment="1"/>
    <xf numFmtId="17" fontId="44" fillId="0" borderId="0" xfId="2" applyNumberFormat="1" applyFont="1" applyFill="1" applyAlignment="1">
      <alignment horizontal="center"/>
    </xf>
    <xf numFmtId="15" fontId="44" fillId="0" borderId="0" xfId="2" applyNumberFormat="1" applyFont="1" applyFill="1" applyAlignment="1">
      <alignment horizontal="center"/>
    </xf>
    <xf numFmtId="166" fontId="58" fillId="0" borderId="0" xfId="2" applyNumberFormat="1" applyFont="1" applyAlignment="1">
      <alignment horizontal="center"/>
    </xf>
    <xf numFmtId="0" fontId="44" fillId="0" borderId="0" xfId="2" quotePrefix="1" applyNumberFormat="1" applyFont="1" applyAlignment="1">
      <alignment horizontal="center"/>
    </xf>
    <xf numFmtId="165" fontId="44" fillId="0" borderId="0" xfId="2" quotePrefix="1" applyNumberFormat="1" applyFont="1" applyAlignment="1">
      <alignment horizontal="center"/>
    </xf>
    <xf numFmtId="166" fontId="44" fillId="0" borderId="0" xfId="2" applyNumberFormat="1" applyFont="1" applyBorder="1" applyAlignment="1">
      <alignment horizontal="center"/>
    </xf>
    <xf numFmtId="165" fontId="44" fillId="0" borderId="0" xfId="2" applyNumberFormat="1" applyFont="1" applyBorder="1" applyAlignment="1">
      <alignment horizontal="center"/>
    </xf>
    <xf numFmtId="165" fontId="44" fillId="0" borderId="0" xfId="2" applyNumberFormat="1" applyFont="1" applyAlignment="1">
      <alignment horizontal="center"/>
    </xf>
    <xf numFmtId="166" fontId="44" fillId="0" borderId="10" xfId="2" applyNumberFormat="1" applyFont="1" applyBorder="1" applyAlignment="1">
      <alignment horizontal="center"/>
    </xf>
    <xf numFmtId="166" fontId="44" fillId="0" borderId="10" xfId="2" quotePrefix="1" applyNumberFormat="1" applyFont="1" applyBorder="1" applyAlignment="1">
      <alignment horizontal="center"/>
    </xf>
    <xf numFmtId="165" fontId="43" fillId="0" borderId="0" xfId="2" applyNumberFormat="1" applyFont="1" applyAlignment="1"/>
    <xf numFmtId="0" fontId="44" fillId="0" borderId="0" xfId="2" applyNumberFormat="1" applyFont="1" applyBorder="1" applyAlignment="1">
      <alignment horizontal="center"/>
    </xf>
    <xf numFmtId="165" fontId="44" fillId="0" borderId="10" xfId="2" applyNumberFormat="1" applyFont="1" applyBorder="1" applyAlignment="1">
      <alignment horizontal="center"/>
    </xf>
    <xf numFmtId="165" fontId="157" fillId="0" borderId="0" xfId="2" applyNumberFormat="1" applyFont="1" applyAlignment="1"/>
    <xf numFmtId="165" fontId="158" fillId="0" borderId="0" xfId="2" applyNumberFormat="1" applyFont="1" applyAlignment="1"/>
    <xf numFmtId="165" fontId="159" fillId="0" borderId="0" xfId="2" applyNumberFormat="1" applyFont="1" applyAlignment="1">
      <alignment horizontal="centerContinuous"/>
    </xf>
    <xf numFmtId="165" fontId="161" fillId="0" borderId="0" xfId="2" applyNumberFormat="1" applyFont="1" applyAlignment="1"/>
    <xf numFmtId="165" fontId="161" fillId="0" borderId="0" xfId="2" applyNumberFormat="1" applyFont="1" applyBorder="1" applyAlignment="1"/>
    <xf numFmtId="0" fontId="44" fillId="0" borderId="10" xfId="2" applyNumberFormat="1" applyFont="1" applyFill="1" applyBorder="1" applyAlignment="1">
      <alignment horizontal="center"/>
    </xf>
    <xf numFmtId="0" fontId="44" fillId="0" borderId="0" xfId="2" applyNumberFormat="1" applyFont="1" applyFill="1" applyBorder="1" applyAlignment="1">
      <alignment horizontal="center"/>
    </xf>
    <xf numFmtId="0" fontId="160" fillId="0" borderId="0" xfId="2" applyFont="1"/>
    <xf numFmtId="166" fontId="80" fillId="0" borderId="0" xfId="2" applyNumberFormat="1" applyFont="1" applyAlignment="1"/>
    <xf numFmtId="166" fontId="79" fillId="0" borderId="0" xfId="2" applyNumberFormat="1" applyFont="1" applyAlignment="1">
      <alignment horizontal="center"/>
    </xf>
    <xf numFmtId="164" fontId="44" fillId="0" borderId="0" xfId="0" applyFont="1" applyAlignment="1">
      <alignment horizontal="center"/>
    </xf>
    <xf numFmtId="0" fontId="66" fillId="0" borderId="0" xfId="0" applyNumberFormat="1" applyFont="1" applyAlignment="1">
      <alignment horizontal="center"/>
    </xf>
    <xf numFmtId="164" fontId="66" fillId="0" borderId="0" xfId="0" applyFont="1" applyAlignment="1">
      <alignment horizontal="center"/>
    </xf>
    <xf numFmtId="0" fontId="66" fillId="0" borderId="0" xfId="2" quotePrefix="1" applyNumberFormat="1" applyFont="1" applyAlignment="1">
      <alignment horizontal="center"/>
    </xf>
    <xf numFmtId="0" fontId="66" fillId="0" borderId="0" xfId="2" applyNumberFormat="1" applyFont="1" applyBorder="1" applyAlignment="1"/>
    <xf numFmtId="0" fontId="66" fillId="0" borderId="0" xfId="2" applyNumberFormat="1" applyFont="1" applyAlignment="1">
      <alignment horizontal="center"/>
    </xf>
    <xf numFmtId="0" fontId="43" fillId="0" borderId="0" xfId="860" applyNumberFormat="1" applyFont="1" applyAlignment="1">
      <alignment horizontal="right"/>
    </xf>
    <xf numFmtId="177" fontId="42" fillId="0" borderId="0" xfId="740" applyNumberFormat="1" applyFont="1" applyFill="1" applyAlignment="1"/>
    <xf numFmtId="39" fontId="43" fillId="0" borderId="0" xfId="0" applyNumberFormat="1" applyFont="1" applyFill="1" applyAlignment="1">
      <alignment horizontal="right"/>
    </xf>
    <xf numFmtId="39" fontId="42" fillId="0" borderId="0" xfId="0" quotePrefix="1" applyNumberFormat="1" applyFont="1" applyFill="1" applyAlignment="1"/>
    <xf numFmtId="0" fontId="37" fillId="0" borderId="0" xfId="0" applyNumberFormat="1" applyFont="1" applyFill="1"/>
    <xf numFmtId="39" fontId="43" fillId="0" borderId="0" xfId="0" applyNumberFormat="1" applyFont="1" applyFill="1"/>
    <xf numFmtId="0" fontId="42" fillId="0" borderId="0" xfId="0" applyNumberFormat="1" applyFont="1" applyFill="1" applyBorder="1" applyAlignment="1"/>
    <xf numFmtId="39" fontId="42" fillId="0" borderId="0" xfId="0" applyNumberFormat="1" applyFont="1" applyFill="1" applyBorder="1"/>
    <xf numFmtId="39" fontId="42" fillId="0" borderId="0" xfId="0" applyNumberFormat="1" applyFont="1" applyFill="1" applyBorder="1" applyAlignment="1">
      <alignment horizontal="center"/>
    </xf>
    <xf numFmtId="39" fontId="42" fillId="0" borderId="0" xfId="0" applyNumberFormat="1" applyFont="1" applyFill="1" applyBorder="1" applyAlignment="1">
      <alignment horizontal="right"/>
    </xf>
    <xf numFmtId="39" fontId="42" fillId="0" borderId="0" xfId="0" quotePrefix="1" applyNumberFormat="1" applyFont="1" applyFill="1" applyBorder="1" applyAlignment="1">
      <alignment horizontal="center"/>
    </xf>
    <xf numFmtId="39" fontId="43" fillId="0" borderId="0" xfId="0" applyNumberFormat="1" applyFont="1" applyFill="1" applyBorder="1" applyAlignment="1">
      <alignment horizontal="center" vertical="top"/>
    </xf>
    <xf numFmtId="164" fontId="42" fillId="0" borderId="0" xfId="2" applyNumberFormat="1" applyFont="1" applyAlignment="1"/>
    <xf numFmtId="164" fontId="38" fillId="0" borderId="0" xfId="2" applyNumberFormat="1" applyFont="1" applyAlignment="1">
      <alignment horizontal="right"/>
    </xf>
    <xf numFmtId="164" fontId="40" fillId="0" borderId="0" xfId="2" applyNumberFormat="1" applyFont="1" applyAlignment="1"/>
    <xf numFmtId="164" fontId="44" fillId="0" borderId="0" xfId="2" applyNumberFormat="1" applyFont="1" applyAlignment="1">
      <alignment horizontal="center"/>
    </xf>
    <xf numFmtId="164" fontId="44" fillId="0" borderId="10" xfId="2" applyNumberFormat="1" applyFont="1" applyBorder="1" applyAlignment="1">
      <alignment horizontal="center"/>
    </xf>
    <xf numFmtId="180" fontId="37" fillId="0" borderId="0" xfId="740" applyNumberFormat="1" applyFont="1" applyFill="1" applyAlignment="1">
      <alignment horizontal="center"/>
    </xf>
    <xf numFmtId="43" fontId="37" fillId="0" borderId="0" xfId="0" applyNumberFormat="1" applyFont="1" applyFill="1" applyBorder="1" applyAlignment="1" applyProtection="1"/>
    <xf numFmtId="42" fontId="37" fillId="0" borderId="0" xfId="0" applyNumberFormat="1" applyFont="1" applyBorder="1" applyAlignment="1"/>
    <xf numFmtId="42" fontId="37" fillId="0" borderId="0" xfId="0" applyNumberFormat="1" applyFont="1" applyBorder="1" applyAlignment="1" applyProtection="1">
      <protection locked="0"/>
    </xf>
    <xf numFmtId="41" fontId="37" fillId="0" borderId="0" xfId="0" quotePrefix="1" applyNumberFormat="1" applyFont="1" applyBorder="1" applyAlignment="1">
      <alignment horizontal="right"/>
    </xf>
    <xf numFmtId="41" fontId="37" fillId="0" borderId="0" xfId="0" applyNumberFormat="1" applyFont="1" applyBorder="1" applyAlignment="1"/>
    <xf numFmtId="41" fontId="37" fillId="0" borderId="0" xfId="0" applyNumberFormat="1" applyFont="1" applyBorder="1" applyAlignment="1" applyProtection="1">
      <protection locked="0"/>
    </xf>
    <xf numFmtId="41" fontId="37" fillId="0" borderId="0" xfId="0" quotePrefix="1" applyNumberFormat="1" applyFont="1" applyBorder="1" applyAlignment="1">
      <alignment horizontal="center"/>
    </xf>
    <xf numFmtId="41" fontId="37" fillId="0" borderId="0" xfId="0" quotePrefix="1" applyNumberFormat="1" applyFont="1" applyBorder="1" applyAlignment="1"/>
    <xf numFmtId="41" fontId="37" fillId="0" borderId="0" xfId="0" applyNumberFormat="1" applyFont="1" applyBorder="1" applyAlignment="1">
      <alignment horizontal="center"/>
    </xf>
    <xf numFmtId="41" fontId="37" fillId="0" borderId="0" xfId="0" applyNumberFormat="1" applyFont="1" applyBorder="1" applyAlignment="1">
      <alignment horizontal="right"/>
    </xf>
    <xf numFmtId="41" fontId="37" fillId="0" borderId="0" xfId="0" applyNumberFormat="1" applyFont="1" applyBorder="1" applyAlignment="1" applyProtection="1">
      <alignment horizontal="right"/>
      <protection locked="0"/>
    </xf>
    <xf numFmtId="174" fontId="44" fillId="0" borderId="48" xfId="2" applyNumberFormat="1" applyFont="1" applyFill="1" applyBorder="1" applyAlignment="1">
      <alignment horizontal="right"/>
    </xf>
    <xf numFmtId="174" fontId="44" fillId="0" borderId="72" xfId="2" applyNumberFormat="1" applyFont="1" applyFill="1" applyBorder="1" applyAlignment="1"/>
    <xf numFmtId="0" fontId="66" fillId="0" borderId="0" xfId="836" quotePrefix="1" applyNumberFormat="1" applyFont="1" applyFill="1" applyAlignment="1"/>
    <xf numFmtId="43" fontId="42" fillId="0" borderId="0" xfId="0" applyNumberFormat="1" applyFont="1" applyFill="1"/>
    <xf numFmtId="43" fontId="42" fillId="0" borderId="0" xfId="0" applyNumberFormat="1" applyFont="1" applyFill="1" applyAlignment="1"/>
    <xf numFmtId="190" fontId="162" fillId="0" borderId="0" xfId="11" applyNumberFormat="1" applyFont="1" applyAlignment="1">
      <alignment horizontal="right"/>
    </xf>
    <xf numFmtId="0" fontId="37" fillId="0" borderId="0" xfId="17" applyNumberFormat="1" applyFont="1" applyAlignment="1"/>
    <xf numFmtId="43" fontId="37" fillId="0" borderId="0" xfId="1028" applyNumberFormat="1" applyFont="1" applyBorder="1" applyAlignment="1" applyProtection="1">
      <alignment horizontal="right"/>
    </xf>
    <xf numFmtId="164" fontId="37" fillId="0" borderId="0" xfId="0" applyFont="1" applyProtection="1"/>
    <xf numFmtId="4" fontId="44" fillId="0" borderId="0" xfId="1028" applyNumberFormat="1" applyFont="1" applyBorder="1" applyAlignment="1" applyProtection="1">
      <alignment horizontal="left"/>
    </xf>
    <xf numFmtId="164" fontId="97" fillId="0" borderId="0" xfId="1028" applyNumberFormat="1" applyFont="1" applyBorder="1" applyAlignment="1" applyProtection="1"/>
    <xf numFmtId="4" fontId="101" fillId="0" borderId="0" xfId="0" applyNumberFormat="1" applyFont="1" applyBorder="1" applyAlignment="1" applyProtection="1">
      <alignment horizontal="left"/>
    </xf>
    <xf numFmtId="37" fontId="101" fillId="0" borderId="0" xfId="0" applyNumberFormat="1" applyFont="1" applyBorder="1" applyAlignment="1" applyProtection="1">
      <alignment horizontal="right"/>
    </xf>
    <xf numFmtId="164" fontId="97" fillId="0" borderId="0" xfId="0" applyNumberFormat="1" applyFont="1" applyBorder="1" applyAlignment="1" applyProtection="1"/>
    <xf numFmtId="166" fontId="37" fillId="0" borderId="0" xfId="2" applyNumberFormat="1" applyFont="1" applyAlignment="1"/>
    <xf numFmtId="165" fontId="67" fillId="0" borderId="0" xfId="840" applyNumberFormat="1" applyFont="1" applyAlignment="1">
      <alignment horizontal="left"/>
    </xf>
    <xf numFmtId="0" fontId="67" fillId="0" borderId="0" xfId="840" applyNumberFormat="1" applyFont="1" applyAlignment="1">
      <alignment horizontal="left"/>
    </xf>
    <xf numFmtId="0" fontId="44" fillId="0" borderId="0" xfId="840" applyNumberFormat="1" applyFont="1" applyAlignment="1">
      <alignment horizontal="left"/>
    </xf>
    <xf numFmtId="0" fontId="37" fillId="0" borderId="0" xfId="840" applyNumberFormat="1" applyFont="1" applyFill="1" applyAlignment="1">
      <alignment horizontal="left"/>
    </xf>
    <xf numFmtId="0" fontId="37" fillId="0" borderId="0" xfId="2" applyNumberFormat="1" applyFont="1" applyAlignment="1">
      <alignment horizontal="left"/>
    </xf>
    <xf numFmtId="0" fontId="66" fillId="0" borderId="0" xfId="2" applyNumberFormat="1" applyFont="1" applyFill="1" applyAlignment="1" applyProtection="1">
      <alignment horizontal="left"/>
      <protection locked="0"/>
    </xf>
    <xf numFmtId="37" fontId="66" fillId="0" borderId="0" xfId="2" applyNumberFormat="1" applyFont="1" applyFill="1" applyAlignment="1">
      <alignment horizontal="center"/>
    </xf>
    <xf numFmtId="37" fontId="66" fillId="0" borderId="0" xfId="2" quotePrefix="1" applyNumberFormat="1" applyFont="1" applyFill="1" applyAlignment="1">
      <alignment horizontal="center"/>
    </xf>
    <xf numFmtId="165" fontId="37" fillId="0" borderId="0" xfId="2" applyNumberFormat="1" applyFont="1" applyAlignment="1" applyProtection="1">
      <protection locked="0"/>
    </xf>
    <xf numFmtId="165" fontId="37" fillId="0" borderId="0" xfId="2" applyNumberFormat="1" applyFont="1" applyFill="1" applyAlignment="1" applyProtection="1">
      <protection locked="0"/>
    </xf>
    <xf numFmtId="165" fontId="37" fillId="0" borderId="0" xfId="2" applyNumberFormat="1" applyFont="1" applyProtection="1">
      <protection locked="0"/>
    </xf>
    <xf numFmtId="165" fontId="37" fillId="0" borderId="0" xfId="17" applyNumberFormat="1" applyFont="1" applyAlignment="1" applyProtection="1">
      <protection locked="0"/>
    </xf>
    <xf numFmtId="0" fontId="44" fillId="0" borderId="0" xfId="17" applyNumberFormat="1" applyFont="1" applyAlignment="1"/>
    <xf numFmtId="170" fontId="44" fillId="0" borderId="66" xfId="2" applyNumberFormat="1" applyFont="1" applyBorder="1" applyAlignment="1"/>
    <xf numFmtId="0" fontId="52" fillId="0" borderId="0" xfId="2" applyNumberFormat="1" applyFont="1" applyAlignment="1">
      <alignment horizontal="right"/>
    </xf>
    <xf numFmtId="0" fontId="61" fillId="0" borderId="0" xfId="2" applyNumberFormat="1" applyFont="1" applyBorder="1" applyAlignment="1"/>
    <xf numFmtId="0" fontId="66" fillId="0" borderId="0" xfId="2" quotePrefix="1" applyNumberFormat="1" applyFont="1" applyBorder="1" applyAlignment="1" applyProtection="1">
      <alignment horizontal="right"/>
      <protection locked="0"/>
    </xf>
    <xf numFmtId="0" fontId="153" fillId="0" borderId="0" xfId="2" applyNumberFormat="1" applyFont="1" applyAlignment="1"/>
    <xf numFmtId="0" fontId="66" fillId="0" borderId="10" xfId="2" applyNumberFormat="1" applyFont="1" applyBorder="1" applyAlignment="1">
      <alignment horizontal="center"/>
    </xf>
    <xf numFmtId="0" fontId="66" fillId="0" borderId="10" xfId="2" quotePrefix="1" applyNumberFormat="1" applyFont="1" applyBorder="1" applyAlignment="1">
      <alignment horizontal="center"/>
    </xf>
    <xf numFmtId="174" fontId="66" fillId="0" borderId="24" xfId="2" applyNumberFormat="1" applyFont="1" applyBorder="1" applyAlignment="1" applyProtection="1">
      <protection locked="0"/>
    </xf>
    <xf numFmtId="174" fontId="66" fillId="0" borderId="21" xfId="2" applyNumberFormat="1" applyFont="1" applyBorder="1" applyAlignment="1" applyProtection="1">
      <protection locked="0"/>
    </xf>
    <xf numFmtId="174" fontId="61" fillId="0" borderId="0" xfId="2" applyNumberFormat="1" applyFont="1" applyAlignment="1"/>
    <xf numFmtId="174" fontId="61" fillId="0" borderId="0" xfId="2" applyNumberFormat="1" applyFont="1" applyAlignment="1" applyProtection="1">
      <protection locked="0"/>
    </xf>
    <xf numFmtId="0" fontId="61" fillId="0" borderId="24" xfId="2" applyFont="1" applyBorder="1" applyAlignment="1" applyProtection="1">
      <protection locked="0"/>
    </xf>
    <xf numFmtId="0" fontId="61" fillId="0" borderId="21" xfId="2" applyFont="1" applyBorder="1" applyAlignment="1" applyProtection="1">
      <protection locked="0"/>
    </xf>
    <xf numFmtId="0" fontId="61" fillId="0" borderId="0" xfId="2" applyFont="1" applyAlignment="1" applyProtection="1">
      <protection locked="0"/>
    </xf>
    <xf numFmtId="0" fontId="61" fillId="0" borderId="0" xfId="2" quotePrefix="1" applyNumberFormat="1" applyFont="1" applyAlignment="1">
      <alignment horizontal="left"/>
    </xf>
    <xf numFmtId="170" fontId="61" fillId="0" borderId="0" xfId="2" applyNumberFormat="1" applyFont="1" applyBorder="1" applyAlignment="1" applyProtection="1">
      <protection locked="0"/>
    </xf>
    <xf numFmtId="170" fontId="61" fillId="0" borderId="0" xfId="2" applyNumberFormat="1" applyFont="1" applyAlignment="1" applyProtection="1">
      <protection locked="0"/>
    </xf>
    <xf numFmtId="170" fontId="61" fillId="0" borderId="24" xfId="2" applyNumberFormat="1" applyFont="1" applyBorder="1" applyAlignment="1" applyProtection="1">
      <protection locked="0"/>
    </xf>
    <xf numFmtId="170" fontId="61" fillId="0" borderId="21" xfId="2" applyNumberFormat="1" applyFont="1" applyBorder="1" applyAlignment="1" applyProtection="1">
      <protection locked="0"/>
    </xf>
    <xf numFmtId="170" fontId="66" fillId="0" borderId="20" xfId="2" applyNumberFormat="1" applyFont="1" applyBorder="1" applyAlignment="1">
      <alignment horizontal="right"/>
    </xf>
    <xf numFmtId="170" fontId="66" fillId="0" borderId="0" xfId="2" applyNumberFormat="1" applyFont="1" applyBorder="1" applyAlignment="1">
      <alignment horizontal="right"/>
    </xf>
    <xf numFmtId="170" fontId="66" fillId="0" borderId="0" xfId="2" applyNumberFormat="1" applyFont="1" applyAlignment="1" applyProtection="1">
      <protection locked="0"/>
    </xf>
    <xf numFmtId="170" fontId="66" fillId="0" borderId="24" xfId="2" applyNumberFormat="1" applyFont="1" applyBorder="1" applyAlignment="1" applyProtection="1">
      <protection locked="0"/>
    </xf>
    <xf numFmtId="170" fontId="66" fillId="0" borderId="21" xfId="2" applyNumberFormat="1" applyFont="1" applyBorder="1" applyAlignment="1" applyProtection="1">
      <protection locked="0"/>
    </xf>
    <xf numFmtId="170" fontId="61" fillId="0" borderId="20" xfId="2" applyNumberFormat="1" applyFont="1" applyBorder="1" applyAlignment="1" applyProtection="1">
      <protection locked="0"/>
    </xf>
    <xf numFmtId="170" fontId="61" fillId="0" borderId="0" xfId="2" quotePrefix="1" applyNumberFormat="1" applyFont="1" applyBorder="1" applyAlignment="1">
      <alignment horizontal="right"/>
    </xf>
    <xf numFmtId="170" fontId="66" fillId="0" borderId="0" xfId="2" quotePrefix="1" applyNumberFormat="1" applyFont="1" applyAlignment="1">
      <alignment horizontal="right"/>
    </xf>
    <xf numFmtId="170" fontId="66" fillId="0" borderId="10" xfId="2" quotePrefix="1" applyNumberFormat="1" applyFont="1" applyBorder="1" applyAlignment="1"/>
    <xf numFmtId="170" fontId="66" fillId="0" borderId="10" xfId="2" quotePrefix="1" applyNumberFormat="1" applyFont="1" applyBorder="1" applyAlignment="1">
      <alignment horizontal="right"/>
    </xf>
    <xf numFmtId="170" fontId="66" fillId="0" borderId="20" xfId="2" applyNumberFormat="1" applyFont="1" applyBorder="1" applyAlignment="1">
      <alignment horizontal="center"/>
    </xf>
    <xf numFmtId="170" fontId="66" fillId="0" borderId="0" xfId="2" applyNumberFormat="1" applyFont="1" applyAlignment="1" applyProtection="1">
      <alignment horizontal="right"/>
      <protection locked="0"/>
    </xf>
    <xf numFmtId="170" fontId="66" fillId="0" borderId="0" xfId="2" quotePrefix="1" applyNumberFormat="1" applyFont="1" applyBorder="1" applyAlignment="1">
      <alignment horizontal="right"/>
    </xf>
    <xf numFmtId="174" fontId="66" fillId="0" borderId="20" xfId="2" applyNumberFormat="1" applyFont="1" applyBorder="1" applyAlignment="1"/>
    <xf numFmtId="174" fontId="66" fillId="0" borderId="0" xfId="2" applyNumberFormat="1" applyFont="1" applyAlignment="1" applyProtection="1">
      <protection locked="0"/>
    </xf>
    <xf numFmtId="166" fontId="61" fillId="0" borderId="36" xfId="2" applyNumberFormat="1" applyFont="1" applyBorder="1" applyAlignment="1"/>
    <xf numFmtId="166" fontId="61" fillId="0" borderId="0" xfId="2" applyNumberFormat="1" applyFont="1" applyAlignment="1"/>
    <xf numFmtId="166" fontId="61" fillId="0" borderId="0" xfId="2" applyNumberFormat="1" applyFont="1" applyBorder="1" applyAlignment="1"/>
    <xf numFmtId="170" fontId="66" fillId="0" borderId="0" xfId="2" applyNumberFormat="1" applyFont="1" applyAlignment="1" applyProtection="1">
      <alignment horizontal="right"/>
    </xf>
    <xf numFmtId="170" fontId="66" fillId="0" borderId="0" xfId="2" quotePrefix="1" applyNumberFormat="1" applyFont="1" applyAlignment="1">
      <alignment horizontal="center"/>
    </xf>
    <xf numFmtId="170" fontId="66" fillId="0" borderId="0" xfId="2" applyNumberFormat="1" applyFont="1" applyAlignment="1">
      <alignment horizontal="center"/>
    </xf>
    <xf numFmtId="170" fontId="66" fillId="0" borderId="0" xfId="2" applyNumberFormat="1" applyFont="1" applyBorder="1" applyAlignment="1">
      <alignment horizontal="center"/>
    </xf>
    <xf numFmtId="170" fontId="66" fillId="0" borderId="0" xfId="2" applyNumberFormat="1" applyFont="1" applyAlignment="1" applyProtection="1">
      <alignment horizontal="center"/>
      <protection locked="0"/>
    </xf>
    <xf numFmtId="170" fontId="66" fillId="0" borderId="20" xfId="2" quotePrefix="1" applyNumberFormat="1" applyFont="1" applyBorder="1" applyAlignment="1">
      <alignment horizontal="center"/>
    </xf>
    <xf numFmtId="170" fontId="66" fillId="0" borderId="0" xfId="2" quotePrefix="1" applyNumberFormat="1" applyFont="1" applyBorder="1" applyAlignment="1">
      <alignment horizontal="center"/>
    </xf>
    <xf numFmtId="43" fontId="43" fillId="0" borderId="0" xfId="0" applyNumberFormat="1" applyFont="1" applyFill="1"/>
    <xf numFmtId="43" fontId="42" fillId="0" borderId="0" xfId="0" applyNumberFormat="1" applyFont="1" applyFill="1" applyAlignment="1">
      <alignment horizontal="center" vertical="top"/>
    </xf>
    <xf numFmtId="43" fontId="42" fillId="0" borderId="0" xfId="0" applyNumberFormat="1" applyFont="1" applyFill="1" applyBorder="1" applyAlignment="1">
      <alignment horizontal="center"/>
    </xf>
    <xf numFmtId="43" fontId="43" fillId="0" borderId="0" xfId="0" applyNumberFormat="1" applyFont="1" applyFill="1" applyBorder="1" applyAlignment="1">
      <alignment horizontal="center" vertical="top"/>
    </xf>
    <xf numFmtId="43" fontId="42" fillId="0" borderId="0" xfId="0" applyNumberFormat="1" applyFont="1" applyFill="1" applyBorder="1"/>
    <xf numFmtId="0" fontId="0" fillId="0" borderId="0" xfId="17" applyNumberFormat="1" applyFont="1" applyBorder="1"/>
    <xf numFmtId="0" fontId="102" fillId="0" borderId="0" xfId="17" applyNumberFormat="1" applyFont="1" applyBorder="1"/>
    <xf numFmtId="0" fontId="107" fillId="0" borderId="0" xfId="17" applyNumberFormat="1" applyFont="1" applyBorder="1" applyAlignment="1" applyProtection="1">
      <protection locked="0"/>
    </xf>
    <xf numFmtId="0" fontId="107" fillId="0" borderId="0" xfId="17" applyNumberFormat="1" applyFont="1" applyBorder="1" applyAlignment="1"/>
    <xf numFmtId="0" fontId="107" fillId="0" borderId="0" xfId="17" applyNumberFormat="1" applyFont="1" applyBorder="1" applyAlignment="1">
      <alignment horizontal="center"/>
    </xf>
    <xf numFmtId="0" fontId="37" fillId="0" borderId="0" xfId="17" applyNumberFormat="1" applyFont="1" applyBorder="1" applyAlignment="1" applyProtection="1"/>
    <xf numFmtId="0" fontId="43" fillId="0" borderId="0" xfId="8" applyFont="1" applyAlignment="1">
      <alignment horizontal="right"/>
    </xf>
    <xf numFmtId="193" fontId="43" fillId="0" borderId="0" xfId="8" quotePrefix="1" applyNumberFormat="1" applyFont="1" applyAlignment="1">
      <alignment horizontal="right"/>
    </xf>
    <xf numFmtId="170" fontId="44" fillId="0" borderId="40" xfId="0" applyNumberFormat="1" applyFont="1" applyBorder="1" applyAlignment="1"/>
    <xf numFmtId="165" fontId="42" fillId="0" borderId="0" xfId="2" applyNumberFormat="1" applyFont="1" applyFill="1" applyAlignment="1"/>
    <xf numFmtId="165" fontId="37" fillId="0" borderId="0" xfId="2" applyNumberFormat="1" applyFont="1" applyFill="1" applyAlignment="1"/>
    <xf numFmtId="165" fontId="37" fillId="0" borderId="0" xfId="2" applyNumberFormat="1" applyFont="1" applyFill="1" applyAlignment="1">
      <alignment horizontal="centerContinuous"/>
    </xf>
    <xf numFmtId="0" fontId="75" fillId="0" borderId="0" xfId="2" applyNumberFormat="1" applyFont="1" applyFill="1" applyAlignment="1">
      <alignment horizontal="left"/>
    </xf>
    <xf numFmtId="166" fontId="37" fillId="0" borderId="0" xfId="2" applyNumberFormat="1" applyFont="1" applyFill="1" applyAlignment="1"/>
    <xf numFmtId="0" fontId="37" fillId="0" borderId="0" xfId="2" applyNumberFormat="1" applyFont="1" applyFill="1" applyAlignment="1">
      <alignment horizontal="left"/>
    </xf>
    <xf numFmtId="174" fontId="37" fillId="0" borderId="0" xfId="2" applyNumberFormat="1" applyFont="1" applyFill="1" applyAlignment="1">
      <alignment horizontal="right"/>
    </xf>
    <xf numFmtId="174" fontId="37" fillId="0" borderId="0" xfId="2" applyNumberFormat="1" applyFont="1" applyFill="1" applyAlignment="1"/>
    <xf numFmtId="170" fontId="37" fillId="0" borderId="0" xfId="2" applyNumberFormat="1" applyFont="1" applyFill="1" applyAlignment="1"/>
    <xf numFmtId="170" fontId="37" fillId="0" borderId="0" xfId="2" applyNumberFormat="1" applyFont="1" applyAlignment="1">
      <alignment horizontal="center"/>
    </xf>
    <xf numFmtId="170" fontId="39" fillId="0" borderId="66" xfId="2" applyNumberFormat="1" applyFont="1" applyBorder="1"/>
    <xf numFmtId="177" fontId="66" fillId="0" borderId="66" xfId="836" applyNumberFormat="1" applyFont="1" applyFill="1" applyBorder="1" applyAlignment="1">
      <alignment horizontal="right"/>
    </xf>
    <xf numFmtId="170" fontId="79" fillId="0" borderId="66" xfId="2" applyNumberFormat="1" applyFont="1" applyBorder="1" applyAlignment="1">
      <alignment horizontal="right"/>
    </xf>
    <xf numFmtId="164" fontId="44" fillId="0" borderId="66" xfId="2" applyNumberFormat="1" applyFont="1" applyBorder="1"/>
    <xf numFmtId="174" fontId="79" fillId="0" borderId="17" xfId="2" applyNumberFormat="1" applyFont="1" applyBorder="1" applyAlignment="1"/>
    <xf numFmtId="180" fontId="0" fillId="0" borderId="0" xfId="17" applyNumberFormat="1" applyFont="1"/>
    <xf numFmtId="164" fontId="39" fillId="0" borderId="66" xfId="0" applyNumberFormat="1" applyFont="1" applyBorder="1" applyAlignment="1" applyProtection="1">
      <protection locked="0"/>
    </xf>
    <xf numFmtId="166" fontId="44" fillId="0" borderId="10" xfId="0" quotePrefix="1" applyNumberFormat="1" applyFont="1" applyBorder="1" applyAlignment="1" applyProtection="1">
      <alignment horizontal="center"/>
    </xf>
    <xf numFmtId="17" fontId="44" fillId="0" borderId="66" xfId="2" quotePrefix="1" applyNumberFormat="1" applyFont="1" applyFill="1" applyBorder="1" applyAlignment="1">
      <alignment horizontal="center"/>
    </xf>
    <xf numFmtId="179" fontId="66" fillId="0" borderId="0" xfId="836" quotePrefix="1" applyNumberFormat="1" applyFont="1" applyFill="1" applyAlignment="1">
      <alignment horizontal="center"/>
    </xf>
    <xf numFmtId="0" fontId="165" fillId="0" borderId="0" xfId="2" applyFont="1"/>
    <xf numFmtId="0" fontId="79" fillId="0" borderId="0" xfId="2" quotePrefix="1" applyNumberFormat="1" applyFont="1" applyAlignment="1">
      <alignment horizontal="center"/>
    </xf>
    <xf numFmtId="0" fontId="44" fillId="0" borderId="0" xfId="840" quotePrefix="1" applyNumberFormat="1" applyFont="1" applyAlignment="1">
      <alignment horizontal="center"/>
    </xf>
    <xf numFmtId="164" fontId="37" fillId="0" borderId="0" xfId="0" applyNumberFormat="1" applyFont="1" applyBorder="1" applyAlignment="1" applyProtection="1">
      <protection locked="0"/>
    </xf>
    <xf numFmtId="0" fontId="167" fillId="0" borderId="0" xfId="0" applyNumberFormat="1" applyFont="1"/>
    <xf numFmtId="41" fontId="167" fillId="0" borderId="0" xfId="0" applyNumberFormat="1" applyFont="1" applyFill="1"/>
    <xf numFmtId="0" fontId="167" fillId="0" borderId="0" xfId="0" applyNumberFormat="1" applyFont="1" applyFill="1"/>
    <xf numFmtId="0" fontId="167" fillId="0" borderId="0" xfId="0" applyNumberFormat="1" applyFont="1" applyBorder="1" applyAlignment="1"/>
    <xf numFmtId="0" fontId="167" fillId="0" borderId="0" xfId="0" applyNumberFormat="1" applyFont="1" applyFill="1" applyAlignment="1"/>
    <xf numFmtId="0" fontId="167" fillId="0" borderId="0" xfId="0" applyNumberFormat="1" applyFont="1" applyBorder="1"/>
    <xf numFmtId="0" fontId="167" fillId="0" borderId="0" xfId="0" applyNumberFormat="1" applyFont="1" applyAlignment="1"/>
    <xf numFmtId="0" fontId="42" fillId="0" borderId="0" xfId="0" applyNumberFormat="1" applyFont="1"/>
    <xf numFmtId="0" fontId="42" fillId="0" borderId="0" xfId="0" applyNumberFormat="1" applyFont="1" applyFill="1" applyAlignment="1">
      <alignment horizontal="left" vertical="top" wrapText="1"/>
    </xf>
    <xf numFmtId="165" fontId="37" fillId="0" borderId="0" xfId="2" applyNumberFormat="1" applyFont="1" applyAlignment="1"/>
    <xf numFmtId="0" fontId="44" fillId="0" borderId="0" xfId="2" applyNumberFormat="1" applyFont="1" applyAlignment="1">
      <alignment horizontal="right"/>
    </xf>
    <xf numFmtId="170" fontId="44" fillId="0" borderId="0" xfId="2" applyNumberFormat="1" applyFont="1" applyAlignment="1"/>
    <xf numFmtId="165" fontId="37" fillId="34" borderId="0" xfId="5458" applyNumberFormat="1" applyFont="1" applyFill="1" applyAlignment="1" applyProtection="1">
      <protection locked="0"/>
    </xf>
    <xf numFmtId="37" fontId="37" fillId="0" borderId="0" xfId="2" applyNumberFormat="1" applyFont="1" applyBorder="1" applyAlignment="1"/>
    <xf numFmtId="37" fontId="37" fillId="0" borderId="0" xfId="2" applyNumberFormat="1" applyFont="1" applyAlignment="1">
      <alignment horizontal="right"/>
    </xf>
    <xf numFmtId="169" fontId="37" fillId="0" borderId="0" xfId="2" applyNumberFormat="1" applyFont="1" applyAlignment="1"/>
    <xf numFmtId="37" fontId="37" fillId="0" borderId="0" xfId="2" quotePrefix="1" applyNumberFormat="1" applyFont="1" applyAlignment="1">
      <alignment horizontal="center"/>
    </xf>
    <xf numFmtId="170" fontId="37" fillId="0" borderId="66" xfId="2" applyNumberFormat="1" applyFont="1" applyBorder="1" applyAlignment="1">
      <alignment horizontal="right"/>
    </xf>
    <xf numFmtId="170" fontId="37" fillId="0" borderId="66" xfId="2" applyNumberFormat="1" applyFont="1" applyBorder="1" applyAlignment="1"/>
    <xf numFmtId="166" fontId="37" fillId="0" borderId="0" xfId="2" applyNumberFormat="1" applyFont="1" applyBorder="1" applyAlignment="1">
      <alignment horizontal="right"/>
    </xf>
    <xf numFmtId="0" fontId="37" fillId="0" borderId="0" xfId="2" applyFont="1"/>
    <xf numFmtId="170" fontId="37" fillId="0" borderId="0" xfId="2" applyNumberFormat="1" applyFont="1"/>
    <xf numFmtId="166" fontId="37" fillId="0" borderId="0" xfId="2" applyNumberFormat="1" applyFont="1" applyBorder="1"/>
    <xf numFmtId="3" fontId="37" fillId="0" borderId="0" xfId="2" applyNumberFormat="1" applyFont="1" applyAlignment="1"/>
    <xf numFmtId="37" fontId="37" fillId="0" borderId="0" xfId="2" applyNumberFormat="1" applyFont="1"/>
    <xf numFmtId="0" fontId="37" fillId="0" borderId="0" xfId="5458" applyNumberFormat="1" applyFont="1" applyFill="1" applyAlignment="1">
      <alignment horizontal="left"/>
    </xf>
    <xf numFmtId="165" fontId="37" fillId="0" borderId="0" xfId="5458" applyNumberFormat="1" applyFont="1" applyAlignment="1" applyProtection="1">
      <protection locked="0"/>
    </xf>
    <xf numFmtId="37" fontId="44" fillId="0" borderId="73" xfId="2" applyNumberFormat="1" applyFont="1" applyBorder="1" applyAlignment="1">
      <alignment horizontal="center"/>
    </xf>
    <xf numFmtId="37" fontId="42" fillId="0" borderId="73" xfId="2" applyNumberFormat="1" applyFont="1" applyBorder="1" applyAlignment="1"/>
    <xf numFmtId="37" fontId="37" fillId="0" borderId="73" xfId="2" applyNumberFormat="1" applyFont="1" applyBorder="1" applyAlignment="1"/>
    <xf numFmtId="174" fontId="37" fillId="0" borderId="0" xfId="2" quotePrefix="1" applyNumberFormat="1" applyFont="1" applyAlignment="1">
      <alignment horizontal="right"/>
    </xf>
    <xf numFmtId="170" fontId="37" fillId="0" borderId="0" xfId="1773" applyNumberFormat="1" applyFont="1" applyAlignment="1"/>
    <xf numFmtId="170" fontId="37" fillId="0" borderId="0" xfId="2" applyNumberFormat="1" applyFont="1" applyBorder="1" applyAlignment="1"/>
    <xf numFmtId="170" fontId="37" fillId="0" borderId="0" xfId="2" applyNumberFormat="1" applyFont="1" applyBorder="1" applyAlignment="1">
      <alignment horizontal="right"/>
    </xf>
    <xf numFmtId="37" fontId="37" fillId="0" borderId="0" xfId="2" applyNumberFormat="1" applyFont="1" applyBorder="1" applyAlignment="1">
      <alignment horizontal="right"/>
    </xf>
    <xf numFmtId="170" fontId="37" fillId="0" borderId="0" xfId="2" quotePrefix="1" applyNumberFormat="1" applyFont="1" applyBorder="1" applyAlignment="1">
      <alignment horizontal="center"/>
    </xf>
    <xf numFmtId="37" fontId="37" fillId="0" borderId="0" xfId="2" quotePrefix="1" applyNumberFormat="1" applyFont="1" applyBorder="1" applyAlignment="1">
      <alignment horizontal="center"/>
    </xf>
    <xf numFmtId="37" fontId="37" fillId="0" borderId="0" xfId="2" applyNumberFormat="1" applyFont="1" applyBorder="1" applyAlignment="1">
      <alignment horizontal="center"/>
    </xf>
    <xf numFmtId="174" fontId="37" fillId="0" borderId="0" xfId="2" applyNumberFormat="1" applyFont="1"/>
    <xf numFmtId="0" fontId="37" fillId="0" borderId="0" xfId="2" applyFont="1" applyAlignment="1">
      <alignment horizontal="left"/>
    </xf>
    <xf numFmtId="37" fontId="37" fillId="0" borderId="0" xfId="2" applyNumberFormat="1" applyFont="1" applyFill="1"/>
    <xf numFmtId="174" fontId="37" fillId="0" borderId="73" xfId="2" applyNumberFormat="1" applyFont="1" applyBorder="1" applyAlignment="1"/>
    <xf numFmtId="174" fontId="37" fillId="0" borderId="0" xfId="2" quotePrefix="1" applyNumberFormat="1" applyFont="1" applyAlignment="1"/>
    <xf numFmtId="170" fontId="37" fillId="0" borderId="73" xfId="2" applyNumberFormat="1" applyFont="1" applyBorder="1" applyAlignment="1"/>
    <xf numFmtId="170" fontId="37" fillId="0" borderId="73" xfId="2" applyNumberFormat="1" applyFont="1" applyBorder="1" applyAlignment="1">
      <alignment horizontal="center"/>
    </xf>
    <xf numFmtId="170" fontId="44" fillId="0" borderId="73" xfId="2" applyNumberFormat="1" applyFont="1" applyBorder="1" applyAlignment="1"/>
    <xf numFmtId="174" fontId="44" fillId="0" borderId="73" xfId="2" applyNumberFormat="1" applyFont="1" applyBorder="1" applyAlignment="1"/>
    <xf numFmtId="166" fontId="37" fillId="0" borderId="0" xfId="2" applyNumberFormat="1" applyFont="1"/>
    <xf numFmtId="37" fontId="37" fillId="0" borderId="0" xfId="2" applyNumberFormat="1" applyFont="1" applyAlignment="1">
      <alignment horizontal="center"/>
    </xf>
    <xf numFmtId="166" fontId="59" fillId="0" borderId="28" xfId="2" applyNumberFormat="1" applyFont="1" applyBorder="1" applyAlignment="1"/>
    <xf numFmtId="170" fontId="59" fillId="0" borderId="28" xfId="2" applyNumberFormat="1" applyFont="1" applyBorder="1" applyAlignment="1"/>
    <xf numFmtId="0" fontId="44" fillId="0" borderId="0" xfId="2" applyNumberFormat="1" applyFont="1" applyAlignment="1">
      <alignment horizontal="right"/>
    </xf>
    <xf numFmtId="0" fontId="44" fillId="0" borderId="0" xfId="2" applyNumberFormat="1" applyFont="1" applyAlignment="1">
      <alignment horizontal="left"/>
    </xf>
    <xf numFmtId="37" fontId="133" fillId="0" borderId="0" xfId="2" applyNumberFormat="1" applyFont="1" applyFill="1" applyBorder="1" applyAlignment="1"/>
    <xf numFmtId="37" fontId="131" fillId="0" borderId="0" xfId="2" applyNumberFormat="1" applyFont="1" applyFill="1" applyBorder="1" applyAlignment="1"/>
    <xf numFmtId="37" fontId="44" fillId="0" borderId="0" xfId="2" applyNumberFormat="1" applyFont="1" applyFill="1" applyBorder="1" applyAlignment="1"/>
    <xf numFmtId="37" fontId="44" fillId="0" borderId="0" xfId="2" applyNumberFormat="1" applyFont="1" applyFill="1" applyBorder="1" applyAlignment="1">
      <alignment horizontal="center"/>
    </xf>
    <xf numFmtId="37" fontId="134" fillId="0" borderId="0" xfId="2" applyNumberFormat="1" applyFont="1" applyBorder="1" applyAlignment="1">
      <alignment horizontal="centerContinuous"/>
    </xf>
    <xf numFmtId="174" fontId="37" fillId="0" borderId="0" xfId="2" applyNumberFormat="1" applyFont="1" applyBorder="1" applyAlignment="1">
      <alignment horizontal="right"/>
    </xf>
    <xf numFmtId="174" fontId="37" fillId="0" borderId="0" xfId="2" quotePrefix="1" applyNumberFormat="1" applyFont="1" applyBorder="1" applyAlignment="1">
      <alignment horizontal="right"/>
    </xf>
    <xf numFmtId="174" fontId="37" fillId="0" borderId="0" xfId="2" applyNumberFormat="1" applyFont="1" applyBorder="1" applyAlignment="1"/>
    <xf numFmtId="170" fontId="37" fillId="0" borderId="0" xfId="1773" applyNumberFormat="1" applyFont="1" applyBorder="1" applyAlignment="1"/>
    <xf numFmtId="170" fontId="37" fillId="0" borderId="0" xfId="1773" quotePrefix="1" applyNumberFormat="1" applyFont="1" applyBorder="1" applyAlignment="1">
      <alignment horizontal="right"/>
    </xf>
    <xf numFmtId="170" fontId="37" fillId="0" borderId="0" xfId="2" quotePrefix="1" applyNumberFormat="1" applyFont="1" applyBorder="1" applyAlignment="1">
      <alignment horizontal="right"/>
    </xf>
    <xf numFmtId="174" fontId="44" fillId="0" borderId="0" xfId="2" applyNumberFormat="1" applyFont="1" applyBorder="1" applyAlignment="1">
      <alignment horizontal="right"/>
    </xf>
    <xf numFmtId="174" fontId="37" fillId="0" borderId="0" xfId="2" applyNumberFormat="1" applyFont="1" applyBorder="1"/>
    <xf numFmtId="170" fontId="39" fillId="0" borderId="75" xfId="2" applyNumberFormat="1" applyFont="1" applyBorder="1" applyAlignment="1">
      <alignment horizontal="center"/>
    </xf>
    <xf numFmtId="0" fontId="44" fillId="0" borderId="0" xfId="2" applyNumberFormat="1" applyFont="1" applyAlignment="1">
      <alignment horizontal="left"/>
    </xf>
    <xf numFmtId="0" fontId="44" fillId="0" borderId="0" xfId="2" applyNumberFormat="1" applyFont="1" applyFill="1" applyAlignment="1">
      <alignment horizontal="right"/>
    </xf>
    <xf numFmtId="37" fontId="131" fillId="0" borderId="0" xfId="2" applyNumberFormat="1" applyFont="1" applyBorder="1" applyAlignment="1"/>
    <xf numFmtId="37" fontId="44" fillId="0" borderId="75" xfId="2" applyNumberFormat="1" applyFont="1" applyBorder="1" applyAlignment="1">
      <alignment horizontal="center"/>
    </xf>
    <xf numFmtId="170" fontId="44" fillId="0" borderId="0" xfId="2" quotePrefix="1" applyNumberFormat="1" applyFont="1" applyBorder="1" applyAlignment="1"/>
    <xf numFmtId="166" fontId="65" fillId="0" borderId="0" xfId="2" applyNumberFormat="1" applyFont="1" applyBorder="1" applyAlignment="1"/>
    <xf numFmtId="0" fontId="39" fillId="0" borderId="15" xfId="2" applyNumberFormat="1" applyFont="1" applyBorder="1" applyAlignment="1"/>
    <xf numFmtId="0" fontId="44" fillId="0" borderId="15" xfId="2" applyNumberFormat="1" applyFont="1" applyBorder="1" applyAlignment="1">
      <alignment horizontal="center"/>
    </xf>
    <xf numFmtId="0" fontId="44" fillId="0" borderId="15" xfId="2" quotePrefix="1" applyNumberFormat="1" applyFont="1" applyBorder="1" applyAlignment="1">
      <alignment horizontal="center"/>
    </xf>
    <xf numFmtId="0" fontId="39" fillId="0" borderId="15" xfId="2" applyFont="1" applyBorder="1" applyAlignment="1"/>
    <xf numFmtId="170" fontId="44" fillId="0" borderId="15" xfId="2" quotePrefix="1" applyNumberFormat="1" applyFont="1" applyBorder="1" applyAlignment="1"/>
    <xf numFmtId="170" fontId="44" fillId="0" borderId="15" xfId="2" applyNumberFormat="1" applyFont="1" applyBorder="1" applyAlignment="1">
      <alignment vertical="center"/>
    </xf>
    <xf numFmtId="166" fontId="44" fillId="0" borderId="15" xfId="2" applyNumberFormat="1" applyFont="1" applyFill="1" applyBorder="1" applyAlignment="1"/>
    <xf numFmtId="0" fontId="44" fillId="0" borderId="15" xfId="2" applyFont="1" applyFill="1" applyBorder="1" applyAlignment="1"/>
    <xf numFmtId="165" fontId="37" fillId="0" borderId="0" xfId="2" applyNumberFormat="1" applyFont="1" applyFill="1" applyBorder="1" applyAlignment="1"/>
    <xf numFmtId="0" fontId="37" fillId="0" borderId="0" xfId="2" applyFont="1" applyFill="1"/>
    <xf numFmtId="0" fontId="37" fillId="0" borderId="0" xfId="2" applyNumberFormat="1" applyFont="1" applyFill="1" applyAlignment="1"/>
    <xf numFmtId="165" fontId="37" fillId="0" borderId="0" xfId="2" applyNumberFormat="1" applyFont="1" applyFill="1" applyBorder="1" applyAlignment="1" applyProtection="1">
      <protection locked="0"/>
    </xf>
    <xf numFmtId="0" fontId="37" fillId="0" borderId="0" xfId="2" applyNumberFormat="1" applyFont="1" applyFill="1" applyBorder="1" applyAlignment="1"/>
    <xf numFmtId="0" fontId="37" fillId="0" borderId="0" xfId="2" applyNumberFormat="1" applyFont="1" applyFill="1" applyAlignment="1">
      <alignment horizontal="centerContinuous"/>
    </xf>
    <xf numFmtId="165" fontId="37" fillId="0" borderId="0" xfId="2" applyNumberFormat="1" applyFont="1" applyFill="1" applyBorder="1" applyAlignment="1" applyProtection="1">
      <alignment horizontal="center"/>
      <protection locked="0"/>
    </xf>
    <xf numFmtId="0" fontId="37" fillId="0" borderId="20" xfId="2" applyNumberFormat="1" applyFont="1" applyFill="1" applyBorder="1" applyAlignment="1"/>
    <xf numFmtId="165" fontId="37" fillId="0" borderId="20" xfId="2" applyNumberFormat="1" applyFont="1" applyFill="1" applyBorder="1" applyAlignment="1"/>
    <xf numFmtId="165" fontId="37" fillId="0" borderId="15" xfId="2" applyNumberFormat="1" applyFont="1" applyFill="1" applyBorder="1" applyAlignment="1" applyProtection="1">
      <protection locked="0"/>
    </xf>
    <xf numFmtId="165" fontId="37" fillId="0" borderId="0" xfId="2" applyNumberFormat="1" applyFont="1" applyBorder="1" applyAlignment="1" applyProtection="1">
      <protection locked="0"/>
    </xf>
    <xf numFmtId="165" fontId="37" fillId="0" borderId="37" xfId="2" applyNumberFormat="1" applyFont="1" applyFill="1" applyBorder="1" applyAlignment="1"/>
    <xf numFmtId="0" fontId="37" fillId="0" borderId="23" xfId="2" applyNumberFormat="1" applyFont="1" applyFill="1" applyBorder="1" applyAlignment="1"/>
    <xf numFmtId="0" fontId="37" fillId="0" borderId="37" xfId="2" applyNumberFormat="1" applyFont="1" applyFill="1" applyBorder="1" applyAlignment="1"/>
    <xf numFmtId="0" fontId="37" fillId="0" borderId="15" xfId="2" applyNumberFormat="1" applyFont="1" applyFill="1" applyBorder="1" applyAlignment="1"/>
    <xf numFmtId="0" fontId="37" fillId="0" borderId="0" xfId="2" applyFont="1" applyFill="1" applyAlignment="1"/>
    <xf numFmtId="0" fontId="37" fillId="0" borderId="0" xfId="2" applyFont="1" applyFill="1" applyBorder="1" applyAlignment="1"/>
    <xf numFmtId="0" fontId="37" fillId="0" borderId="13" xfId="2" applyFont="1" applyFill="1" applyBorder="1" applyAlignment="1"/>
    <xf numFmtId="0" fontId="37" fillId="0" borderId="28" xfId="2" applyFont="1" applyFill="1" applyBorder="1" applyAlignment="1"/>
    <xf numFmtId="0" fontId="37" fillId="0" borderId="15" xfId="2" applyFont="1" applyFill="1" applyBorder="1" applyAlignment="1"/>
    <xf numFmtId="174" fontId="37" fillId="0" borderId="0" xfId="2" quotePrefix="1" applyNumberFormat="1" applyFont="1" applyFill="1" applyAlignment="1">
      <alignment horizontal="right"/>
    </xf>
    <xf numFmtId="174" fontId="37" fillId="0" borderId="10" xfId="2" applyNumberFormat="1" applyFont="1" applyFill="1" applyBorder="1" applyAlignment="1"/>
    <xf numFmtId="174" fontId="37" fillId="0" borderId="13" xfId="2" applyNumberFormat="1" applyFont="1" applyFill="1" applyBorder="1" applyAlignment="1">
      <alignment horizontal="right"/>
    </xf>
    <xf numFmtId="174" fontId="37" fillId="0" borderId="0" xfId="2" applyNumberFormat="1" applyFont="1" applyFill="1" applyBorder="1" applyAlignment="1"/>
    <xf numFmtId="174" fontId="37" fillId="0" borderId="28" xfId="2" applyNumberFormat="1" applyFont="1" applyFill="1" applyBorder="1" applyAlignment="1">
      <alignment horizontal="right"/>
    </xf>
    <xf numFmtId="169" fontId="37" fillId="0" borderId="0" xfId="2" applyNumberFormat="1" applyFont="1" applyFill="1" applyAlignment="1"/>
    <xf numFmtId="169" fontId="37" fillId="0" borderId="15" xfId="2" applyNumberFormat="1" applyFont="1" applyFill="1" applyBorder="1" applyAlignment="1"/>
    <xf numFmtId="169" fontId="37" fillId="0" borderId="0" xfId="2" applyNumberFormat="1" applyFont="1" applyFill="1" applyBorder="1" applyAlignment="1"/>
    <xf numFmtId="168" fontId="37" fillId="0" borderId="0" xfId="2" applyNumberFormat="1" applyFont="1" applyFill="1" applyAlignment="1" applyProtection="1">
      <protection locked="0"/>
    </xf>
    <xf numFmtId="168" fontId="37" fillId="0" borderId="0" xfId="2" applyNumberFormat="1" applyFont="1" applyFill="1" applyAlignment="1"/>
    <xf numFmtId="166" fontId="37" fillId="0" borderId="15" xfId="2" applyNumberFormat="1" applyFont="1" applyFill="1" applyBorder="1" applyAlignment="1"/>
    <xf numFmtId="170" fontId="37" fillId="0" borderId="38" xfId="2" applyNumberFormat="1" applyFont="1" applyFill="1" applyBorder="1" applyAlignment="1"/>
    <xf numFmtId="170" fontId="37" fillId="0" borderId="0" xfId="2" applyNumberFormat="1" applyFont="1" applyFill="1" applyBorder="1" applyAlignment="1"/>
    <xf numFmtId="170" fontId="37" fillId="0" borderId="28" xfId="2" applyNumberFormat="1" applyFont="1" applyFill="1" applyBorder="1" applyAlignment="1"/>
    <xf numFmtId="170" fontId="37" fillId="0" borderId="13" xfId="2" applyNumberFormat="1" applyFont="1" applyFill="1" applyBorder="1" applyAlignment="1"/>
    <xf numFmtId="170" fontId="37" fillId="0" borderId="0" xfId="2" quotePrefix="1" applyNumberFormat="1" applyFont="1" applyFill="1" applyBorder="1" applyAlignment="1">
      <alignment horizontal="center"/>
    </xf>
    <xf numFmtId="170" fontId="37" fillId="0" borderId="13" xfId="2" quotePrefix="1" applyNumberFormat="1" applyFont="1" applyFill="1" applyBorder="1" applyAlignment="1">
      <alignment horizontal="right"/>
    </xf>
    <xf numFmtId="170" fontId="37" fillId="0" borderId="28" xfId="2" applyNumberFormat="1" applyFont="1" applyFill="1" applyBorder="1" applyAlignment="1">
      <alignment horizontal="right"/>
    </xf>
    <xf numFmtId="170" fontId="37" fillId="0" borderId="13" xfId="2" applyNumberFormat="1" applyFont="1" applyFill="1" applyBorder="1" applyAlignment="1">
      <alignment horizontal="right"/>
    </xf>
    <xf numFmtId="170" fontId="37" fillId="0" borderId="0" xfId="2" applyNumberFormat="1" applyFont="1" applyFill="1" applyBorder="1" applyAlignment="1">
      <alignment horizontal="right"/>
    </xf>
    <xf numFmtId="170" fontId="37" fillId="0" borderId="0" xfId="2" quotePrefix="1" applyNumberFormat="1" applyFont="1" applyFill="1" applyBorder="1" applyAlignment="1">
      <alignment horizontal="right"/>
    </xf>
    <xf numFmtId="170" fontId="37" fillId="0" borderId="12" xfId="2" quotePrefix="1" applyNumberFormat="1" applyFont="1" applyFill="1" applyBorder="1" applyAlignment="1"/>
    <xf numFmtId="170" fontId="37" fillId="0" borderId="71" xfId="2" applyNumberFormat="1" applyFont="1" applyFill="1" applyBorder="1" applyAlignment="1">
      <alignment horizontal="right"/>
    </xf>
    <xf numFmtId="170" fontId="37" fillId="0" borderId="13" xfId="2" quotePrefix="1" applyNumberFormat="1" applyFont="1" applyFill="1" applyBorder="1" applyAlignment="1">
      <alignment horizontal="center"/>
    </xf>
    <xf numFmtId="170" fontId="37" fillId="0" borderId="28" xfId="2" quotePrefix="1" applyNumberFormat="1" applyFont="1" applyFill="1" applyBorder="1" applyAlignment="1">
      <alignment horizontal="right"/>
    </xf>
    <xf numFmtId="0" fontId="37" fillId="0" borderId="15" xfId="2" quotePrefix="1" applyFont="1" applyFill="1" applyBorder="1" applyAlignment="1"/>
    <xf numFmtId="170" fontId="37" fillId="0" borderId="10" xfId="2" quotePrefix="1" applyNumberFormat="1" applyFont="1" applyFill="1" applyBorder="1" applyAlignment="1">
      <alignment horizontal="center"/>
    </xf>
    <xf numFmtId="170" fontId="37" fillId="0" borderId="71" xfId="2" quotePrefix="1" applyNumberFormat="1" applyFont="1" applyFill="1" applyBorder="1" applyAlignment="1">
      <alignment horizontal="right"/>
    </xf>
    <xf numFmtId="0" fontId="37" fillId="0" borderId="15" xfId="2" quotePrefix="1" applyFont="1" applyFill="1" applyBorder="1" applyAlignment="1">
      <alignment horizontal="center"/>
    </xf>
    <xf numFmtId="0" fontId="37" fillId="0" borderId="15" xfId="2" quotePrefix="1" applyFont="1" applyFill="1" applyBorder="1" applyAlignment="1">
      <alignment horizontal="right"/>
    </xf>
    <xf numFmtId="170" fontId="37" fillId="0" borderId="20" xfId="2" applyNumberFormat="1" applyFont="1" applyFill="1" applyBorder="1" applyAlignment="1"/>
    <xf numFmtId="170" fontId="37" fillId="0" borderId="37" xfId="2" applyNumberFormat="1" applyFont="1" applyFill="1" applyBorder="1" applyAlignment="1"/>
    <xf numFmtId="170" fontId="37" fillId="0" borderId="0" xfId="2" applyNumberFormat="1" applyFont="1" applyFill="1" applyAlignment="1">
      <alignment horizontal="center"/>
    </xf>
    <xf numFmtId="165" fontId="44" fillId="0" borderId="0" xfId="2" applyNumberFormat="1" applyFont="1" applyFill="1" applyAlignment="1" applyProtection="1">
      <protection locked="0"/>
    </xf>
    <xf numFmtId="169" fontId="37" fillId="0" borderId="36" xfId="2" applyNumberFormat="1" applyFont="1" applyFill="1" applyBorder="1" applyAlignment="1"/>
    <xf numFmtId="168" fontId="37" fillId="0" borderId="0" xfId="2" applyNumberFormat="1" applyFont="1" applyFill="1" applyBorder="1" applyAlignment="1" applyProtection="1">
      <protection locked="0"/>
    </xf>
    <xf numFmtId="170" fontId="37" fillId="0" borderId="0" xfId="2" applyNumberFormat="1" applyFont="1" applyFill="1" applyAlignment="1" applyProtection="1">
      <protection locked="0"/>
    </xf>
    <xf numFmtId="170" fontId="44" fillId="0" borderId="16" xfId="2" applyNumberFormat="1" applyFont="1" applyFill="1" applyBorder="1" applyAlignment="1" applyProtection="1">
      <protection locked="0"/>
    </xf>
    <xf numFmtId="164" fontId="44" fillId="0" borderId="16" xfId="2" applyNumberFormat="1" applyFont="1" applyBorder="1" applyAlignment="1" applyProtection="1">
      <protection locked="0"/>
    </xf>
    <xf numFmtId="0" fontId="37" fillId="0" borderId="0" xfId="2" quotePrefix="1" applyNumberFormat="1" applyFont="1" applyAlignment="1">
      <alignment horizontal="left"/>
    </xf>
    <xf numFmtId="0" fontId="39" fillId="0" borderId="75" xfId="4" applyFont="1" applyFill="1" applyBorder="1"/>
    <xf numFmtId="166" fontId="39" fillId="0" borderId="75" xfId="4" applyNumberFormat="1" applyFont="1" applyFill="1" applyBorder="1"/>
    <xf numFmtId="170" fontId="44" fillId="0" borderId="16" xfId="5" applyNumberFormat="1" applyFont="1" applyFill="1" applyBorder="1"/>
    <xf numFmtId="170" fontId="44" fillId="0" borderId="0" xfId="4" applyNumberFormat="1" applyFont="1" applyFill="1" applyBorder="1"/>
    <xf numFmtId="170" fontId="44" fillId="0" borderId="0" xfId="5" applyNumberFormat="1" applyFont="1" applyFill="1" applyBorder="1"/>
    <xf numFmtId="0" fontId="44" fillId="0" borderId="66" xfId="2" applyNumberFormat="1" applyFont="1" applyBorder="1" applyAlignment="1">
      <alignment horizontal="center"/>
    </xf>
    <xf numFmtId="165" fontId="39" fillId="0" borderId="0" xfId="2" applyNumberFormat="1" applyFont="1" applyBorder="1"/>
    <xf numFmtId="165" fontId="39" fillId="0" borderId="28" xfId="2" applyNumberFormat="1" applyFont="1" applyBorder="1" applyAlignment="1"/>
    <xf numFmtId="165" fontId="42" fillId="0" borderId="0" xfId="2" applyNumberFormat="1" applyFont="1" applyBorder="1"/>
    <xf numFmtId="165" fontId="43" fillId="0" borderId="0" xfId="2" applyNumberFormat="1" applyFont="1" applyBorder="1" applyAlignment="1"/>
    <xf numFmtId="165" fontId="42" fillId="0" borderId="0" xfId="2" applyNumberFormat="1" applyFont="1" applyBorder="1" applyAlignment="1"/>
    <xf numFmtId="165" fontId="44" fillId="0" borderId="66" xfId="2" applyNumberFormat="1" applyFont="1" applyBorder="1" applyAlignment="1">
      <alignment horizontal="center"/>
    </xf>
    <xf numFmtId="166" fontId="39" fillId="0" borderId="75" xfId="2" applyNumberFormat="1" applyFont="1" applyBorder="1" applyAlignment="1"/>
    <xf numFmtId="170" fontId="44" fillId="0" borderId="0" xfId="2" quotePrefix="1" applyNumberFormat="1" applyFont="1" applyAlignment="1"/>
    <xf numFmtId="166" fontId="44" fillId="0" borderId="0" xfId="2" applyNumberFormat="1" applyFont="1" applyBorder="1"/>
    <xf numFmtId="164" fontId="44" fillId="0" borderId="45" xfId="2" applyNumberFormat="1" applyFont="1" applyBorder="1"/>
    <xf numFmtId="0" fontId="47" fillId="0" borderId="0" xfId="2" applyNumberFormat="1" applyFont="1" applyAlignment="1"/>
    <xf numFmtId="170" fontId="84" fillId="0" borderId="0" xfId="2" applyNumberFormat="1" applyFont="1" applyAlignment="1"/>
    <xf numFmtId="0" fontId="40" fillId="0" borderId="0" xfId="2" applyNumberFormat="1" applyFont="1" applyFill="1" applyAlignment="1"/>
    <xf numFmtId="166" fontId="39" fillId="0" borderId="21" xfId="2" applyNumberFormat="1" applyFont="1" applyFill="1" applyBorder="1" applyAlignment="1"/>
    <xf numFmtId="170" fontId="39" fillId="0" borderId="18" xfId="2" applyNumberFormat="1" applyFont="1" applyFill="1" applyBorder="1" applyAlignment="1"/>
    <xf numFmtId="170" fontId="39" fillId="0" borderId="47" xfId="2" applyNumberFormat="1" applyFont="1" applyFill="1" applyBorder="1" applyAlignment="1"/>
    <xf numFmtId="170" fontId="44" fillId="0" borderId="45" xfId="2" applyNumberFormat="1" applyFont="1" applyFill="1" applyBorder="1" applyAlignment="1">
      <alignment horizontal="right"/>
    </xf>
    <xf numFmtId="166" fontId="59" fillId="0" borderId="0" xfId="2" applyNumberFormat="1" applyFont="1" applyBorder="1" applyAlignment="1"/>
    <xf numFmtId="165" fontId="37" fillId="0" borderId="0" xfId="0" applyNumberFormat="1" applyFont="1" applyAlignment="1">
      <alignment horizontal="left"/>
    </xf>
    <xf numFmtId="165" fontId="0" fillId="0" borderId="0" xfId="2" applyNumberFormat="1" applyFont="1" applyFill="1" applyAlignment="1"/>
    <xf numFmtId="0" fontId="44" fillId="0" borderId="0" xfId="2" applyFont="1" applyFill="1" applyAlignment="1"/>
    <xf numFmtId="164" fontId="44" fillId="0" borderId="45" xfId="2" applyNumberFormat="1" applyFont="1" applyBorder="1" applyAlignment="1" applyProtection="1">
      <protection locked="0"/>
    </xf>
    <xf numFmtId="170" fontId="39" fillId="0" borderId="0" xfId="2" quotePrefix="1" applyNumberFormat="1" applyFont="1" applyFill="1" applyAlignment="1"/>
    <xf numFmtId="170" fontId="39" fillId="0" borderId="13" xfId="2" applyNumberFormat="1" applyFont="1" applyFill="1" applyBorder="1" applyAlignment="1"/>
    <xf numFmtId="170" fontId="44"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9" fillId="0" borderId="75" xfId="2" applyNumberFormat="1" applyFont="1" applyFill="1" applyBorder="1" applyAlignment="1"/>
    <xf numFmtId="170" fontId="44" fillId="0" borderId="13" xfId="2" applyNumberFormat="1" applyFont="1" applyFill="1" applyBorder="1" applyAlignment="1"/>
    <xf numFmtId="170" fontId="42" fillId="0" borderId="0" xfId="2" applyNumberFormat="1" applyFont="1" applyFill="1" applyAlignment="1"/>
    <xf numFmtId="165" fontId="65" fillId="0" borderId="0" xfId="2" applyNumberFormat="1" applyFont="1" applyFill="1" applyAlignment="1"/>
    <xf numFmtId="165" fontId="39" fillId="0" borderId="0" xfId="2" applyNumberFormat="1" applyFont="1" applyFill="1" applyBorder="1" applyAlignment="1"/>
    <xf numFmtId="0" fontId="0" fillId="0" borderId="0" xfId="2" applyFont="1" applyFill="1"/>
    <xf numFmtId="165" fontId="88" fillId="0" borderId="0" xfId="2" applyNumberFormat="1" applyFont="1" applyFill="1" applyAlignment="1"/>
    <xf numFmtId="165" fontId="89" fillId="0" borderId="0" xfId="2" applyNumberFormat="1" applyFont="1" applyFill="1" applyAlignment="1"/>
    <xf numFmtId="165" fontId="87" fillId="0" borderId="0" xfId="2" applyNumberFormat="1" applyFont="1" applyFill="1" applyAlignment="1"/>
    <xf numFmtId="165" fontId="161" fillId="0" borderId="0" xfId="2" applyNumberFormat="1" applyFont="1" applyFill="1" applyAlignment="1"/>
    <xf numFmtId="170" fontId="44" fillId="0" borderId="0" xfId="2" quotePrefix="1" applyNumberFormat="1" applyFont="1" applyFill="1" applyAlignment="1"/>
    <xf numFmtId="170" fontId="44" fillId="0" borderId="40" xfId="2" applyNumberFormat="1" applyFont="1" applyFill="1" applyBorder="1" applyAlignment="1"/>
    <xf numFmtId="0" fontId="80" fillId="0" borderId="0" xfId="2" applyNumberFormat="1" applyFont="1" applyFill="1" applyAlignment="1"/>
    <xf numFmtId="165" fontId="87" fillId="0" borderId="0" xfId="2" applyNumberFormat="1" applyFont="1" applyFill="1" applyAlignment="1">
      <alignment horizontal="centerContinuous"/>
    </xf>
    <xf numFmtId="165" fontId="161" fillId="0" borderId="0" xfId="2" applyNumberFormat="1" applyFont="1" applyFill="1" applyBorder="1" applyAlignment="1"/>
    <xf numFmtId="165" fontId="44" fillId="0" borderId="0" xfId="2" applyNumberFormat="1" applyFont="1" applyFill="1" applyAlignment="1">
      <alignment horizontal="center"/>
    </xf>
    <xf numFmtId="165" fontId="44" fillId="0" borderId="10" xfId="2" applyNumberFormat="1" applyFont="1" applyFill="1" applyBorder="1" applyAlignment="1">
      <alignment horizontal="center"/>
    </xf>
    <xf numFmtId="0" fontId="0" fillId="0" borderId="0" xfId="2" applyFont="1" applyFill="1" applyBorder="1"/>
    <xf numFmtId="166" fontId="0" fillId="0" borderId="0" xfId="2" applyNumberFormat="1" applyFont="1" applyFill="1"/>
    <xf numFmtId="170" fontId="44" fillId="0" borderId="15" xfId="2" applyNumberFormat="1" applyFont="1" applyFill="1" applyBorder="1" applyAlignment="1"/>
    <xf numFmtId="170" fontId="44" fillId="0" borderId="0" xfId="2" applyNumberFormat="1" applyFont="1" applyFill="1" applyAlignment="1">
      <alignment horizontal="right"/>
    </xf>
    <xf numFmtId="170" fontId="39" fillId="0" borderId="75" xfId="2" applyNumberFormat="1" applyFont="1" applyFill="1" applyBorder="1" applyAlignment="1">
      <alignment horizontal="center"/>
    </xf>
    <xf numFmtId="170" fontId="44" fillId="0" borderId="66" xfId="2" applyNumberFormat="1" applyFont="1" applyFill="1" applyBorder="1" applyAlignment="1"/>
    <xf numFmtId="170" fontId="44" fillId="0" borderId="15" xfId="2" applyNumberFormat="1" applyFont="1" applyFill="1" applyBorder="1" applyAlignment="1">
      <alignment horizontal="center"/>
    </xf>
    <xf numFmtId="170" fontId="44" fillId="0" borderId="15" xfId="2" applyNumberFormat="1" applyFont="1" applyFill="1" applyBorder="1"/>
    <xf numFmtId="165" fontId="92" fillId="0" borderId="0" xfId="2" applyNumberFormat="1" applyFont="1" applyFill="1" applyAlignment="1"/>
    <xf numFmtId="170" fontId="44" fillId="0" borderId="0" xfId="2" quotePrefix="1" applyNumberFormat="1" applyFont="1" applyFill="1" applyAlignment="1">
      <alignment horizontal="center"/>
    </xf>
    <xf numFmtId="170" fontId="0" fillId="0" borderId="10" xfId="2" applyNumberFormat="1" applyFont="1" applyFill="1" applyBorder="1"/>
    <xf numFmtId="170" fontId="39" fillId="0" borderId="0" xfId="1" applyNumberFormat="1" applyFont="1" applyFill="1" applyAlignment="1">
      <alignment horizontal="center"/>
    </xf>
    <xf numFmtId="170" fontId="37" fillId="0" borderId="0" xfId="1" applyNumberFormat="1" applyFont="1" applyFill="1" applyAlignment="1">
      <alignment horizontal="center"/>
    </xf>
    <xf numFmtId="170" fontId="39" fillId="0" borderId="66" xfId="1" applyNumberFormat="1" applyFont="1" applyFill="1" applyBorder="1" applyAlignment="1">
      <alignment horizontal="center"/>
    </xf>
    <xf numFmtId="170" fontId="0" fillId="0" borderId="19" xfId="2" applyNumberFormat="1" applyFont="1" applyFill="1" applyBorder="1" applyAlignment="1">
      <alignment horizontal="center"/>
    </xf>
    <xf numFmtId="166" fontId="44" fillId="0" borderId="0" xfId="2" applyNumberFormat="1" applyFont="1" applyFill="1" applyBorder="1" applyAlignment="1"/>
    <xf numFmtId="0" fontId="44" fillId="0" borderId="10" xfId="2" applyNumberFormat="1" applyFont="1" applyBorder="1" applyAlignment="1">
      <alignment horizontal="center"/>
    </xf>
    <xf numFmtId="170" fontId="44" fillId="0" borderId="16" xfId="4" applyNumberFormat="1" applyFont="1" applyFill="1" applyBorder="1"/>
    <xf numFmtId="0" fontId="160" fillId="0" borderId="0" xfId="2" applyFont="1" applyBorder="1"/>
    <xf numFmtId="0" fontId="44" fillId="0" borderId="0" xfId="2" applyNumberFormat="1" applyFont="1" applyAlignment="1">
      <alignment horizontal="left"/>
    </xf>
    <xf numFmtId="170" fontId="37" fillId="0" borderId="0" xfId="2" quotePrefix="1" applyNumberFormat="1" applyFont="1" applyFill="1" applyAlignment="1">
      <alignment horizontal="center"/>
    </xf>
    <xf numFmtId="174" fontId="37" fillId="0" borderId="0" xfId="2" applyNumberFormat="1" applyFont="1" applyFill="1" applyAlignment="1" applyProtection="1">
      <protection locked="0"/>
    </xf>
    <xf numFmtId="0" fontId="168" fillId="0" borderId="0" xfId="2" applyNumberFormat="1" applyFont="1" applyBorder="1" applyAlignment="1"/>
    <xf numFmtId="166" fontId="169" fillId="0" borderId="15" xfId="2" applyNumberFormat="1" applyFont="1" applyBorder="1" applyAlignment="1" applyProtection="1">
      <protection locked="0"/>
    </xf>
    <xf numFmtId="0" fontId="169" fillId="0" borderId="15" xfId="2" applyNumberFormat="1" applyFont="1" applyBorder="1" applyAlignment="1"/>
    <xf numFmtId="166" fontId="169" fillId="0" borderId="15" xfId="2" applyNumberFormat="1" applyFont="1" applyBorder="1" applyAlignment="1" applyProtection="1">
      <alignment horizontal="center"/>
      <protection locked="0"/>
    </xf>
    <xf numFmtId="166" fontId="169" fillId="0" borderId="15" xfId="2" quotePrefix="1" applyNumberFormat="1" applyFont="1" applyBorder="1" applyAlignment="1" applyProtection="1">
      <alignment horizontal="right"/>
      <protection locked="0"/>
    </xf>
    <xf numFmtId="166" fontId="169" fillId="0" borderId="15" xfId="2" applyNumberFormat="1" applyFont="1" applyBorder="1" applyAlignment="1"/>
    <xf numFmtId="166" fontId="168" fillId="0" borderId="15" xfId="2" applyNumberFormat="1" applyFont="1" applyBorder="1" applyAlignment="1"/>
    <xf numFmtId="169" fontId="169" fillId="0" borderId="15" xfId="2" applyNumberFormat="1" applyFont="1" applyBorder="1" applyAlignment="1"/>
    <xf numFmtId="0" fontId="169" fillId="0" borderId="0" xfId="2" applyNumberFormat="1" applyFont="1" applyAlignment="1"/>
    <xf numFmtId="0" fontId="169" fillId="0" borderId="0" xfId="2" applyNumberFormat="1" applyFont="1" applyBorder="1" applyAlignment="1"/>
    <xf numFmtId="165" fontId="169" fillId="0" borderId="0" xfId="2" applyNumberFormat="1" applyFont="1" applyAlignment="1"/>
    <xf numFmtId="166" fontId="169" fillId="0" borderId="0" xfId="2" applyNumberFormat="1" applyFont="1" applyAlignment="1"/>
    <xf numFmtId="165" fontId="168" fillId="0" borderId="0" xfId="2" applyNumberFormat="1" applyFont="1" applyAlignment="1">
      <alignment horizontal="center"/>
    </xf>
    <xf numFmtId="165" fontId="168" fillId="0" borderId="0" xfId="2" quotePrefix="1" applyNumberFormat="1" applyFont="1" applyAlignment="1">
      <alignment horizontal="center"/>
    </xf>
    <xf numFmtId="165" fontId="168" fillId="0" borderId="10" xfId="2" applyNumberFormat="1" applyFont="1" applyBorder="1" applyAlignment="1">
      <alignment horizontal="center"/>
    </xf>
    <xf numFmtId="165" fontId="168" fillId="0" borderId="0" xfId="2" applyNumberFormat="1" applyFont="1" applyBorder="1" applyAlignment="1">
      <alignment horizontal="center"/>
    </xf>
    <xf numFmtId="174" fontId="168" fillId="0" borderId="0" xfId="2" applyNumberFormat="1" applyFont="1" applyBorder="1" applyAlignment="1"/>
    <xf numFmtId="0" fontId="169" fillId="0" borderId="0" xfId="2" applyFont="1" applyBorder="1" applyAlignment="1"/>
    <xf numFmtId="166" fontId="169" fillId="0" borderId="0" xfId="2" applyNumberFormat="1" applyFont="1" applyBorder="1"/>
    <xf numFmtId="170" fontId="169" fillId="0" borderId="0" xfId="2" applyNumberFormat="1" applyFont="1" applyBorder="1" applyAlignment="1"/>
    <xf numFmtId="166" fontId="168" fillId="0" borderId="0" xfId="2" applyNumberFormat="1" applyFont="1" applyBorder="1" applyAlignment="1"/>
    <xf numFmtId="164" fontId="168" fillId="0" borderId="66" xfId="1940" applyNumberFormat="1" applyFont="1" applyBorder="1" applyAlignment="1"/>
    <xf numFmtId="164" fontId="169" fillId="0" borderId="0" xfId="1940" applyNumberFormat="1" applyFont="1" applyBorder="1" applyAlignment="1"/>
    <xf numFmtId="0" fontId="169" fillId="0" borderId="0" xfId="2" applyNumberFormat="1" applyFont="1" applyBorder="1" applyAlignment="1">
      <alignment horizontal="center"/>
    </xf>
    <xf numFmtId="164" fontId="169" fillId="0" borderId="0" xfId="1940" applyNumberFormat="1" applyFont="1" applyAlignment="1"/>
    <xf numFmtId="166" fontId="169" fillId="0" borderId="0" xfId="2" applyNumberFormat="1" applyFont="1" applyBorder="1" applyAlignment="1"/>
    <xf numFmtId="169" fontId="169" fillId="0" borderId="0" xfId="2" applyNumberFormat="1" applyFont="1" applyBorder="1" applyAlignment="1"/>
    <xf numFmtId="0" fontId="168" fillId="0" borderId="0" xfId="2" applyNumberFormat="1" applyFont="1" applyBorder="1" applyAlignment="1">
      <alignment horizontal="center"/>
    </xf>
    <xf numFmtId="164" fontId="168" fillId="0" borderId="17" xfId="1940" applyNumberFormat="1" applyFont="1" applyBorder="1" applyAlignment="1"/>
    <xf numFmtId="0" fontId="169" fillId="0" borderId="15" xfId="2" applyFont="1" applyBorder="1" applyAlignment="1" applyProtection="1">
      <protection locked="0"/>
    </xf>
    <xf numFmtId="0" fontId="168" fillId="0" borderId="0" xfId="2" applyNumberFormat="1" applyFont="1" applyAlignment="1">
      <alignment horizontal="right"/>
    </xf>
    <xf numFmtId="0" fontId="168" fillId="0" borderId="0" xfId="2" quotePrefix="1" applyNumberFormat="1" applyFont="1" applyBorder="1" applyAlignment="1">
      <alignment horizontal="left"/>
    </xf>
    <xf numFmtId="0" fontId="169" fillId="0" borderId="0" xfId="2" applyFont="1" applyAlignment="1"/>
    <xf numFmtId="170" fontId="169" fillId="0" borderId="0" xfId="2" quotePrefix="1" applyNumberFormat="1" applyFont="1" applyBorder="1" applyAlignment="1">
      <alignment horizontal="right"/>
    </xf>
    <xf numFmtId="170" fontId="168" fillId="0" borderId="0" xfId="2" quotePrefix="1" applyNumberFormat="1" applyFont="1" applyAlignment="1">
      <alignment horizontal="right"/>
    </xf>
    <xf numFmtId="170" fontId="169" fillId="0" borderId="0" xfId="2" applyNumberFormat="1" applyFont="1" applyAlignment="1"/>
    <xf numFmtId="170" fontId="169" fillId="0" borderId="0" xfId="2" quotePrefix="1" applyNumberFormat="1" applyFont="1" applyAlignment="1">
      <alignment horizontal="center"/>
    </xf>
    <xf numFmtId="170" fontId="168" fillId="0" borderId="0" xfId="2" quotePrefix="1" applyNumberFormat="1" applyFont="1" applyAlignment="1">
      <alignment horizontal="center"/>
    </xf>
    <xf numFmtId="170" fontId="168" fillId="0" borderId="0" xfId="2" quotePrefix="1" applyNumberFormat="1" applyFont="1" applyBorder="1" applyAlignment="1">
      <alignment horizontal="right"/>
    </xf>
    <xf numFmtId="170" fontId="168" fillId="0" borderId="0" xfId="2" quotePrefix="1" applyNumberFormat="1" applyFont="1" applyBorder="1" applyAlignment="1">
      <alignment horizontal="center"/>
    </xf>
    <xf numFmtId="170" fontId="168" fillId="0" borderId="0" xfId="2" applyNumberFormat="1" applyFont="1" applyAlignment="1">
      <alignment horizontal="right"/>
    </xf>
    <xf numFmtId="170" fontId="168" fillId="0" borderId="70" xfId="2" applyNumberFormat="1" applyFont="1" applyBorder="1" applyAlignment="1"/>
    <xf numFmtId="166" fontId="168" fillId="0" borderId="0" xfId="2" applyNumberFormat="1" applyFont="1" applyBorder="1" applyAlignment="1">
      <alignment horizontal="right"/>
    </xf>
    <xf numFmtId="164" fontId="168" fillId="0" borderId="70" xfId="1940" applyNumberFormat="1" applyFont="1" applyBorder="1" applyAlignment="1"/>
    <xf numFmtId="174" fontId="168" fillId="0" borderId="35" xfId="2" applyNumberFormat="1" applyFont="1" applyBorder="1" applyAlignment="1"/>
    <xf numFmtId="164" fontId="168" fillId="0" borderId="35" xfId="1940" applyNumberFormat="1" applyFont="1" applyBorder="1" applyAlignment="1"/>
    <xf numFmtId="166" fontId="170" fillId="0" borderId="0" xfId="2" applyNumberFormat="1" applyFont="1" applyAlignment="1">
      <alignment horizontal="center"/>
    </xf>
    <xf numFmtId="0" fontId="171" fillId="0" borderId="0" xfId="2" applyNumberFormat="1" applyFont="1" applyAlignment="1">
      <alignment horizontal="right"/>
    </xf>
    <xf numFmtId="0" fontId="39" fillId="33" borderId="10" xfId="2" applyFont="1" applyFill="1" applyBorder="1" applyAlignment="1">
      <alignment horizontal="center"/>
    </xf>
    <xf numFmtId="0" fontId="0" fillId="0" borderId="10" xfId="2" applyFont="1" applyBorder="1"/>
    <xf numFmtId="174" fontId="0" fillId="0" borderId="0" xfId="2" applyNumberFormat="1" applyFont="1"/>
    <xf numFmtId="37" fontId="44" fillId="0" borderId="10" xfId="2" applyNumberFormat="1" applyFont="1" applyBorder="1" applyAlignment="1">
      <alignment horizontal="centerContinuous"/>
    </xf>
    <xf numFmtId="37" fontId="37" fillId="0" borderId="10" xfId="2" applyNumberFormat="1" applyFont="1" applyBorder="1"/>
    <xf numFmtId="0" fontId="37" fillId="33" borderId="10" xfId="2" applyFont="1" applyFill="1" applyBorder="1" applyAlignment="1">
      <alignment horizontal="center"/>
    </xf>
    <xf numFmtId="0" fontId="44" fillId="0" borderId="10" xfId="2" applyFont="1" applyFill="1" applyBorder="1" applyAlignment="1">
      <alignment horizontal="center"/>
    </xf>
    <xf numFmtId="37" fontId="130" fillId="0" borderId="10" xfId="2" applyNumberFormat="1" applyFont="1" applyFill="1" applyBorder="1"/>
    <xf numFmtId="37" fontId="44" fillId="0" borderId="10" xfId="2" applyNumberFormat="1" applyFont="1" applyBorder="1" applyAlignment="1">
      <alignment horizontal="center"/>
    </xf>
    <xf numFmtId="37" fontId="44" fillId="0" borderId="10" xfId="2" applyNumberFormat="1" applyFont="1" applyBorder="1" applyAlignment="1"/>
    <xf numFmtId="37" fontId="132" fillId="0" borderId="0" xfId="2" applyNumberFormat="1" applyFont="1" applyBorder="1"/>
    <xf numFmtId="37" fontId="65" fillId="0" borderId="0" xfId="2" applyNumberFormat="1" applyFont="1" applyBorder="1" applyAlignment="1"/>
    <xf numFmtId="37" fontId="133" fillId="0" borderId="0" xfId="2" applyNumberFormat="1" applyFont="1" applyBorder="1" applyAlignment="1"/>
    <xf numFmtId="37" fontId="66" fillId="0" borderId="0" xfId="2" applyNumberFormat="1" applyFont="1" applyFill="1" applyBorder="1" applyAlignment="1">
      <alignment horizontal="center"/>
    </xf>
    <xf numFmtId="37" fontId="66" fillId="0" borderId="0" xfId="2" quotePrefix="1" applyNumberFormat="1" applyFont="1" applyFill="1" applyBorder="1" applyAlignment="1">
      <alignment horizontal="center"/>
    </xf>
    <xf numFmtId="37" fontId="44" fillId="0" borderId="10" xfId="2" applyNumberFormat="1" applyFont="1" applyBorder="1" applyAlignment="1" applyProtection="1">
      <alignment horizontal="centerContinuous"/>
      <protection locked="0"/>
    </xf>
    <xf numFmtId="0" fontId="37" fillId="0" borderId="10" xfId="2" applyFont="1" applyFill="1" applyBorder="1" applyAlignment="1">
      <alignment horizontal="center"/>
    </xf>
    <xf numFmtId="170" fontId="37" fillId="0" borderId="0" xfId="2" applyNumberFormat="1" applyFont="1" applyBorder="1" applyAlignment="1">
      <alignment horizontal="center"/>
    </xf>
    <xf numFmtId="37" fontId="44" fillId="0" borderId="10" xfId="2" applyNumberFormat="1" applyFont="1" applyFill="1" applyBorder="1" applyAlignment="1">
      <alignment horizontal="centerContinuous"/>
    </xf>
    <xf numFmtId="37" fontId="37" fillId="0" borderId="10" xfId="2" applyNumberFormat="1" applyFont="1" applyFill="1" applyBorder="1"/>
    <xf numFmtId="174" fontId="37" fillId="0" borderId="0" xfId="2" quotePrefix="1" applyNumberFormat="1" applyFont="1" applyBorder="1" applyAlignment="1"/>
    <xf numFmtId="174" fontId="37" fillId="0" borderId="0" xfId="2" quotePrefix="1" applyNumberFormat="1" applyFont="1" applyBorder="1" applyAlignment="1">
      <alignment horizontal="center"/>
    </xf>
    <xf numFmtId="37" fontId="44" fillId="0" borderId="66" xfId="2" applyNumberFormat="1" applyFont="1" applyBorder="1" applyAlignment="1"/>
    <xf numFmtId="37" fontId="44" fillId="0" borderId="66" xfId="2" applyNumberFormat="1" applyFont="1" applyBorder="1" applyAlignment="1">
      <alignment horizontal="centerContinuous"/>
    </xf>
    <xf numFmtId="169" fontId="37" fillId="0" borderId="0" xfId="2" applyNumberFormat="1" applyFont="1" applyBorder="1" applyAlignment="1"/>
    <xf numFmtId="174" fontId="0" fillId="0" borderId="0" xfId="2" applyNumberFormat="1" applyFont="1" applyBorder="1"/>
    <xf numFmtId="0" fontId="44" fillId="0" borderId="10" xfId="2" applyFont="1" applyFill="1" applyBorder="1" applyAlignment="1">
      <alignment horizontal="center"/>
    </xf>
    <xf numFmtId="166" fontId="37" fillId="0" borderId="0" xfId="2" applyNumberFormat="1" applyFont="1" applyAlignment="1">
      <alignment horizontal="left"/>
    </xf>
    <xf numFmtId="0" fontId="37" fillId="0" borderId="0" xfId="2" quotePrefix="1" applyNumberFormat="1" applyFont="1" applyFill="1" applyAlignment="1">
      <alignment horizontal="left"/>
    </xf>
    <xf numFmtId="0" fontId="44" fillId="0" borderId="0" xfId="17" applyNumberFormat="1" applyFont="1" applyAlignment="1" applyProtection="1">
      <alignment horizontal="right"/>
      <protection locked="0"/>
    </xf>
    <xf numFmtId="37" fontId="44" fillId="0" borderId="76" xfId="2" applyNumberFormat="1" applyFont="1" applyBorder="1" applyAlignment="1">
      <alignment horizontal="centerContinuous"/>
    </xf>
    <xf numFmtId="37" fontId="44" fillId="0" borderId="28" xfId="2" applyNumberFormat="1" applyFont="1" applyBorder="1" applyAlignment="1">
      <alignment horizontal="center"/>
    </xf>
    <xf numFmtId="37" fontId="42" fillId="0" borderId="28" xfId="2" applyNumberFormat="1" applyFont="1" applyBorder="1" applyAlignment="1"/>
    <xf numFmtId="37" fontId="37" fillId="0" borderId="28" xfId="2" applyNumberFormat="1" applyFont="1" applyBorder="1" applyAlignment="1"/>
    <xf numFmtId="37" fontId="37" fillId="0" borderId="28" xfId="2" applyNumberFormat="1" applyFont="1" applyBorder="1" applyAlignment="1">
      <alignment horizontal="center"/>
    </xf>
    <xf numFmtId="37" fontId="44" fillId="0" borderId="28" xfId="2" applyNumberFormat="1" applyFont="1" applyBorder="1" applyAlignment="1"/>
    <xf numFmtId="37" fontId="44" fillId="0" borderId="77" xfId="2" applyNumberFormat="1" applyFont="1" applyBorder="1" applyAlignment="1"/>
    <xf numFmtId="37" fontId="44" fillId="0" borderId="27" xfId="2" applyNumberFormat="1" applyFont="1" applyBorder="1" applyAlignment="1"/>
    <xf numFmtId="37" fontId="44" fillId="0" borderId="78" xfId="2" applyNumberFormat="1" applyFont="1" applyBorder="1" applyAlignment="1">
      <alignment horizontal="center"/>
    </xf>
    <xf numFmtId="37" fontId="44" fillId="0" borderId="66" xfId="2" applyNumberFormat="1" applyFont="1" applyBorder="1" applyAlignment="1">
      <alignment horizontal="center"/>
    </xf>
    <xf numFmtId="174" fontId="37" fillId="0" borderId="21" xfId="2" applyNumberFormat="1" applyFont="1" applyBorder="1" applyAlignment="1"/>
    <xf numFmtId="43" fontId="37" fillId="0" borderId="0" xfId="1767" applyNumberFormat="1" applyFont="1" applyFill="1" applyAlignment="1" applyProtection="1">
      <alignment horizontal="right"/>
    </xf>
    <xf numFmtId="43" fontId="44" fillId="0" borderId="0" xfId="1767" applyNumberFormat="1" applyFont="1" applyFill="1" applyAlignment="1" applyProtection="1">
      <alignment horizontal="right"/>
    </xf>
    <xf numFmtId="43" fontId="44" fillId="0" borderId="35" xfId="1767" applyNumberFormat="1" applyFont="1" applyFill="1" applyBorder="1" applyAlignment="1" applyProtection="1">
      <alignment horizontal="right"/>
    </xf>
    <xf numFmtId="43" fontId="37" fillId="0" borderId="0" xfId="1767" applyNumberFormat="1" applyFont="1" applyFill="1" applyAlignment="1" applyProtection="1"/>
    <xf numFmtId="0" fontId="97" fillId="0" borderId="0" xfId="1767" applyNumberFormat="1" applyFont="1" applyFill="1" applyAlignment="1" applyProtection="1"/>
    <xf numFmtId="164" fontId="37" fillId="0" borderId="0" xfId="1767" applyNumberFormat="1" applyFont="1" applyFill="1" applyAlignment="1" applyProtection="1"/>
    <xf numFmtId="164" fontId="97" fillId="0" borderId="0" xfId="1767" applyNumberFormat="1" applyFont="1" applyFill="1" applyAlignment="1" applyProtection="1"/>
    <xf numFmtId="0" fontId="37" fillId="0" borderId="0" xfId="739" applyNumberFormat="1" applyFont="1" applyAlignment="1"/>
    <xf numFmtId="37" fontId="37" fillId="0" borderId="0" xfId="739" applyNumberFormat="1" applyFont="1" applyAlignment="1"/>
    <xf numFmtId="164" fontId="38" fillId="0" borderId="0" xfId="0" applyFont="1" applyAlignment="1">
      <alignment horizontal="right"/>
    </xf>
    <xf numFmtId="0" fontId="37" fillId="0" borderId="0" xfId="739" applyNumberFormat="1" applyFont="1" applyBorder="1" applyAlignment="1">
      <alignment horizontal="centerContinuous"/>
    </xf>
    <xf numFmtId="166" fontId="37" fillId="0" borderId="0" xfId="739" applyNumberFormat="1" applyFont="1" applyBorder="1" applyAlignment="1" applyProtection="1">
      <protection locked="0"/>
    </xf>
    <xf numFmtId="166" fontId="37" fillId="0" borderId="0" xfId="739" applyNumberFormat="1" applyFont="1" applyAlignment="1"/>
    <xf numFmtId="0" fontId="37" fillId="0" borderId="0" xfId="739" applyNumberFormat="1" applyFont="1" applyBorder="1" applyAlignment="1">
      <alignment horizontal="left"/>
    </xf>
    <xf numFmtId="0" fontId="37" fillId="0" borderId="0" xfId="1776" applyFont="1" applyFill="1"/>
    <xf numFmtId="39" fontId="37" fillId="0" borderId="0" xfId="1776" applyNumberFormat="1" applyFont="1" applyFill="1"/>
    <xf numFmtId="39" fontId="37" fillId="0" borderId="0" xfId="1776" applyNumberFormat="1" applyFont="1" applyFill="1" applyBorder="1"/>
    <xf numFmtId="165" fontId="61" fillId="0" borderId="0" xfId="1776" applyNumberFormat="1" applyFont="1" applyFill="1" applyAlignment="1">
      <alignment horizontal="left"/>
    </xf>
    <xf numFmtId="39" fontId="61" fillId="0" borderId="0" xfId="1776" applyNumberFormat="1" applyFont="1" applyFill="1"/>
    <xf numFmtId="0" fontId="61" fillId="0" borderId="0" xfId="1776" applyFont="1" applyFill="1"/>
    <xf numFmtId="0" fontId="37" fillId="0" borderId="0" xfId="1776" applyFont="1" applyFill="1" applyBorder="1" applyAlignment="1">
      <alignment horizontal="left"/>
    </xf>
    <xf numFmtId="39" fontId="61" fillId="0" borderId="0" xfId="1776" applyNumberFormat="1" applyFont="1" applyFill="1" applyBorder="1"/>
    <xf numFmtId="39" fontId="37" fillId="0" borderId="0" xfId="1776" applyNumberFormat="1" applyFont="1" applyFill="1" applyBorder="1" applyAlignment="1">
      <alignment horizontal="center"/>
    </xf>
    <xf numFmtId="165" fontId="44" fillId="0" borderId="0" xfId="1776" applyNumberFormat="1" applyFont="1" applyFill="1" applyAlignment="1"/>
    <xf numFmtId="39" fontId="44" fillId="0" borderId="0" xfId="1776" applyNumberFormat="1" applyFont="1" applyFill="1" applyAlignment="1"/>
    <xf numFmtId="0" fontId="44" fillId="0" borderId="0" xfId="1776" applyNumberFormat="1" applyFont="1" applyFill="1" applyAlignment="1">
      <alignment horizontal="center"/>
    </xf>
    <xf numFmtId="39" fontId="44" fillId="0" borderId="0" xfId="1776" applyNumberFormat="1" applyFont="1" applyFill="1" applyBorder="1" applyAlignment="1"/>
    <xf numFmtId="39" fontId="44" fillId="0" borderId="0" xfId="1776" applyNumberFormat="1" applyFont="1" applyFill="1"/>
    <xf numFmtId="0" fontId="44" fillId="0" borderId="0" xfId="1776" applyFont="1" applyFill="1"/>
    <xf numFmtId="0" fontId="37" fillId="0" borderId="0" xfId="1776" applyNumberFormat="1" applyFont="1" applyFill="1" applyAlignment="1"/>
    <xf numFmtId="39" fontId="37" fillId="0" borderId="0" xfId="1776" applyNumberFormat="1" applyFont="1" applyFill="1" applyAlignment="1"/>
    <xf numFmtId="39" fontId="44" fillId="0" borderId="0" xfId="1776" applyNumberFormat="1" applyFont="1" applyFill="1" applyAlignment="1">
      <alignment horizontal="center"/>
    </xf>
    <xf numFmtId="39" fontId="37" fillId="0" borderId="0" xfId="1776" applyNumberFormat="1" applyFont="1" applyFill="1" applyBorder="1" applyAlignment="1"/>
    <xf numFmtId="0" fontId="44" fillId="0" borderId="0" xfId="1776" applyNumberFormat="1" applyFont="1" applyFill="1" applyAlignment="1"/>
    <xf numFmtId="44" fontId="44" fillId="0" borderId="0" xfId="1776" applyNumberFormat="1" applyFont="1" applyFill="1" applyAlignment="1"/>
    <xf numFmtId="44" fontId="44" fillId="0" borderId="0" xfId="1776" applyNumberFormat="1" applyFont="1" applyFill="1" applyBorder="1" applyAlignment="1"/>
    <xf numFmtId="8" fontId="44" fillId="0" borderId="0" xfId="1776" applyNumberFormat="1" applyFont="1" applyFill="1"/>
    <xf numFmtId="40" fontId="44" fillId="0" borderId="0" xfId="1776" applyNumberFormat="1" applyFont="1" applyFill="1"/>
    <xf numFmtId="0" fontId="37" fillId="0" borderId="0" xfId="1776" applyNumberFormat="1" applyFont="1" applyFill="1" applyAlignment="1">
      <alignment horizontal="left"/>
    </xf>
    <xf numFmtId="43" fontId="37" fillId="0" borderId="0" xfId="1776" applyNumberFormat="1" applyFont="1" applyFill="1" applyAlignment="1"/>
    <xf numFmtId="43" fontId="37" fillId="0" borderId="0" xfId="1776" applyNumberFormat="1" applyFont="1" applyFill="1" applyBorder="1" applyAlignment="1"/>
    <xf numFmtId="43" fontId="44" fillId="0" borderId="0" xfId="1776" applyNumberFormat="1" applyFont="1" applyFill="1" applyBorder="1" applyAlignment="1"/>
    <xf numFmtId="0" fontId="44" fillId="0" borderId="0" xfId="1776" applyNumberFormat="1" applyFont="1" applyFill="1" applyAlignment="1">
      <alignment horizontal="left"/>
    </xf>
    <xf numFmtId="0" fontId="37" fillId="0" borderId="0" xfId="1776" quotePrefix="1" applyNumberFormat="1" applyFont="1" applyFill="1" applyAlignment="1">
      <alignment horizontal="left"/>
    </xf>
    <xf numFmtId="43" fontId="44" fillId="0" borderId="0" xfId="1776" applyNumberFormat="1" applyFont="1" applyFill="1" applyBorder="1" applyAlignment="1">
      <alignment horizontal="right"/>
    </xf>
    <xf numFmtId="0" fontId="37" fillId="0" borderId="0" xfId="1776" applyFont="1" applyFill="1" applyBorder="1"/>
    <xf numFmtId="43" fontId="37" fillId="0" borderId="0" xfId="1776" applyNumberFormat="1" applyFont="1" applyFill="1" applyBorder="1" applyAlignment="1" applyProtection="1"/>
    <xf numFmtId="39" fontId="44" fillId="0" borderId="0" xfId="1776" applyNumberFormat="1" applyFont="1" applyFill="1" applyBorder="1"/>
    <xf numFmtId="0" fontId="44" fillId="0" borderId="0" xfId="1776" applyFont="1" applyFill="1" applyBorder="1"/>
    <xf numFmtId="43" fontId="37" fillId="0" borderId="0" xfId="1776" applyNumberFormat="1" applyFont="1" applyFill="1" applyBorder="1" applyAlignment="1" applyProtection="1">
      <alignment horizontal="right"/>
    </xf>
    <xf numFmtId="39" fontId="37" fillId="0" borderId="46" xfId="1776" applyNumberFormat="1" applyFont="1" applyFill="1" applyBorder="1" applyAlignment="1"/>
    <xf numFmtId="39" fontId="44" fillId="0" borderId="0" xfId="1776" quotePrefix="1" applyNumberFormat="1" applyFont="1" applyFill="1" applyAlignment="1">
      <alignment horizontal="left"/>
    </xf>
    <xf numFmtId="44" fontId="44" fillId="0" borderId="0" xfId="1776" applyNumberFormat="1" applyFont="1" applyFill="1" applyBorder="1" applyAlignment="1">
      <alignment horizontal="right"/>
    </xf>
    <xf numFmtId="4" fontId="44" fillId="0" borderId="0" xfId="1776" applyNumberFormat="1" applyFont="1" applyFill="1"/>
    <xf numFmtId="0" fontId="37" fillId="0" borderId="0" xfId="1776" applyNumberFormat="1" applyFont="1" applyFill="1" applyBorder="1" applyAlignment="1">
      <alignment horizontal="left"/>
    </xf>
    <xf numFmtId="0" fontId="37" fillId="0" borderId="0" xfId="1776" quotePrefix="1" applyFont="1" applyFill="1" applyAlignment="1">
      <alignment horizontal="left"/>
    </xf>
    <xf numFmtId="0" fontId="82" fillId="0" borderId="0" xfId="1776" applyFont="1"/>
    <xf numFmtId="39" fontId="44" fillId="0" borderId="0" xfId="1776" applyNumberFormat="1" applyFont="1"/>
    <xf numFmtId="0" fontId="37" fillId="0" borderId="0" xfId="1776" applyFont="1"/>
    <xf numFmtId="39" fontId="37" fillId="0" borderId="0" xfId="1776" applyNumberFormat="1" applyFont="1"/>
    <xf numFmtId="39" fontId="37" fillId="0" borderId="0" xfId="1776" applyNumberFormat="1" applyFont="1" applyBorder="1"/>
    <xf numFmtId="165" fontId="37" fillId="0" borderId="0" xfId="1776" applyNumberFormat="1" applyFont="1" applyProtection="1">
      <protection locked="0"/>
    </xf>
    <xf numFmtId="0" fontId="44" fillId="0" borderId="0" xfId="1776" applyNumberFormat="1" applyFont="1" applyAlignment="1">
      <alignment horizontal="left"/>
    </xf>
    <xf numFmtId="39" fontId="37" fillId="0" borderId="0" xfId="1776" applyNumberFormat="1" applyFont="1" applyBorder="1" applyAlignment="1"/>
    <xf numFmtId="0" fontId="52" fillId="0" borderId="0" xfId="1776" applyNumberFormat="1" applyFont="1" applyAlignment="1">
      <alignment horizontal="left"/>
    </xf>
    <xf numFmtId="165" fontId="88" fillId="0" borderId="0" xfId="1776" applyNumberFormat="1" applyFont="1" applyAlignment="1"/>
    <xf numFmtId="39" fontId="88" fillId="0" borderId="0" xfId="1776" applyNumberFormat="1" applyFont="1" applyAlignment="1"/>
    <xf numFmtId="39" fontId="44" fillId="0" borderId="0" xfId="1776" applyNumberFormat="1" applyFont="1" applyBorder="1" applyAlignment="1">
      <alignment horizontal="center"/>
    </xf>
    <xf numFmtId="165" fontId="44" fillId="0" borderId="0" xfId="1776" applyNumberFormat="1" applyFont="1" applyAlignment="1"/>
    <xf numFmtId="39" fontId="44" fillId="0" borderId="0" xfId="1776" applyNumberFormat="1" applyFont="1" applyBorder="1" applyAlignment="1"/>
    <xf numFmtId="0" fontId="44" fillId="0" borderId="0" xfId="1776" applyFont="1"/>
    <xf numFmtId="0" fontId="37" fillId="0" borderId="0" xfId="1776" applyNumberFormat="1" applyFont="1" applyAlignment="1"/>
    <xf numFmtId="39" fontId="44" fillId="0" borderId="0" xfId="1776" applyNumberFormat="1" applyFont="1" applyAlignment="1">
      <alignment horizontal="center"/>
    </xf>
    <xf numFmtId="39" fontId="37" fillId="0" borderId="0" xfId="1776" applyNumberFormat="1" applyFont="1" applyAlignment="1"/>
    <xf numFmtId="0" fontId="44" fillId="0" borderId="0" xfId="1776" applyNumberFormat="1" applyFont="1" applyAlignment="1"/>
    <xf numFmtId="44" fontId="44" fillId="0" borderId="0" xfId="1776" applyNumberFormat="1" applyFont="1" applyAlignment="1"/>
    <xf numFmtId="44" fontId="44" fillId="0" borderId="21" xfId="1776" applyNumberFormat="1" applyFont="1" applyBorder="1" applyAlignment="1"/>
    <xf numFmtId="39" fontId="37" fillId="0" borderId="21" xfId="1776" applyNumberFormat="1" applyFont="1" applyBorder="1" applyAlignment="1"/>
    <xf numFmtId="43" fontId="37" fillId="0" borderId="0" xfId="1776" applyNumberFormat="1" applyFont="1" applyAlignment="1"/>
    <xf numFmtId="43" fontId="37" fillId="0" borderId="21" xfId="1776" applyNumberFormat="1" applyFont="1" applyBorder="1" applyAlignment="1"/>
    <xf numFmtId="43" fontId="37" fillId="0" borderId="0" xfId="1776" applyNumberFormat="1" applyFont="1" applyBorder="1" applyAlignment="1"/>
    <xf numFmtId="43" fontId="37" fillId="0" borderId="18" xfId="1776" applyNumberFormat="1" applyFont="1" applyBorder="1" applyAlignment="1"/>
    <xf numFmtId="43" fontId="44" fillId="0" borderId="21" xfId="1776" applyNumberFormat="1" applyFont="1" applyBorder="1" applyAlignment="1"/>
    <xf numFmtId="43" fontId="44" fillId="0" borderId="0" xfId="1776" applyNumberFormat="1" applyFont="1" applyBorder="1" applyAlignment="1"/>
    <xf numFmtId="39" fontId="44" fillId="0" borderId="0" xfId="1776" applyNumberFormat="1" applyFont="1" applyBorder="1"/>
    <xf numFmtId="43" fontId="92" fillId="0" borderId="0" xfId="1776" applyNumberFormat="1" applyFont="1" applyAlignment="1"/>
    <xf numFmtId="0" fontId="37" fillId="0" borderId="0" xfId="1776" applyNumberFormat="1" applyFont="1" applyAlignment="1">
      <alignment horizontal="left"/>
    </xf>
    <xf numFmtId="43" fontId="44" fillId="0" borderId="18" xfId="1776" applyNumberFormat="1" applyFont="1" applyBorder="1" applyAlignment="1"/>
    <xf numFmtId="0" fontId="37" fillId="0" borderId="0" xfId="1776" applyFont="1" applyBorder="1"/>
    <xf numFmtId="43" fontId="37" fillId="0" borderId="0" xfId="1776" applyNumberFormat="1" applyFont="1"/>
    <xf numFmtId="0" fontId="44" fillId="0" borderId="0" xfId="1776" applyFont="1" applyBorder="1"/>
    <xf numFmtId="39" fontId="37" fillId="0" borderId="18" xfId="1776" applyNumberFormat="1" applyFont="1" applyBorder="1" applyAlignment="1"/>
    <xf numFmtId="44" fontId="44" fillId="0" borderId="18" xfId="1776" applyNumberFormat="1" applyFont="1" applyBorder="1" applyAlignment="1"/>
    <xf numFmtId="39" fontId="37" fillId="0" borderId="36" xfId="1776" applyNumberFormat="1" applyFont="1" applyBorder="1" applyAlignment="1"/>
    <xf numFmtId="0" fontId="37" fillId="0" borderId="0" xfId="1776" quotePrefix="1" applyFont="1" applyAlignment="1">
      <alignment horizontal="left"/>
    </xf>
    <xf numFmtId="165" fontId="40" fillId="0" borderId="0" xfId="840" applyNumberFormat="1" applyFont="1" applyAlignment="1" applyProtection="1">
      <protection locked="0"/>
    </xf>
    <xf numFmtId="40" fontId="37" fillId="0" borderId="0" xfId="840" applyNumberFormat="1" applyFont="1" applyAlignment="1">
      <alignment horizontal="center"/>
    </xf>
    <xf numFmtId="190" fontId="37" fillId="0" borderId="0" xfId="11" applyNumberFormat="1" applyFont="1" applyAlignment="1">
      <alignment horizontal="center"/>
    </xf>
    <xf numFmtId="40" fontId="37" fillId="0" borderId="0" xfId="840" quotePrefix="1" applyNumberFormat="1" applyFont="1" applyAlignment="1">
      <alignment horizontal="center"/>
    </xf>
    <xf numFmtId="165" fontId="37" fillId="0" borderId="0" xfId="840" applyNumberFormat="1" applyFont="1" applyAlignment="1"/>
    <xf numFmtId="39" fontId="37" fillId="0" borderId="0" xfId="840" applyNumberFormat="1" applyFont="1" applyBorder="1" applyAlignment="1"/>
    <xf numFmtId="40" fontId="37" fillId="0" borderId="0" xfId="840" applyNumberFormat="1" applyFont="1" applyAlignment="1"/>
    <xf numFmtId="42" fontId="37" fillId="0" borderId="0" xfId="840" applyNumberFormat="1" applyFont="1" applyAlignment="1"/>
    <xf numFmtId="0" fontId="37" fillId="0" borderId="0" xfId="840" applyNumberFormat="1" applyFont="1" applyAlignment="1"/>
    <xf numFmtId="37" fontId="37" fillId="0" borderId="0" xfId="840" applyNumberFormat="1" applyFont="1" applyAlignment="1"/>
    <xf numFmtId="37" fontId="37" fillId="0" borderId="0" xfId="840" applyNumberFormat="1" applyFont="1" applyBorder="1" applyAlignment="1"/>
    <xf numFmtId="190" fontId="37" fillId="0" borderId="0" xfId="11" applyNumberFormat="1" applyFont="1" applyAlignment="1"/>
    <xf numFmtId="41" fontId="37" fillId="0" borderId="0" xfId="840" applyNumberFormat="1" applyFont="1" applyAlignment="1"/>
    <xf numFmtId="41" fontId="37" fillId="0" borderId="0" xfId="840" applyNumberFormat="1" applyFont="1" applyBorder="1" applyAlignment="1"/>
    <xf numFmtId="41" fontId="37" fillId="0" borderId="0" xfId="11" applyNumberFormat="1" applyFont="1" applyFill="1" applyAlignment="1"/>
    <xf numFmtId="41" fontId="37" fillId="0" borderId="0" xfId="840" quotePrefix="1" applyNumberFormat="1" applyFont="1" applyBorder="1" applyAlignment="1">
      <alignment horizontal="center"/>
    </xf>
    <xf numFmtId="41" fontId="37" fillId="0" borderId="0" xfId="11" applyNumberFormat="1" applyFont="1" applyAlignment="1"/>
    <xf numFmtId="41" fontId="37" fillId="0" borderId="0" xfId="840" applyNumberFormat="1" applyFont="1" applyFill="1" applyAlignment="1"/>
    <xf numFmtId="41" fontId="37" fillId="0" borderId="0" xfId="840" applyNumberFormat="1" applyFont="1" applyFill="1" applyBorder="1" applyAlignment="1"/>
    <xf numFmtId="37" fontId="37" fillId="0" borderId="0" xfId="840" applyNumberFormat="1" applyFont="1" applyFill="1" applyAlignment="1"/>
    <xf numFmtId="41" fontId="37" fillId="0" borderId="0" xfId="840" applyNumberFormat="1" applyFont="1" applyFill="1" applyAlignment="1">
      <alignment horizontal="right"/>
    </xf>
    <xf numFmtId="41" fontId="37" fillId="0" borderId="0" xfId="840" applyNumberFormat="1" applyFont="1" applyFill="1"/>
    <xf numFmtId="41" fontId="37" fillId="0" borderId="0" xfId="840" quotePrefix="1" applyNumberFormat="1" applyFont="1" applyFill="1" applyAlignment="1">
      <alignment horizontal="right"/>
    </xf>
    <xf numFmtId="41" fontId="37" fillId="0" borderId="0" xfId="840" quotePrefix="1" applyNumberFormat="1" applyFont="1" applyFill="1" applyAlignment="1">
      <alignment horizontal="center"/>
    </xf>
    <xf numFmtId="41" fontId="37" fillId="0" borderId="0" xfId="840" quotePrefix="1" applyNumberFormat="1" applyFont="1" applyFill="1" applyBorder="1" applyAlignment="1">
      <alignment horizontal="center"/>
    </xf>
    <xf numFmtId="41" fontId="37" fillId="0" borderId="0" xfId="840" quotePrefix="1" applyNumberFormat="1" applyFont="1" applyBorder="1" applyAlignment="1">
      <alignment horizontal="right"/>
    </xf>
    <xf numFmtId="41" fontId="44" fillId="0" borderId="66" xfId="840" applyNumberFormat="1" applyFont="1" applyBorder="1" applyAlignment="1"/>
    <xf numFmtId="190" fontId="37" fillId="0" borderId="0" xfId="11" applyNumberFormat="1" applyFont="1" applyBorder="1" applyAlignment="1"/>
    <xf numFmtId="40" fontId="37" fillId="0" borderId="0" xfId="840" applyNumberFormat="1" applyFont="1" applyBorder="1" applyAlignment="1"/>
    <xf numFmtId="39" fontId="37" fillId="0" borderId="0" xfId="840" applyNumberFormat="1" applyFont="1" applyAlignment="1"/>
    <xf numFmtId="0" fontId="37" fillId="0" borderId="0" xfId="17" applyNumberFormat="1" applyFont="1" applyAlignment="1" applyProtection="1">
      <protection locked="0"/>
    </xf>
    <xf numFmtId="174" fontId="37" fillId="0" borderId="0" xfId="17" applyNumberFormat="1" applyFont="1" applyAlignment="1"/>
    <xf numFmtId="0" fontId="37" fillId="0" borderId="0" xfId="17" applyNumberFormat="1" applyFont="1" applyBorder="1" applyAlignment="1" applyProtection="1">
      <protection locked="0"/>
    </xf>
    <xf numFmtId="0" fontId="37" fillId="0" borderId="0" xfId="17" applyNumberFormat="1" applyFont="1" applyBorder="1" applyAlignment="1"/>
    <xf numFmtId="170" fontId="37" fillId="0" borderId="0" xfId="17" applyNumberFormat="1" applyFont="1" applyBorder="1" applyAlignment="1"/>
    <xf numFmtId="174" fontId="37" fillId="0" borderId="0" xfId="1049" applyNumberFormat="1" applyFont="1" applyBorder="1" applyAlignment="1">
      <alignment horizontal="center"/>
    </xf>
    <xf numFmtId="170" fontId="37" fillId="0" borderId="0" xfId="17" applyNumberFormat="1" applyFont="1" applyBorder="1" applyAlignment="1" applyProtection="1">
      <protection locked="0"/>
    </xf>
    <xf numFmtId="170" fontId="37" fillId="0" borderId="0" xfId="17" applyNumberFormat="1" applyFont="1" applyBorder="1" applyAlignment="1">
      <alignment horizontal="right"/>
    </xf>
    <xf numFmtId="170" fontId="37" fillId="0" borderId="0" xfId="17" applyNumberFormat="1" applyFont="1" applyBorder="1" applyAlignment="1" applyProtection="1">
      <alignment horizontal="right"/>
    </xf>
    <xf numFmtId="187" fontId="37" fillId="0" borderId="0" xfId="17" applyNumberFormat="1" applyFont="1" applyAlignment="1"/>
    <xf numFmtId="0" fontId="0" fillId="0" borderId="0" xfId="2" applyFont="1" applyBorder="1" applyAlignment="1">
      <alignment horizontal="right"/>
    </xf>
    <xf numFmtId="0" fontId="44" fillId="0" borderId="0" xfId="2" applyNumberFormat="1" applyFont="1" applyAlignment="1">
      <alignment horizontal="left"/>
    </xf>
    <xf numFmtId="165" fontId="63" fillId="0" borderId="0" xfId="2" applyNumberFormat="1" applyFont="1" applyAlignment="1">
      <alignment horizontal="center"/>
    </xf>
    <xf numFmtId="195" fontId="37" fillId="0" borderId="0" xfId="2" applyNumberFormat="1" applyFont="1" applyFill="1" applyAlignment="1" applyProtection="1">
      <protection locked="0"/>
    </xf>
    <xf numFmtId="39" fontId="66" fillId="0" borderId="0" xfId="1776" applyNumberFormat="1" applyFont="1" applyBorder="1" applyAlignment="1">
      <alignment horizontal="right" vertical="top"/>
    </xf>
    <xf numFmtId="0" fontId="66" fillId="0" borderId="0" xfId="1776" applyNumberFormat="1" applyFont="1" applyBorder="1" applyAlignment="1">
      <alignment horizontal="left"/>
    </xf>
    <xf numFmtId="0" fontId="44" fillId="0" borderId="0" xfId="1776" applyNumberFormat="1" applyFont="1" applyBorder="1" applyAlignment="1">
      <alignment horizontal="left" vertical="top"/>
    </xf>
    <xf numFmtId="0" fontId="66" fillId="0" borderId="0" xfId="1776" applyNumberFormat="1" applyFont="1" applyBorder="1" applyAlignment="1">
      <alignment horizontal="center"/>
    </xf>
    <xf numFmtId="39" fontId="40" fillId="0" borderId="0" xfId="1776" applyNumberFormat="1" applyFont="1" applyBorder="1" applyAlignment="1">
      <alignment horizontal="centerContinuous"/>
    </xf>
    <xf numFmtId="44" fontId="44" fillId="0" borderId="0" xfId="1776" applyNumberFormat="1" applyFont="1" applyBorder="1" applyAlignment="1"/>
    <xf numFmtId="39" fontId="66" fillId="0" borderId="0" xfId="1776" applyNumberFormat="1" applyFont="1" applyFill="1" applyBorder="1" applyAlignment="1">
      <alignment horizontal="right" vertical="top"/>
    </xf>
    <xf numFmtId="0" fontId="61" fillId="0" borderId="0" xfId="1776" applyNumberFormat="1" applyFont="1" applyFill="1" applyAlignment="1">
      <alignment horizontal="left"/>
    </xf>
    <xf numFmtId="0" fontId="37" fillId="0" borderId="0" xfId="1776" applyNumberFormat="1" applyFont="1" applyFill="1" applyBorder="1" applyAlignment="1">
      <alignment horizontal="center"/>
    </xf>
    <xf numFmtId="170" fontId="49" fillId="0" borderId="0" xfId="2" applyNumberFormat="1" applyFont="1" applyAlignment="1"/>
    <xf numFmtId="174" fontId="37" fillId="0" borderId="0" xfId="0" applyNumberFormat="1" applyFont="1" applyAlignment="1" applyProtection="1"/>
    <xf numFmtId="170" fontId="37" fillId="0" borderId="0" xfId="0" quotePrefix="1" applyNumberFormat="1" applyFont="1" applyBorder="1" applyAlignment="1" applyProtection="1">
      <alignment horizontal="center"/>
    </xf>
    <xf numFmtId="170" fontId="44" fillId="0" borderId="0" xfId="0" applyNumberFormat="1" applyFont="1" applyAlignment="1" applyProtection="1"/>
    <xf numFmtId="170" fontId="37" fillId="0" borderId="0" xfId="0" quotePrefix="1" applyNumberFormat="1" applyFont="1" applyAlignment="1" applyProtection="1">
      <alignment horizontal="right"/>
    </xf>
    <xf numFmtId="170" fontId="37" fillId="0" borderId="20" xfId="0" quotePrefix="1" applyNumberFormat="1" applyFont="1" applyBorder="1" applyAlignment="1" applyProtection="1">
      <alignment horizontal="center"/>
    </xf>
    <xf numFmtId="170" fontId="37" fillId="0" borderId="0" xfId="0" quotePrefix="1" applyNumberFormat="1" applyFont="1" applyAlignment="1" applyProtection="1"/>
    <xf numFmtId="172" fontId="39" fillId="0" borderId="0" xfId="0" applyNumberFormat="1" applyFont="1" applyBorder="1" applyAlignment="1" applyProtection="1">
      <protection locked="0"/>
    </xf>
    <xf numFmtId="172" fontId="168" fillId="0" borderId="0" xfId="1940" applyNumberFormat="1" applyFont="1" applyAlignment="1"/>
    <xf numFmtId="10" fontId="42" fillId="0" borderId="0" xfId="2" applyNumberFormat="1" applyFont="1" applyAlignment="1"/>
    <xf numFmtId="0" fontId="172" fillId="0" borderId="0" xfId="861" applyNumberFormat="1" applyFont="1" applyAlignment="1" applyProtection="1"/>
    <xf numFmtId="0" fontId="172" fillId="0" borderId="0" xfId="860" applyNumberFormat="1" applyFont="1" applyAlignment="1"/>
    <xf numFmtId="0" fontId="173" fillId="0" borderId="0" xfId="860" applyNumberFormat="1" applyFont="1" applyAlignment="1"/>
    <xf numFmtId="0" fontId="172" fillId="0" borderId="0" xfId="861" quotePrefix="1" applyNumberFormat="1" applyFont="1" applyBorder="1" applyAlignment="1" applyProtection="1">
      <alignment horizontal="left"/>
    </xf>
    <xf numFmtId="0" fontId="172" fillId="0" borderId="0" xfId="861" applyNumberFormat="1" applyFont="1" applyBorder="1" applyAlignment="1" applyProtection="1"/>
    <xf numFmtId="0" fontId="147" fillId="0" borderId="0" xfId="861" applyNumberFormat="1" applyAlignment="1" applyProtection="1"/>
    <xf numFmtId="170" fontId="37" fillId="0" borderId="47" xfId="2" applyNumberFormat="1" applyFont="1" applyBorder="1" applyAlignment="1"/>
    <xf numFmtId="0" fontId="39" fillId="0" borderId="79" xfId="4" applyFont="1" applyFill="1" applyBorder="1"/>
    <xf numFmtId="0" fontId="44" fillId="0" borderId="0" xfId="2" applyNumberFormat="1" applyFont="1" applyAlignment="1">
      <alignment horizontal="left"/>
    </xf>
    <xf numFmtId="0" fontId="44" fillId="0" borderId="0" xfId="2" applyNumberFormat="1" applyFont="1" applyAlignment="1">
      <alignment horizontal="left"/>
    </xf>
    <xf numFmtId="174" fontId="165" fillId="0" borderId="0" xfId="2" applyNumberFormat="1" applyFont="1" applyFill="1" applyBorder="1"/>
    <xf numFmtId="174" fontId="166" fillId="0" borderId="15" xfId="2" applyNumberFormat="1" applyFont="1" applyFill="1" applyBorder="1"/>
    <xf numFmtId="164" fontId="37" fillId="0" borderId="0" xfId="1940" applyNumberFormat="1" applyFont="1" applyAlignment="1"/>
    <xf numFmtId="164" fontId="44" fillId="0" borderId="66" xfId="1940" applyNumberFormat="1" applyFont="1" applyBorder="1" applyAlignment="1"/>
    <xf numFmtId="174" fontId="37" fillId="0" borderId="24" xfId="2" applyNumberFormat="1" applyFont="1" applyBorder="1" applyAlignment="1"/>
    <xf numFmtId="174" fontId="37" fillId="0" borderId="15" xfId="2" applyNumberFormat="1" applyFont="1" applyBorder="1" applyAlignment="1"/>
    <xf numFmtId="170" fontId="37" fillId="0" borderId="14" xfId="2" applyNumberFormat="1" applyFont="1" applyBorder="1" applyAlignment="1"/>
    <xf numFmtId="170" fontId="37" fillId="0" borderId="21" xfId="2" applyNumberFormat="1" applyFont="1" applyBorder="1" applyAlignment="1"/>
    <xf numFmtId="170" fontId="37" fillId="0" borderId="18" xfId="2" applyNumberFormat="1" applyFont="1" applyBorder="1"/>
    <xf numFmtId="170" fontId="37" fillId="0" borderId="15" xfId="2" applyNumberFormat="1" applyFont="1" applyBorder="1" applyAlignment="1"/>
    <xf numFmtId="43" fontId="37" fillId="0" borderId="0" xfId="2" applyNumberFormat="1" applyFont="1" applyBorder="1" applyAlignment="1"/>
    <xf numFmtId="170" fontId="37" fillId="0" borderId="25" xfId="2" applyNumberFormat="1" applyFont="1" applyBorder="1" applyAlignment="1"/>
    <xf numFmtId="0" fontId="37" fillId="0" borderId="0" xfId="2" applyFont="1" applyBorder="1" applyAlignment="1"/>
    <xf numFmtId="170" fontId="37" fillId="0" borderId="13" xfId="2" applyNumberFormat="1" applyFont="1" applyBorder="1" applyAlignment="1"/>
    <xf numFmtId="170" fontId="37" fillId="0" borderId="0" xfId="2" quotePrefix="1" applyNumberFormat="1" applyFont="1" applyBorder="1" applyAlignment="1"/>
    <xf numFmtId="170" fontId="37" fillId="0" borderId="12" xfId="2" quotePrefix="1" applyNumberFormat="1" applyFont="1" applyBorder="1" applyAlignment="1">
      <alignment horizontal="center"/>
    </xf>
    <xf numFmtId="170" fontId="37" fillId="0" borderId="18" xfId="2" applyNumberFormat="1" applyFont="1" applyBorder="1" applyAlignment="1"/>
    <xf numFmtId="170" fontId="37" fillId="0" borderId="15" xfId="2" quotePrefix="1" applyNumberFormat="1" applyFont="1" applyBorder="1" applyAlignment="1">
      <alignment horizontal="right"/>
    </xf>
    <xf numFmtId="170" fontId="37" fillId="0" borderId="13" xfId="2" quotePrefix="1" applyNumberFormat="1" applyFont="1" applyBorder="1" applyAlignment="1">
      <alignment horizontal="right"/>
    </xf>
    <xf numFmtId="170" fontId="37" fillId="0" borderId="15" xfId="2" quotePrefix="1" applyNumberFormat="1" applyFont="1" applyBorder="1" applyAlignment="1"/>
    <xf numFmtId="0" fontId="37" fillId="0" borderId="0" xfId="2" quotePrefix="1" applyFont="1" applyBorder="1" applyAlignment="1">
      <alignment horizontal="right"/>
    </xf>
    <xf numFmtId="169" fontId="37" fillId="0" borderId="36" xfId="2" applyNumberFormat="1" applyFont="1" applyBorder="1" applyAlignment="1"/>
    <xf numFmtId="168" fontId="37" fillId="0" borderId="0" xfId="2" applyNumberFormat="1" applyFont="1" applyBorder="1" applyAlignment="1" applyProtection="1">
      <protection locked="0"/>
    </xf>
    <xf numFmtId="168" fontId="37" fillId="0" borderId="0" xfId="2" applyNumberFormat="1" applyFont="1" applyAlignment="1" applyProtection="1">
      <protection locked="0"/>
    </xf>
    <xf numFmtId="170" fontId="37" fillId="0" borderId="19" xfId="2" applyNumberFormat="1" applyFont="1" applyBorder="1" applyAlignment="1"/>
    <xf numFmtId="168" fontId="37" fillId="0" borderId="0" xfId="2" applyNumberFormat="1" applyFont="1" applyAlignment="1"/>
    <xf numFmtId="165" fontId="37" fillId="0" borderId="0" xfId="2" applyNumberFormat="1" applyFont="1" applyBorder="1" applyAlignment="1"/>
    <xf numFmtId="170" fontId="37" fillId="0" borderId="10" xfId="2" applyNumberFormat="1" applyFont="1" applyBorder="1" applyAlignment="1"/>
    <xf numFmtId="164" fontId="37" fillId="0" borderId="16" xfId="0" applyNumberFormat="1" applyFont="1" applyBorder="1" applyProtection="1">
      <protection locked="0"/>
    </xf>
    <xf numFmtId="170" fontId="37" fillId="0" borderId="19" xfId="2" applyNumberFormat="1" applyFont="1" applyBorder="1" applyAlignment="1">
      <alignment horizontal="right"/>
    </xf>
    <xf numFmtId="165" fontId="37" fillId="0" borderId="0" xfId="2" applyNumberFormat="1" applyFont="1" applyAlignment="1">
      <alignment horizontal="right"/>
    </xf>
    <xf numFmtId="170" fontId="66" fillId="0" borderId="66" xfId="2" applyNumberFormat="1" applyFont="1" applyBorder="1" applyAlignment="1"/>
    <xf numFmtId="39" fontId="37" fillId="0" borderId="0" xfId="2" applyNumberFormat="1" applyFont="1" applyBorder="1"/>
    <xf numFmtId="174" fontId="37" fillId="0" borderId="0" xfId="2" quotePrefix="1" applyNumberFormat="1" applyFont="1" applyFill="1" applyAlignment="1"/>
    <xf numFmtId="170" fontId="37" fillId="0" borderId="21" xfId="2" applyNumberFormat="1" applyFont="1" applyFill="1" applyBorder="1" applyAlignment="1"/>
    <xf numFmtId="0" fontId="44" fillId="0" borderId="10" xfId="2" applyFont="1" applyFill="1" applyBorder="1" applyAlignment="1" applyProtection="1">
      <alignment horizontal="center"/>
      <protection locked="0"/>
    </xf>
    <xf numFmtId="0" fontId="44" fillId="0" borderId="10" xfId="2" applyFont="1" applyFill="1" applyBorder="1" applyAlignment="1">
      <alignment horizontal="center"/>
    </xf>
    <xf numFmtId="170" fontId="37" fillId="0" borderId="0" xfId="0" applyNumberFormat="1" applyFont="1" applyBorder="1" applyAlignment="1" applyProtection="1">
      <alignment horizontal="center"/>
    </xf>
    <xf numFmtId="170" fontId="37" fillId="0" borderId="0" xfId="0" applyNumberFormat="1" applyFont="1" applyFill="1" applyAlignment="1" applyProtection="1">
      <alignment horizontal="center"/>
    </xf>
    <xf numFmtId="170" fontId="37" fillId="0" borderId="0" xfId="0" applyNumberFormat="1" applyFont="1" applyFill="1" applyBorder="1" applyAlignment="1" applyProtection="1"/>
    <xf numFmtId="170" fontId="37" fillId="0" borderId="0" xfId="0" applyNumberFormat="1" applyFont="1" applyAlignment="1" applyProtection="1">
      <alignment horizontal="right"/>
    </xf>
    <xf numFmtId="174" fontId="37" fillId="0" borderId="0" xfId="0" applyNumberFormat="1" applyFont="1" applyAlignment="1" applyProtection="1">
      <alignment horizontal="right"/>
    </xf>
    <xf numFmtId="170" fontId="44" fillId="0" borderId="16" xfId="0" applyNumberFormat="1" applyFont="1" applyBorder="1" applyAlignment="1" applyProtection="1">
      <alignment horizontal="center"/>
    </xf>
    <xf numFmtId="170" fontId="37" fillId="0" borderId="0" xfId="0" applyNumberFormat="1" applyFont="1" applyBorder="1" applyAlignment="1" applyProtection="1">
      <alignment horizontal="right"/>
    </xf>
    <xf numFmtId="170" fontId="39" fillId="0" borderId="0" xfId="0" applyNumberFormat="1" applyFont="1" applyFill="1" applyBorder="1" applyAlignment="1" applyProtection="1"/>
    <xf numFmtId="164" fontId="39" fillId="0" borderId="0" xfId="0" applyNumberFormat="1" applyFont="1" applyBorder="1" applyAlignment="1" applyProtection="1"/>
    <xf numFmtId="164" fontId="39" fillId="0" borderId="66" xfId="0" applyNumberFormat="1" applyFont="1" applyBorder="1" applyAlignment="1" applyProtection="1"/>
    <xf numFmtId="172" fontId="44" fillId="0" borderId="10" xfId="0" applyNumberFormat="1" applyFont="1" applyBorder="1" applyAlignment="1" applyProtection="1"/>
    <xf numFmtId="165" fontId="39" fillId="0" borderId="0" xfId="0" applyNumberFormat="1" applyFont="1" applyBorder="1" applyAlignment="1" applyProtection="1"/>
    <xf numFmtId="173" fontId="39" fillId="0" borderId="0" xfId="0" applyNumberFormat="1" applyFont="1" applyBorder="1" applyAlignment="1" applyProtection="1"/>
    <xf numFmtId="164" fontId="44" fillId="0" borderId="0" xfId="0" applyNumberFormat="1" applyFont="1" applyBorder="1" applyAlignment="1" applyProtection="1"/>
    <xf numFmtId="164" fontId="37" fillId="0" borderId="0" xfId="2" applyNumberFormat="1" applyFont="1" applyAlignment="1" applyProtection="1"/>
    <xf numFmtId="165" fontId="37" fillId="0" borderId="0" xfId="2" applyNumberFormat="1" applyFont="1" applyAlignment="1" applyProtection="1"/>
    <xf numFmtId="164" fontId="44" fillId="0" borderId="16" xfId="2" applyNumberFormat="1" applyFont="1" applyBorder="1" applyAlignment="1" applyProtection="1"/>
    <xf numFmtId="164" fontId="44" fillId="0" borderId="10" xfId="2" applyNumberFormat="1" applyFont="1" applyBorder="1" applyAlignment="1" applyProtection="1"/>
    <xf numFmtId="164" fontId="44" fillId="0" borderId="66" xfId="2" applyNumberFormat="1" applyFont="1" applyBorder="1" applyAlignment="1" applyProtection="1"/>
    <xf numFmtId="0" fontId="44" fillId="0" borderId="0" xfId="2" applyFont="1" applyFill="1" applyBorder="1" applyAlignment="1" applyProtection="1">
      <alignment horizontal="center"/>
      <protection locked="0"/>
    </xf>
    <xf numFmtId="164" fontId="37" fillId="0" borderId="0" xfId="0" applyNumberFormat="1" applyFont="1" applyBorder="1" applyAlignment="1" applyProtection="1"/>
    <xf numFmtId="170" fontId="59" fillId="0" borderId="0" xfId="2" applyNumberFormat="1" applyFont="1" applyAlignment="1" applyProtection="1"/>
    <xf numFmtId="166" fontId="59" fillId="0" borderId="0" xfId="2" applyNumberFormat="1" applyFont="1" applyAlignment="1" applyProtection="1"/>
    <xf numFmtId="164" fontId="37" fillId="0" borderId="66" xfId="0" applyNumberFormat="1" applyFont="1" applyBorder="1" applyAlignment="1" applyProtection="1"/>
    <xf numFmtId="164" fontId="44" fillId="0" borderId="16" xfId="0" applyNumberFormat="1" applyFont="1" applyBorder="1" applyAlignment="1" applyProtection="1"/>
    <xf numFmtId="170" fontId="37" fillId="0" borderId="0" xfId="2" applyNumberFormat="1" applyFont="1" applyAlignment="1" applyProtection="1"/>
    <xf numFmtId="170" fontId="44" fillId="0" borderId="0" xfId="2" applyNumberFormat="1" applyFont="1" applyBorder="1" applyAlignment="1" applyProtection="1"/>
    <xf numFmtId="164" fontId="44" fillId="0" borderId="45" xfId="2" applyNumberFormat="1" applyFont="1" applyBorder="1" applyAlignment="1" applyProtection="1"/>
    <xf numFmtId="164" fontId="37" fillId="0" borderId="19" xfId="2" applyNumberFormat="1" applyFont="1" applyBorder="1" applyAlignment="1" applyProtection="1"/>
    <xf numFmtId="164" fontId="37" fillId="0" borderId="0" xfId="2" applyNumberFormat="1" applyFont="1" applyBorder="1" applyAlignment="1" applyProtection="1"/>
    <xf numFmtId="164" fontId="37" fillId="0" borderId="0" xfId="2" applyNumberFormat="1" applyFont="1" applyFill="1" applyBorder="1" applyAlignment="1" applyProtection="1"/>
    <xf numFmtId="164" fontId="42" fillId="0" borderId="0" xfId="2" applyNumberFormat="1" applyFont="1" applyAlignment="1" applyProtection="1"/>
    <xf numFmtId="164" fontId="44" fillId="0" borderId="16" xfId="2" applyNumberFormat="1" applyFont="1" applyBorder="1" applyAlignment="1" applyProtection="1">
      <alignment horizontal="right"/>
    </xf>
    <xf numFmtId="164" fontId="37" fillId="0" borderId="66" xfId="2" applyNumberFormat="1" applyFont="1" applyBorder="1" applyAlignment="1" applyProtection="1">
      <alignment horizontal="right"/>
    </xf>
    <xf numFmtId="164" fontId="37" fillId="0" borderId="0" xfId="2" applyNumberFormat="1" applyFont="1" applyBorder="1" applyAlignment="1" applyProtection="1">
      <alignment horizontal="right"/>
    </xf>
    <xf numFmtId="164" fontId="44" fillId="0" borderId="66" xfId="2" applyNumberFormat="1" applyFont="1" applyBorder="1" applyAlignment="1" applyProtection="1">
      <alignment horizontal="right"/>
    </xf>
    <xf numFmtId="0" fontId="39" fillId="0" borderId="0" xfId="4" applyFont="1" applyFill="1" applyProtection="1"/>
    <xf numFmtId="164" fontId="44" fillId="0" borderId="45" xfId="0" applyNumberFormat="1" applyFont="1" applyBorder="1" applyAlignment="1" applyProtection="1"/>
    <xf numFmtId="0" fontId="39" fillId="0" borderId="0" xfId="4" applyFont="1" applyFill="1" applyBorder="1" applyProtection="1"/>
    <xf numFmtId="164" fontId="44" fillId="0" borderId="66" xfId="0" applyNumberFormat="1" applyFont="1" applyBorder="1" applyAlignment="1" applyProtection="1"/>
    <xf numFmtId="164" fontId="39" fillId="0" borderId="0" xfId="4" applyNumberFormat="1" applyFont="1" applyFill="1" applyProtection="1"/>
    <xf numFmtId="0" fontId="39" fillId="0" borderId="0" xfId="4" applyFont="1" applyFill="1" applyProtection="1"/>
    <xf numFmtId="170" fontId="44" fillId="0" borderId="45" xfId="2" applyNumberFormat="1" applyFont="1" applyFill="1" applyBorder="1" applyAlignment="1" applyProtection="1"/>
    <xf numFmtId="170" fontId="44" fillId="0" borderId="0" xfId="2" applyNumberFormat="1" applyFont="1" applyAlignment="1" applyProtection="1"/>
    <xf numFmtId="170" fontId="44" fillId="0" borderId="0" xfId="2" applyNumberFormat="1" applyFont="1" applyFill="1" applyBorder="1" applyAlignment="1" applyProtection="1"/>
    <xf numFmtId="166" fontId="39" fillId="0" borderId="0" xfId="2" applyNumberFormat="1" applyFont="1" applyAlignment="1" applyProtection="1"/>
    <xf numFmtId="0" fontId="0" fillId="0" borderId="0" xfId="2" applyFont="1" applyBorder="1" applyProtection="1"/>
    <xf numFmtId="172" fontId="39" fillId="0" borderId="0" xfId="0" applyNumberFormat="1" applyFont="1" applyBorder="1" applyAlignment="1" applyProtection="1"/>
    <xf numFmtId="172" fontId="44" fillId="0" borderId="66" xfId="0" applyNumberFormat="1" applyFont="1" applyBorder="1" applyAlignment="1" applyProtection="1"/>
    <xf numFmtId="166" fontId="39" fillId="0" borderId="20" xfId="2" applyNumberFormat="1" applyFont="1" applyBorder="1" applyAlignment="1" applyProtection="1"/>
    <xf numFmtId="43" fontId="44" fillId="0" borderId="35" xfId="1028" applyNumberFormat="1" applyFont="1" applyBorder="1" applyAlignment="1" applyProtection="1">
      <alignment horizontal="right"/>
    </xf>
    <xf numFmtId="43" fontId="44" fillId="0" borderId="0" xfId="1028" applyNumberFormat="1" applyFont="1" applyBorder="1" applyAlignment="1" applyProtection="1">
      <alignment horizontal="right"/>
    </xf>
    <xf numFmtId="43" fontId="44" fillId="0" borderId="0" xfId="0" applyNumberFormat="1" applyFont="1" applyBorder="1" applyAlignment="1" applyProtection="1">
      <alignment horizontal="right"/>
    </xf>
    <xf numFmtId="44" fontId="44" fillId="0" borderId="35" xfId="1767" applyNumberFormat="1" applyFont="1" applyFill="1" applyBorder="1" applyAlignment="1" applyProtection="1">
      <alignment horizontal="right"/>
    </xf>
    <xf numFmtId="0" fontId="101" fillId="0" borderId="0" xfId="0" applyNumberFormat="1" applyFont="1" applyProtection="1"/>
    <xf numFmtId="0" fontId="66" fillId="0" borderId="0" xfId="2" applyNumberFormat="1" applyFont="1" applyFill="1" applyAlignment="1" applyProtection="1">
      <alignment horizontal="left"/>
    </xf>
    <xf numFmtId="0" fontId="66" fillId="0" borderId="0" xfId="2" quotePrefix="1" applyNumberFormat="1" applyFont="1" applyFill="1" applyAlignment="1" applyProtection="1">
      <alignment horizontal="left"/>
    </xf>
    <xf numFmtId="41" fontId="37" fillId="0" borderId="0" xfId="739" applyNumberFormat="1" applyFont="1" applyBorder="1" applyAlignment="1" applyProtection="1"/>
    <xf numFmtId="172" fontId="44" fillId="0" borderId="35" xfId="2" applyNumberFormat="1" applyFont="1" applyBorder="1" applyAlignment="1"/>
    <xf numFmtId="172" fontId="168" fillId="0" borderId="35" xfId="1940" applyNumberFormat="1" applyFont="1" applyBorder="1" applyAlignment="1"/>
    <xf numFmtId="170" fontId="44" fillId="0" borderId="0" xfId="0" applyNumberFormat="1" applyFont="1" applyFill="1" applyBorder="1" applyAlignment="1" applyProtection="1"/>
    <xf numFmtId="172" fontId="37" fillId="0" borderId="0" xfId="0" applyNumberFormat="1" applyFont="1" applyBorder="1" applyAlignment="1" applyProtection="1"/>
    <xf numFmtId="170" fontId="39" fillId="0" borderId="83" xfId="2" applyNumberFormat="1" applyFont="1" applyBorder="1" applyAlignment="1">
      <alignment horizontal="center"/>
    </xf>
    <xf numFmtId="0" fontId="37" fillId="0" borderId="0" xfId="1776" applyFont="1" applyAlignment="1"/>
    <xf numFmtId="0" fontId="37" fillId="0" borderId="0" xfId="1776" applyFill="1" applyAlignment="1"/>
    <xf numFmtId="170" fontId="37" fillId="0" borderId="66" xfId="2" applyNumberFormat="1" applyFont="1" applyFill="1" applyBorder="1" applyAlignment="1">
      <alignment horizontal="right"/>
    </xf>
    <xf numFmtId="170" fontId="44" fillId="0" borderId="20" xfId="2" applyNumberFormat="1" applyFont="1" applyFill="1" applyBorder="1" applyAlignment="1"/>
    <xf numFmtId="170" fontId="37" fillId="0" borderId="0" xfId="2" applyNumberFormat="1" applyFont="1" applyFill="1" applyBorder="1"/>
    <xf numFmtId="174" fontId="44" fillId="0" borderId="35" xfId="2" applyNumberFormat="1" applyFont="1" applyFill="1" applyBorder="1" applyAlignment="1"/>
    <xf numFmtId="43" fontId="44" fillId="0" borderId="0" xfId="0" applyNumberFormat="1" applyFont="1" applyAlignment="1" applyProtection="1">
      <alignment horizontal="right"/>
    </xf>
    <xf numFmtId="43" fontId="44" fillId="0" borderId="35" xfId="0" applyNumberFormat="1" applyFont="1" applyBorder="1" applyAlignment="1" applyProtection="1">
      <alignment horizontal="right"/>
    </xf>
    <xf numFmtId="43" fontId="37" fillId="0" borderId="0" xfId="0" applyNumberFormat="1" applyFont="1" applyAlignment="1" applyProtection="1">
      <alignment horizontal="right"/>
    </xf>
    <xf numFmtId="172" fontId="44" fillId="0" borderId="0" xfId="0" applyNumberFormat="1" applyFont="1" applyBorder="1" applyAlignment="1" applyProtection="1"/>
    <xf numFmtId="166" fontId="37" fillId="34" borderId="0" xfId="0" applyNumberFormat="1" applyFont="1" applyFill="1" applyBorder="1" applyAlignment="1">
      <alignment horizontal="left"/>
    </xf>
    <xf numFmtId="0" fontId="139" fillId="0" borderId="0" xfId="8" applyFont="1" applyAlignment="1">
      <alignment horizontal="left"/>
    </xf>
    <xf numFmtId="0" fontId="139" fillId="0" borderId="0" xfId="8" applyFont="1"/>
    <xf numFmtId="0" fontId="37" fillId="0" borderId="0" xfId="8" applyFont="1"/>
    <xf numFmtId="0" fontId="37" fillId="0" borderId="0" xfId="8" applyFont="1" applyAlignment="1"/>
    <xf numFmtId="0" fontId="139" fillId="0" borderId="0" xfId="8" applyFont="1" applyAlignment="1"/>
    <xf numFmtId="3" fontId="49" fillId="0" borderId="0" xfId="8" quotePrefix="1" applyNumberFormat="1" applyFont="1" applyAlignment="1">
      <alignment horizontal="right"/>
    </xf>
    <xf numFmtId="41" fontId="42" fillId="0" borderId="0" xfId="1773" applyNumberFormat="1" applyFont="1" applyFill="1"/>
    <xf numFmtId="0" fontId="37" fillId="0" borderId="0" xfId="2" applyFont="1" applyAlignment="1">
      <alignment horizontal="left"/>
    </xf>
    <xf numFmtId="177" fontId="182" fillId="0" borderId="0" xfId="740" applyNumberFormat="1" applyFont="1" applyFill="1" applyAlignment="1"/>
    <xf numFmtId="165" fontId="37" fillId="0" borderId="0" xfId="0" applyNumberFormat="1" applyFont="1" applyFill="1" applyAlignment="1" applyProtection="1">
      <protection locked="0"/>
    </xf>
    <xf numFmtId="170" fontId="44" fillId="0" borderId="16" xfId="0" quotePrefix="1" applyNumberFormat="1" applyFont="1" applyBorder="1" applyAlignment="1" applyProtection="1">
      <alignment horizontal="right"/>
    </xf>
    <xf numFmtId="172" fontId="44" fillId="0" borderId="0" xfId="1940" applyNumberFormat="1" applyFont="1" applyBorder="1" applyAlignment="1" applyProtection="1"/>
    <xf numFmtId="165" fontId="44" fillId="0" borderId="82" xfId="0" applyNumberFormat="1" applyFont="1" applyBorder="1" applyAlignment="1" applyProtection="1">
      <alignment horizontal="center"/>
    </xf>
    <xf numFmtId="0" fontId="44" fillId="0" borderId="82" xfId="0" applyNumberFormat="1" applyFont="1" applyBorder="1" applyAlignment="1" applyProtection="1">
      <alignment horizontal="center"/>
    </xf>
    <xf numFmtId="165" fontId="44" fillId="0" borderId="0" xfId="0" applyNumberFormat="1" applyFont="1" applyBorder="1" applyAlignment="1" applyProtection="1">
      <alignment horizontal="center"/>
    </xf>
    <xf numFmtId="0" fontId="44" fillId="0" borderId="66" xfId="0" quotePrefix="1" applyNumberFormat="1" applyFont="1" applyBorder="1" applyAlignment="1" applyProtection="1">
      <alignment horizontal="center"/>
    </xf>
    <xf numFmtId="0" fontId="44" fillId="0" borderId="0" xfId="0" applyNumberFormat="1" applyFont="1" applyAlignment="1" applyProtection="1">
      <alignment horizontal="center"/>
    </xf>
    <xf numFmtId="0" fontId="44" fillId="0" borderId="0" xfId="0" applyNumberFormat="1" applyFont="1" applyBorder="1" applyAlignment="1" applyProtection="1">
      <alignment horizontal="center"/>
    </xf>
    <xf numFmtId="0" fontId="44" fillId="0" borderId="0" xfId="0" quotePrefix="1" applyNumberFormat="1" applyFont="1" applyBorder="1" applyAlignment="1" applyProtection="1">
      <alignment horizontal="center"/>
    </xf>
    <xf numFmtId="164" fontId="63" fillId="0" borderId="0" xfId="0" applyNumberFormat="1" applyFont="1" applyAlignment="1" applyProtection="1"/>
    <xf numFmtId="170" fontId="44" fillId="0" borderId="82" xfId="0" applyNumberFormat="1" applyFont="1" applyBorder="1" applyAlignment="1" applyProtection="1"/>
    <xf numFmtId="164" fontId="64" fillId="0" borderId="86" xfId="0" applyNumberFormat="1" applyFont="1" applyBorder="1" applyAlignment="1" applyProtection="1"/>
    <xf numFmtId="170" fontId="37" fillId="0" borderId="82" xfId="0" applyNumberFormat="1" applyFont="1" applyBorder="1" applyAlignment="1" applyProtection="1"/>
    <xf numFmtId="166" fontId="44" fillId="0" borderId="82" xfId="0" applyNumberFormat="1" applyFont="1" applyBorder="1" applyAlignment="1" applyProtection="1"/>
    <xf numFmtId="164" fontId="64" fillId="0" borderId="84" xfId="0" applyNumberFormat="1" applyFont="1" applyBorder="1" applyAlignment="1" applyProtection="1"/>
    <xf numFmtId="174" fontId="44" fillId="0" borderId="81" xfId="0" applyNumberFormat="1" applyFont="1" applyBorder="1" applyAlignment="1" applyProtection="1"/>
    <xf numFmtId="164" fontId="64" fillId="0" borderId="17" xfId="0" applyNumberFormat="1" applyFont="1" applyBorder="1" applyAlignment="1" applyProtection="1"/>
    <xf numFmtId="172" fontId="37" fillId="0" borderId="0" xfId="1940" applyNumberFormat="1" applyFont="1" applyBorder="1" applyAlignment="1" applyProtection="1"/>
    <xf numFmtId="0" fontId="183" fillId="0" borderId="0" xfId="9967"/>
    <xf numFmtId="186" fontId="43" fillId="0" borderId="66" xfId="9967" applyNumberFormat="1" applyFont="1" applyFill="1" applyBorder="1" applyAlignment="1">
      <alignment horizontal="center"/>
    </xf>
    <xf numFmtId="0" fontId="42" fillId="0" borderId="0" xfId="9967" applyNumberFormat="1" applyFont="1" applyFill="1"/>
    <xf numFmtId="0" fontId="42" fillId="0" borderId="0" xfId="9967" applyNumberFormat="1" applyFont="1" applyFill="1" applyAlignment="1">
      <alignment horizontal="center"/>
    </xf>
    <xf numFmtId="0" fontId="43" fillId="0" borderId="66" xfId="9967" applyNumberFormat="1" applyFont="1" applyFill="1" applyBorder="1" applyAlignment="1">
      <alignment horizontal="center"/>
    </xf>
    <xf numFmtId="0" fontId="42" fillId="0" borderId="92" xfId="9967" applyNumberFormat="1" applyFont="1" applyFill="1" applyBorder="1"/>
    <xf numFmtId="0" fontId="43" fillId="0" borderId="66" xfId="9967" applyNumberFormat="1" applyFont="1" applyFill="1" applyBorder="1" applyAlignment="1">
      <alignment horizontal="centerContinuous"/>
    </xf>
    <xf numFmtId="0" fontId="43" fillId="0" borderId="0" xfId="9967" applyNumberFormat="1" applyFont="1" applyFill="1" applyAlignment="1">
      <alignment horizontal="center"/>
    </xf>
    <xf numFmtId="43" fontId="43" fillId="0" borderId="0" xfId="9967" applyNumberFormat="1" applyFont="1" applyFill="1" applyAlignment="1">
      <alignment horizontal="center"/>
    </xf>
    <xf numFmtId="0" fontId="42" fillId="0" borderId="72" xfId="9967" applyNumberFormat="1" applyFont="1" applyFill="1" applyBorder="1"/>
    <xf numFmtId="0" fontId="43" fillId="0" borderId="0" xfId="9967" quotePrefix="1" applyNumberFormat="1" applyFont="1" applyFill="1" applyAlignment="1">
      <alignment horizontal="center"/>
    </xf>
    <xf numFmtId="170" fontId="37" fillId="0" borderId="0" xfId="2" applyNumberFormat="1" applyFont="1" applyAlignment="1"/>
    <xf numFmtId="170" fontId="44" fillId="0" borderId="0" xfId="2" applyNumberFormat="1" applyFont="1" applyBorder="1" applyAlignment="1"/>
    <xf numFmtId="166" fontId="59" fillId="0" borderId="0" xfId="2" applyNumberFormat="1" applyFont="1" applyAlignment="1"/>
    <xf numFmtId="0" fontId="66" fillId="0" borderId="0" xfId="2" quotePrefix="1" applyNumberFormat="1" applyFont="1" applyAlignment="1">
      <alignment horizontal="left"/>
    </xf>
    <xf numFmtId="0" fontId="38" fillId="0" borderId="0" xfId="2" quotePrefix="1" applyNumberFormat="1" applyFont="1" applyAlignment="1">
      <alignment horizontal="left"/>
    </xf>
    <xf numFmtId="0" fontId="37" fillId="0" borderId="0" xfId="5517" applyFont="1" applyFill="1"/>
    <xf numFmtId="170" fontId="37" fillId="0" borderId="0" xfId="5517" applyNumberFormat="1" applyFont="1" applyFill="1"/>
    <xf numFmtId="170" fontId="44" fillId="0" borderId="45" xfId="2" applyNumberFormat="1" applyFont="1" applyFill="1" applyBorder="1" applyAlignment="1"/>
    <xf numFmtId="170" fontId="37" fillId="0" borderId="0" xfId="2" quotePrefix="1" applyNumberFormat="1" applyFont="1" applyFill="1" applyAlignment="1"/>
    <xf numFmtId="0" fontId="44" fillId="0" borderId="0" xfId="2" applyNumberFormat="1" applyFont="1" applyAlignment="1">
      <alignment horizontal="left"/>
    </xf>
    <xf numFmtId="170" fontId="44" fillId="0" borderId="94" xfId="2" applyNumberFormat="1" applyFont="1" applyBorder="1" applyAlignment="1"/>
    <xf numFmtId="37" fontId="184" fillId="0" borderId="0" xfId="2" applyNumberFormat="1" applyFont="1" applyBorder="1" applyAlignment="1"/>
    <xf numFmtId="174" fontId="184" fillId="0" borderId="0" xfId="2" applyNumberFormat="1" applyFont="1"/>
    <xf numFmtId="0" fontId="43" fillId="0" borderId="0" xfId="0" applyNumberFormat="1" applyFont="1"/>
    <xf numFmtId="0" fontId="43" fillId="0" borderId="0" xfId="0" quotePrefix="1" applyNumberFormat="1" applyFont="1" applyAlignment="1">
      <alignment horizontal="left"/>
    </xf>
    <xf numFmtId="0" fontId="58" fillId="0" borderId="0" xfId="2" quotePrefix="1" applyNumberFormat="1" applyFont="1" applyAlignment="1">
      <alignment horizontal="center"/>
    </xf>
    <xf numFmtId="44" fontId="42" fillId="0" borderId="0" xfId="0" applyNumberFormat="1" applyFont="1" applyFill="1" applyAlignment="1"/>
    <xf numFmtId="4" fontId="42" fillId="0" borderId="0" xfId="0" applyNumberFormat="1" applyFont="1" applyFill="1" applyAlignment="1">
      <alignment horizontal="right"/>
    </xf>
    <xf numFmtId="43" fontId="42" fillId="0" borderId="0" xfId="0" applyNumberFormat="1" applyFont="1" applyFill="1" applyAlignment="1">
      <alignment horizontal="right"/>
    </xf>
    <xf numFmtId="43" fontId="42" fillId="0" borderId="0" xfId="0" quotePrefix="1" applyNumberFormat="1" applyFont="1" applyFill="1" applyAlignment="1">
      <alignment horizontal="right"/>
    </xf>
    <xf numFmtId="0" fontId="42" fillId="0" borderId="0" xfId="0" applyNumberFormat="1" applyFont="1" applyFill="1" applyAlignment="1">
      <alignment horizontal="center"/>
    </xf>
    <xf numFmtId="177" fontId="66" fillId="0" borderId="16" xfId="836" applyNumberFormat="1" applyFont="1" applyFill="1" applyBorder="1" applyAlignment="1">
      <alignment horizontal="right"/>
    </xf>
    <xf numFmtId="39" fontId="44" fillId="0" borderId="0" xfId="1776" applyNumberFormat="1" applyFont="1" applyFill="1" applyBorder="1" applyAlignment="1">
      <alignment horizontal="center"/>
    </xf>
    <xf numFmtId="0" fontId="49" fillId="0" borderId="0" xfId="8" applyFont="1"/>
    <xf numFmtId="0" fontId="49" fillId="0" borderId="0" xfId="8" applyFont="1" applyFill="1" applyAlignment="1"/>
    <xf numFmtId="0" fontId="97" fillId="0" borderId="0" xfId="8" applyFont="1"/>
    <xf numFmtId="172" fontId="0" fillId="0" borderId="0" xfId="0" applyNumberFormat="1" applyFont="1" applyBorder="1" applyAlignment="1" applyProtection="1"/>
    <xf numFmtId="170" fontId="44" fillId="0" borderId="16" xfId="0" applyNumberFormat="1" applyFont="1" applyFill="1" applyBorder="1" applyAlignment="1" applyProtection="1"/>
    <xf numFmtId="170" fontId="44" fillId="0" borderId="66" xfId="2" applyNumberFormat="1" applyFont="1" applyFill="1" applyBorder="1" applyAlignment="1" applyProtection="1"/>
    <xf numFmtId="170" fontId="76" fillId="0" borderId="0" xfId="2" applyNumberFormat="1" applyFont="1" applyFill="1" applyAlignment="1"/>
    <xf numFmtId="40" fontId="65" fillId="0" borderId="0" xfId="25861" applyNumberFormat="1" applyFont="1" applyAlignment="1"/>
    <xf numFmtId="39" fontId="65" fillId="0" borderId="0" xfId="25861" applyNumberFormat="1" applyFont="1" applyAlignment="1"/>
    <xf numFmtId="165" fontId="82" fillId="0" borderId="0" xfId="840" applyNumberFormat="1" applyFont="1" applyAlignment="1"/>
    <xf numFmtId="0" fontId="82" fillId="0" borderId="0" xfId="840" applyNumberFormat="1" applyFont="1" applyAlignment="1">
      <alignment horizontal="left"/>
    </xf>
    <xf numFmtId="42" fontId="44" fillId="0" borderId="81" xfId="840" applyNumberFormat="1" applyFont="1" applyBorder="1" applyAlignment="1"/>
    <xf numFmtId="37" fontId="37" fillId="0" borderId="84" xfId="840" applyNumberFormat="1" applyFont="1" applyBorder="1" applyAlignment="1"/>
    <xf numFmtId="41" fontId="37" fillId="0" borderId="84" xfId="11" applyNumberFormat="1" applyFont="1" applyBorder="1" applyAlignment="1"/>
    <xf numFmtId="41" fontId="37" fillId="0" borderId="84" xfId="840" quotePrefix="1" applyNumberFormat="1" applyFont="1" applyBorder="1" applyAlignment="1">
      <alignment horizontal="right"/>
    </xf>
    <xf numFmtId="41" fontId="37" fillId="0" borderId="84" xfId="840" quotePrefix="1" applyNumberFormat="1" applyFont="1" applyBorder="1" applyAlignment="1">
      <alignment horizontal="center"/>
    </xf>
    <xf numFmtId="41" fontId="37" fillId="0" borderId="84" xfId="840" applyNumberFormat="1" applyFont="1" applyBorder="1"/>
    <xf numFmtId="41" fontId="44" fillId="0" borderId="86" xfId="840" quotePrefix="1" applyNumberFormat="1" applyFont="1" applyBorder="1" applyAlignment="1"/>
    <xf numFmtId="41" fontId="44" fillId="0" borderId="86" xfId="840" applyNumberFormat="1" applyFont="1" applyFill="1" applyBorder="1" applyAlignment="1"/>
    <xf numFmtId="41" fontId="44" fillId="0" borderId="86" xfId="840" applyNumberFormat="1" applyFont="1" applyBorder="1" applyAlignment="1"/>
    <xf numFmtId="190" fontId="37" fillId="0" borderId="82" xfId="11" applyNumberFormat="1" applyFont="1" applyBorder="1" applyAlignment="1"/>
    <xf numFmtId="39" fontId="37" fillId="0" borderId="82" xfId="840" applyNumberFormat="1" applyFont="1" applyBorder="1" applyAlignment="1"/>
    <xf numFmtId="170" fontId="61" fillId="0" borderId="0" xfId="2" quotePrefix="1" applyNumberFormat="1" applyFont="1" applyFill="1" applyAlignment="1"/>
    <xf numFmtId="170" fontId="44" fillId="0" borderId="45" xfId="2" applyNumberFormat="1" applyFont="1" applyBorder="1" applyAlignment="1">
      <alignment horizontal="right"/>
    </xf>
    <xf numFmtId="0" fontId="44" fillId="0" borderId="0" xfId="2" applyNumberFormat="1" applyFont="1" applyAlignment="1">
      <alignment horizontal="left"/>
    </xf>
    <xf numFmtId="170" fontId="61" fillId="0" borderId="0" xfId="2" applyNumberFormat="1" applyFont="1" applyFill="1" applyAlignment="1"/>
    <xf numFmtId="177" fontId="66" fillId="0" borderId="0" xfId="836" applyNumberFormat="1" applyFont="1" applyFill="1" applyBorder="1" applyAlignment="1">
      <alignment horizontal="right"/>
    </xf>
    <xf numFmtId="43" fontId="44" fillId="0" borderId="87" xfId="1767" applyNumberFormat="1" applyFont="1" applyFill="1" applyBorder="1" applyAlignment="1" applyProtection="1">
      <alignment horizontal="right"/>
    </xf>
    <xf numFmtId="44" fontId="44" fillId="0" borderId="87" xfId="1767" applyNumberFormat="1" applyFont="1" applyFill="1" applyBorder="1" applyAlignment="1" applyProtection="1">
      <alignment horizontal="right"/>
    </xf>
    <xf numFmtId="164" fontId="167" fillId="0" borderId="0" xfId="0" applyFont="1"/>
    <xf numFmtId="43" fontId="44" fillId="0" borderId="87" xfId="17924" applyFont="1" applyFill="1" applyBorder="1" applyAlignment="1" applyProtection="1">
      <alignment horizontal="right"/>
    </xf>
    <xf numFmtId="172" fontId="66" fillId="0" borderId="0" xfId="0" applyNumberFormat="1" applyFont="1" applyBorder="1" applyAlignment="1" applyProtection="1"/>
    <xf numFmtId="172" fontId="66" fillId="0" borderId="66" xfId="0" applyNumberFormat="1" applyFont="1" applyBorder="1" applyAlignment="1" applyProtection="1"/>
    <xf numFmtId="0" fontId="42" fillId="0" borderId="0" xfId="0" applyNumberFormat="1" applyFont="1" applyFill="1" applyBorder="1" applyAlignment="1">
      <alignment horizontal="left" vertical="top" wrapText="1"/>
    </xf>
    <xf numFmtId="165" fontId="187" fillId="0" borderId="0" xfId="840" applyNumberFormat="1" applyFont="1" applyAlignment="1"/>
    <xf numFmtId="165" fontId="37" fillId="0" borderId="0" xfId="0" applyNumberFormat="1" applyFont="1" applyFill="1" applyProtection="1">
      <protection locked="0"/>
    </xf>
    <xf numFmtId="0" fontId="66" fillId="0" borderId="0" xfId="17029" quotePrefix="1" applyNumberFormat="1" applyFont="1" applyFill="1" applyAlignment="1">
      <alignment horizontal="left"/>
    </xf>
    <xf numFmtId="0" fontId="43" fillId="0" borderId="66" xfId="0" applyNumberFormat="1" applyFont="1" applyFill="1" applyBorder="1" applyAlignment="1">
      <alignment horizontal="center"/>
    </xf>
    <xf numFmtId="49" fontId="43" fillId="0" borderId="66" xfId="9967" applyNumberFormat="1" applyFont="1" applyFill="1" applyBorder="1" applyAlignment="1">
      <alignment horizontal="center"/>
    </xf>
    <xf numFmtId="0" fontId="42" fillId="0" borderId="72" xfId="0" applyNumberFormat="1" applyFont="1" applyFill="1" applyBorder="1"/>
    <xf numFmtId="0" fontId="42" fillId="0" borderId="72" xfId="0" applyNumberFormat="1" applyFont="1" applyFill="1" applyBorder="1" applyAlignment="1"/>
    <xf numFmtId="4" fontId="42" fillId="0" borderId="0" xfId="0" applyNumberFormat="1" applyFont="1" applyFill="1"/>
    <xf numFmtId="39" fontId="42" fillId="0" borderId="0" xfId="0" applyNumberFormat="1" applyFont="1" applyFill="1" applyBorder="1" applyAlignment="1"/>
    <xf numFmtId="39" fontId="42" fillId="0" borderId="0" xfId="0" quotePrefix="1" applyNumberFormat="1" applyFont="1" applyFill="1" applyBorder="1" applyAlignment="1">
      <alignment horizontal="right"/>
    </xf>
    <xf numFmtId="4" fontId="42" fillId="0" borderId="0" xfId="0" applyNumberFormat="1" applyFont="1" applyFill="1" applyBorder="1" applyAlignment="1">
      <alignment horizontal="right"/>
    </xf>
    <xf numFmtId="0" fontId="43" fillId="0" borderId="0" xfId="0" applyNumberFormat="1" applyFont="1" applyFill="1" applyAlignment="1">
      <alignment horizontal="right"/>
    </xf>
    <xf numFmtId="0" fontId="43" fillId="0" borderId="0" xfId="0" applyNumberFormat="1" applyFont="1" applyFill="1" applyAlignment="1"/>
    <xf numFmtId="0" fontId="43" fillId="0" borderId="49" xfId="0" applyNumberFormat="1" applyFont="1" applyFill="1" applyBorder="1" applyAlignment="1"/>
    <xf numFmtId="7" fontId="43" fillId="0" borderId="0" xfId="0" applyNumberFormat="1" applyFont="1" applyFill="1"/>
    <xf numFmtId="0" fontId="43" fillId="0" borderId="0" xfId="0" quotePrefix="1" applyNumberFormat="1" applyFont="1" applyFill="1" applyAlignment="1"/>
    <xf numFmtId="0" fontId="43" fillId="0" borderId="0" xfId="0" applyNumberFormat="1" applyFont="1" applyFill="1" applyAlignment="1">
      <alignment horizontal="right" vertical="top"/>
    </xf>
    <xf numFmtId="39" fontId="43" fillId="0" borderId="0" xfId="0" applyNumberFormat="1" applyFont="1" applyFill="1" applyAlignment="1">
      <alignment horizontal="center" vertical="top"/>
    </xf>
    <xf numFmtId="7" fontId="43" fillId="0" borderId="0" xfId="0" applyNumberFormat="1" applyFont="1" applyFill="1" applyAlignment="1">
      <alignment horizontal="right" vertical="top"/>
    </xf>
    <xf numFmtId="49" fontId="42" fillId="0" borderId="0" xfId="0" applyNumberFormat="1" applyFont="1" applyFill="1" applyAlignment="1">
      <alignment horizontal="left" vertical="top"/>
    </xf>
    <xf numFmtId="187" fontId="42" fillId="0" borderId="0" xfId="0" applyNumberFormat="1" applyFont="1" applyFill="1" applyAlignment="1">
      <alignment horizontal="center" vertical="top"/>
    </xf>
    <xf numFmtId="187" fontId="42" fillId="0" borderId="0" xfId="0" applyNumberFormat="1" applyFont="1" applyFill="1" applyAlignment="1">
      <alignment horizontal="right" vertical="top"/>
    </xf>
    <xf numFmtId="0" fontId="42" fillId="0" borderId="0" xfId="5508" applyFont="1" applyFill="1" applyBorder="1"/>
    <xf numFmtId="0" fontId="44" fillId="0" borderId="0" xfId="5508" applyFont="1" applyFill="1" applyBorder="1"/>
    <xf numFmtId="0" fontId="43" fillId="0" borderId="0" xfId="5508" applyFont="1" applyFill="1" applyBorder="1"/>
    <xf numFmtId="0" fontId="42" fillId="0" borderId="0" xfId="5508" applyFont="1" applyFill="1" applyBorder="1" applyAlignment="1">
      <alignment horizontal="center"/>
    </xf>
    <xf numFmtId="37" fontId="42" fillId="0" borderId="0" xfId="5508" applyNumberFormat="1" applyFont="1" applyFill="1" applyBorder="1"/>
    <xf numFmtId="0" fontId="37" fillId="0" borderId="0" xfId="5508" applyNumberFormat="1" applyFont="1" applyFill="1" applyBorder="1" applyAlignment="1"/>
    <xf numFmtId="0" fontId="37" fillId="0" borderId="0" xfId="5508" applyFont="1" applyFill="1" applyBorder="1" applyAlignment="1"/>
    <xf numFmtId="170" fontId="44" fillId="0" borderId="0" xfId="2" applyNumberFormat="1" applyFont="1" applyFill="1" applyAlignment="1">
      <alignment vertical="center"/>
    </xf>
    <xf numFmtId="172" fontId="44" fillId="0" borderId="66" xfId="1940" applyNumberFormat="1" applyFont="1" applyBorder="1" applyAlignment="1" applyProtection="1"/>
    <xf numFmtId="0" fontId="139" fillId="0" borderId="0" xfId="8" applyFont="1" applyFill="1" applyAlignment="1"/>
    <xf numFmtId="0" fontId="139" fillId="0" borderId="0" xfId="8" applyFont="1" applyFill="1"/>
    <xf numFmtId="0" fontId="37" fillId="0" borderId="0" xfId="8" applyFont="1" applyFill="1"/>
    <xf numFmtId="191" fontId="49" fillId="0" borderId="0" xfId="8" quotePrefix="1" applyNumberFormat="1" applyFont="1" applyFill="1" applyAlignment="1">
      <alignment horizontal="right"/>
    </xf>
    <xf numFmtId="166" fontId="49" fillId="0" borderId="0" xfId="8" quotePrefix="1" applyNumberFormat="1" applyFont="1" applyFill="1" applyAlignment="1">
      <alignment horizontal="right"/>
    </xf>
    <xf numFmtId="0" fontId="37" fillId="0" borderId="0" xfId="8" applyFont="1" applyFill="1" applyAlignment="1"/>
    <xf numFmtId="166" fontId="49" fillId="0" borderId="0" xfId="8" applyNumberFormat="1" applyFont="1" applyFill="1" applyAlignment="1">
      <alignment horizontal="right" vertical="top"/>
    </xf>
    <xf numFmtId="0" fontId="97" fillId="0" borderId="0" xfId="8" applyFont="1" applyFill="1"/>
    <xf numFmtId="0" fontId="49" fillId="0" borderId="0" xfId="8" applyFont="1" applyFill="1" applyAlignment="1">
      <alignment horizontal="left"/>
    </xf>
    <xf numFmtId="0" fontId="165" fillId="0" borderId="0" xfId="8" applyFont="1" applyFill="1"/>
    <xf numFmtId="165" fontId="49" fillId="0" borderId="0" xfId="8" quotePrefix="1" applyNumberFormat="1" applyFont="1" applyFill="1" applyAlignment="1">
      <alignment horizontal="right"/>
    </xf>
    <xf numFmtId="0" fontId="49" fillId="0" borderId="0" xfId="8" quotePrefix="1" applyFont="1" applyFill="1" applyAlignment="1"/>
    <xf numFmtId="0" fontId="113" fillId="0" borderId="0" xfId="8" quotePrefix="1" applyNumberFormat="1" applyFont="1" applyFill="1" applyAlignment="1">
      <alignment horizontal="right"/>
    </xf>
    <xf numFmtId="0" fontId="138" fillId="0" borderId="0" xfId="8" applyFont="1" applyFill="1" applyAlignment="1">
      <alignment horizontal="left"/>
    </xf>
    <xf numFmtId="0" fontId="113" fillId="0" borderId="0" xfId="8" quotePrefix="1" applyFont="1" applyFill="1" applyAlignment="1">
      <alignment horizontal="right"/>
    </xf>
    <xf numFmtId="0" fontId="147" fillId="0" borderId="0" xfId="861" applyNumberFormat="1" applyBorder="1" applyAlignment="1" applyProtection="1"/>
    <xf numFmtId="0" fontId="44" fillId="0" borderId="0" xfId="1776" applyNumberFormat="1" applyFont="1" applyAlignment="1">
      <alignment horizontal="center"/>
    </xf>
    <xf numFmtId="170" fontId="59" fillId="0" borderId="0" xfId="2" applyNumberFormat="1" applyFont="1" applyFill="1" applyAlignment="1"/>
    <xf numFmtId="0" fontId="44" fillId="0" borderId="66" xfId="2" applyFont="1" applyFill="1" applyBorder="1" applyAlignment="1">
      <alignment horizontal="center"/>
    </xf>
    <xf numFmtId="0" fontId="37" fillId="0" borderId="66" xfId="2" applyFont="1" applyFill="1" applyBorder="1" applyAlignment="1">
      <alignment horizontal="center"/>
    </xf>
    <xf numFmtId="37" fontId="44" fillId="0" borderId="66" xfId="2" quotePrefix="1" applyNumberFormat="1" applyFont="1" applyBorder="1" applyAlignment="1">
      <alignment horizontal="center"/>
    </xf>
    <xf numFmtId="37" fontId="65" fillId="0" borderId="0" xfId="2" applyNumberFormat="1" applyFont="1" applyFill="1"/>
    <xf numFmtId="37" fontId="42" fillId="0" borderId="20" xfId="2" applyNumberFormat="1" applyFont="1" applyFill="1" applyBorder="1" applyAlignment="1"/>
    <xf numFmtId="37" fontId="37" fillId="0" borderId="0" xfId="2" applyNumberFormat="1" applyFont="1" applyFill="1" applyAlignment="1"/>
    <xf numFmtId="170" fontId="44" fillId="0" borderId="0" xfId="2" quotePrefix="1" applyNumberFormat="1" applyFont="1" applyFill="1" applyBorder="1" applyAlignment="1">
      <alignment horizontal="center"/>
    </xf>
    <xf numFmtId="37" fontId="37" fillId="0" borderId="0" xfId="2" quotePrefix="1" applyNumberFormat="1" applyFont="1" applyFill="1" applyAlignment="1">
      <alignment horizontal="center"/>
    </xf>
    <xf numFmtId="41" fontId="42" fillId="0" borderId="0" xfId="0" applyNumberFormat="1" applyFont="1" applyFill="1"/>
    <xf numFmtId="167" fontId="37" fillId="0" borderId="0" xfId="2" quotePrefix="1" applyNumberFormat="1" applyFont="1" applyAlignment="1">
      <alignment horizontal="center"/>
    </xf>
    <xf numFmtId="194" fontId="37" fillId="0" borderId="0" xfId="2" quotePrefix="1" applyNumberFormat="1" applyFont="1" applyAlignment="1">
      <alignment horizontal="center"/>
    </xf>
    <xf numFmtId="0" fontId="138" fillId="0" borderId="0" xfId="8" applyFont="1" applyFill="1" applyAlignment="1"/>
    <xf numFmtId="169" fontId="49" fillId="0" borderId="0" xfId="8" quotePrefix="1" applyNumberFormat="1" applyFont="1" applyFill="1" applyAlignment="1">
      <alignment horizontal="right"/>
    </xf>
    <xf numFmtId="164" fontId="39" fillId="0" borderId="0" xfId="0" applyNumberFormat="1" applyFont="1" applyFill="1" applyBorder="1" applyAlignment="1" applyProtection="1"/>
    <xf numFmtId="170" fontId="37" fillId="0" borderId="0" xfId="2" applyNumberFormat="1" applyFont="1" applyFill="1"/>
    <xf numFmtId="170" fontId="44" fillId="0" borderId="10" xfId="0" applyNumberFormat="1" applyFont="1" applyFill="1" applyBorder="1" applyAlignment="1" applyProtection="1"/>
    <xf numFmtId="0" fontId="66" fillId="0" borderId="0" xfId="2" applyNumberFormat="1" applyFont="1" applyFill="1" applyAlignment="1"/>
    <xf numFmtId="174" fontId="66" fillId="0" borderId="20" xfId="2" quotePrefix="1" applyNumberFormat="1" applyFont="1" applyFill="1" applyBorder="1" applyAlignment="1">
      <alignment horizontal="right"/>
    </xf>
    <xf numFmtId="174" fontId="66" fillId="0" borderId="0" xfId="2" applyNumberFormat="1" applyFont="1" applyFill="1" applyAlignment="1"/>
    <xf numFmtId="174" fontId="66" fillId="0" borderId="0" xfId="2" applyNumberFormat="1" applyFont="1" applyFill="1" applyAlignment="1" applyProtection="1">
      <protection locked="0"/>
    </xf>
    <xf numFmtId="174" fontId="66" fillId="0" borderId="24" xfId="2" applyNumberFormat="1" applyFont="1" applyFill="1" applyBorder="1" applyAlignment="1" applyProtection="1">
      <protection locked="0"/>
    </xf>
    <xf numFmtId="174" fontId="66" fillId="0" borderId="21" xfId="2" applyNumberFormat="1" applyFont="1" applyFill="1" applyBorder="1" applyAlignment="1" applyProtection="1">
      <protection locked="0"/>
    </xf>
    <xf numFmtId="174" fontId="168" fillId="0" borderId="0" xfId="2" quotePrefix="1" applyNumberFormat="1" applyFont="1" applyFill="1" applyBorder="1" applyAlignment="1">
      <alignment horizontal="right"/>
    </xf>
    <xf numFmtId="169" fontId="168" fillId="0" borderId="15" xfId="2" applyNumberFormat="1" applyFont="1" applyFill="1" applyBorder="1" applyAlignment="1" applyProtection="1">
      <alignment horizontal="right"/>
      <protection locked="0"/>
    </xf>
    <xf numFmtId="174" fontId="168" fillId="0" borderId="0" xfId="2" applyNumberFormat="1" applyFont="1" applyFill="1" applyBorder="1" applyAlignment="1"/>
    <xf numFmtId="0" fontId="169" fillId="0" borderId="0" xfId="2" applyNumberFormat="1" applyFont="1" applyFill="1" applyBorder="1" applyAlignment="1"/>
    <xf numFmtId="164" fontId="168" fillId="0" borderId="0" xfId="1940" applyNumberFormat="1" applyFont="1" applyFill="1" applyAlignment="1"/>
    <xf numFmtId="0" fontId="95" fillId="0" borderId="0" xfId="2" applyNumberFormat="1" applyFont="1" applyFill="1" applyAlignment="1"/>
    <xf numFmtId="0" fontId="61" fillId="0" borderId="0" xfId="2" quotePrefix="1" applyNumberFormat="1" applyFont="1" applyFill="1" applyAlignment="1">
      <alignment horizontal="left"/>
    </xf>
    <xf numFmtId="170" fontId="61" fillId="0" borderId="10" xfId="2" quotePrefix="1" applyNumberFormat="1" applyFont="1" applyFill="1" applyBorder="1" applyAlignment="1">
      <alignment horizontal="right"/>
    </xf>
    <xf numFmtId="170" fontId="61" fillId="0" borderId="0" xfId="2" applyNumberFormat="1" applyFont="1" applyFill="1" applyBorder="1" applyAlignment="1" applyProtection="1">
      <protection locked="0"/>
    </xf>
    <xf numFmtId="170" fontId="61" fillId="0" borderId="0" xfId="2" applyNumberFormat="1" applyFont="1" applyFill="1" applyAlignment="1" applyProtection="1">
      <protection locked="0"/>
    </xf>
    <xf numFmtId="170" fontId="61" fillId="0" borderId="24" xfId="2" applyNumberFormat="1" applyFont="1" applyFill="1" applyBorder="1" applyAlignment="1" applyProtection="1">
      <protection locked="0"/>
    </xf>
    <xf numFmtId="170" fontId="61" fillId="0" borderId="21" xfId="2" applyNumberFormat="1" applyFont="1" applyFill="1" applyBorder="1" applyAlignment="1" applyProtection="1">
      <protection locked="0"/>
    </xf>
    <xf numFmtId="170" fontId="169" fillId="0" borderId="0" xfId="2" quotePrefix="1" applyNumberFormat="1" applyFont="1" applyFill="1" applyBorder="1" applyAlignment="1">
      <alignment horizontal="right"/>
    </xf>
    <xf numFmtId="166" fontId="169" fillId="0" borderId="15" xfId="2" applyNumberFormat="1" applyFont="1" applyFill="1" applyBorder="1" applyAlignment="1" applyProtection="1">
      <protection locked="0"/>
    </xf>
    <xf numFmtId="170" fontId="61" fillId="0" borderId="0" xfId="2" applyNumberFormat="1" applyFont="1" applyFill="1" applyBorder="1" applyAlignment="1"/>
    <xf numFmtId="164" fontId="169" fillId="0" borderId="0" xfId="1940" applyNumberFormat="1" applyFont="1" applyFill="1" applyAlignment="1"/>
    <xf numFmtId="170" fontId="61" fillId="0" borderId="0" xfId="2" quotePrefix="1" applyNumberFormat="1" applyFont="1" applyFill="1" applyAlignment="1">
      <alignment horizontal="center"/>
    </xf>
    <xf numFmtId="170" fontId="169" fillId="0" borderId="0" xfId="2" quotePrefix="1" applyNumberFormat="1" applyFont="1" applyFill="1" applyBorder="1" applyAlignment="1"/>
    <xf numFmtId="170" fontId="169" fillId="0" borderId="0" xfId="2" quotePrefix="1" applyNumberFormat="1" applyFont="1" applyFill="1" applyAlignment="1"/>
    <xf numFmtId="0" fontId="169" fillId="0" borderId="15" xfId="2" applyNumberFormat="1" applyFont="1" applyFill="1" applyBorder="1" applyAlignment="1"/>
    <xf numFmtId="164" fontId="61" fillId="0" borderId="0" xfId="0" applyNumberFormat="1" applyFont="1" applyFill="1" applyBorder="1" applyAlignment="1" applyProtection="1"/>
    <xf numFmtId="170" fontId="169" fillId="0" borderId="0" xfId="2" quotePrefix="1" applyNumberFormat="1" applyFont="1" applyFill="1" applyAlignment="1">
      <alignment horizontal="center"/>
    </xf>
    <xf numFmtId="0" fontId="169" fillId="0" borderId="0" xfId="2" applyNumberFormat="1" applyFont="1" applyFill="1" applyBorder="1" applyAlignment="1">
      <alignment horizontal="center"/>
    </xf>
    <xf numFmtId="166" fontId="169" fillId="0" borderId="15" xfId="2" quotePrefix="1" applyNumberFormat="1" applyFont="1" applyFill="1" applyBorder="1" applyAlignment="1" applyProtection="1">
      <alignment horizontal="right"/>
      <protection locked="0"/>
    </xf>
    <xf numFmtId="166" fontId="169" fillId="0" borderId="15" xfId="2" applyNumberFormat="1" applyFont="1" applyFill="1" applyBorder="1" applyAlignment="1" applyProtection="1">
      <alignment horizontal="center"/>
      <protection locked="0"/>
    </xf>
    <xf numFmtId="174" fontId="66" fillId="0" borderId="20" xfId="2" quotePrefix="1" applyNumberFormat="1" applyFont="1" applyFill="1" applyBorder="1" applyAlignment="1"/>
    <xf numFmtId="174" fontId="66" fillId="0" borderId="0" xfId="2" applyNumberFormat="1" applyFont="1" applyFill="1" applyBorder="1" applyAlignment="1">
      <alignment horizontal="right"/>
    </xf>
    <xf numFmtId="180" fontId="37" fillId="0" borderId="0" xfId="1767" applyNumberFormat="1" applyFont="1" applyFill="1" applyAlignment="1">
      <alignment horizontal="left"/>
    </xf>
    <xf numFmtId="177" fontId="37" fillId="0" borderId="0" xfId="1767" applyNumberFormat="1" applyFont="1" applyFill="1" applyAlignment="1">
      <alignment horizontal="right"/>
    </xf>
    <xf numFmtId="170" fontId="61" fillId="0" borderId="0" xfId="2" quotePrefix="1" applyNumberFormat="1" applyFont="1" applyFill="1" applyBorder="1" applyAlignment="1">
      <alignment horizontal="right"/>
    </xf>
    <xf numFmtId="170" fontId="169" fillId="0" borderId="0" xfId="2" applyNumberFormat="1" applyFont="1" applyFill="1" applyBorder="1" applyAlignment="1"/>
    <xf numFmtId="177" fontId="37" fillId="0" borderId="0" xfId="1767" applyNumberFormat="1" applyFont="1" applyFill="1" applyAlignment="1">
      <alignment horizontal="left"/>
    </xf>
    <xf numFmtId="180" fontId="61" fillId="0" borderId="0" xfId="1767" applyNumberFormat="1" applyFont="1" applyFill="1" applyAlignment="1">
      <alignment horizontal="left"/>
    </xf>
    <xf numFmtId="177" fontId="61" fillId="0" borderId="0" xfId="1767" applyNumberFormat="1" applyFont="1" applyFill="1" applyAlignment="1">
      <alignment horizontal="right"/>
    </xf>
    <xf numFmtId="177" fontId="61" fillId="0" borderId="0" xfId="740" applyNumberFormat="1" applyFont="1" applyAlignment="1">
      <alignment horizontal="right"/>
    </xf>
    <xf numFmtId="180" fontId="61" fillId="0" borderId="0" xfId="740" applyNumberFormat="1" applyFont="1" applyFill="1" applyAlignment="1">
      <alignment horizontal="center"/>
    </xf>
    <xf numFmtId="177" fontId="61" fillId="0" borderId="0" xfId="1767" applyNumberFormat="1" applyFont="1" applyFill="1" applyAlignment="1">
      <alignment horizontal="left"/>
    </xf>
    <xf numFmtId="177" fontId="61" fillId="0" borderId="0" xfId="740" applyNumberFormat="1" applyFont="1" applyFill="1" applyAlignment="1">
      <alignment horizontal="center"/>
    </xf>
    <xf numFmtId="177" fontId="61" fillId="0" borderId="66" xfId="1767" applyNumberFormat="1" applyFont="1" applyFill="1" applyBorder="1" applyAlignment="1">
      <alignment horizontal="left"/>
    </xf>
    <xf numFmtId="177" fontId="61" fillId="0" borderId="66" xfId="740" applyNumberFormat="1" applyFont="1" applyFill="1" applyBorder="1" applyAlignment="1">
      <alignment horizontal="center"/>
    </xf>
    <xf numFmtId="170" fontId="61" fillId="0" borderId="21" xfId="2" applyNumberFormat="1" applyFont="1" applyFill="1" applyBorder="1" applyAlignment="1"/>
    <xf numFmtId="170" fontId="66" fillId="0" borderId="0" xfId="2" quotePrefix="1" applyNumberFormat="1" applyFont="1" applyFill="1" applyAlignment="1">
      <alignment horizontal="right"/>
    </xf>
    <xf numFmtId="170" fontId="169" fillId="0" borderId="66" xfId="2" applyNumberFormat="1" applyFont="1" applyFill="1" applyBorder="1" applyAlignment="1"/>
    <xf numFmtId="164" fontId="169" fillId="0" borderId="66" xfId="1940" applyNumberFormat="1" applyFont="1" applyFill="1" applyBorder="1" applyAlignment="1"/>
    <xf numFmtId="170" fontId="76" fillId="0" borderId="0" xfId="2" quotePrefix="1" applyNumberFormat="1" applyFont="1" applyAlignment="1">
      <alignment horizontal="right"/>
    </xf>
    <xf numFmtId="170" fontId="76" fillId="0" borderId="0" xfId="2" applyNumberFormat="1" applyFont="1" applyFill="1" applyAlignment="1">
      <alignment horizontal="right"/>
    </xf>
    <xf numFmtId="170" fontId="76" fillId="0" borderId="84" xfId="2" applyNumberFormat="1" applyFont="1" applyBorder="1" applyAlignment="1">
      <alignment horizontal="right"/>
    </xf>
    <xf numFmtId="166" fontId="79" fillId="0" borderId="0" xfId="2" applyNumberFormat="1" applyFont="1" applyFill="1" applyAlignment="1"/>
    <xf numFmtId="166" fontId="76" fillId="0" borderId="0" xfId="2" applyNumberFormat="1" applyFont="1" applyFill="1" applyAlignment="1"/>
    <xf numFmtId="170" fontId="78" fillId="0" borderId="0" xfId="2" applyNumberFormat="1" applyFont="1" applyFill="1" applyAlignment="1">
      <alignment horizontal="right"/>
    </xf>
    <xf numFmtId="170" fontId="76" fillId="0" borderId="21" xfId="2" applyNumberFormat="1" applyFont="1" applyFill="1" applyBorder="1" applyAlignment="1"/>
    <xf numFmtId="166" fontId="169" fillId="0" borderId="15" xfId="2" applyNumberFormat="1" applyFont="1" applyFill="1" applyBorder="1" applyAlignment="1"/>
    <xf numFmtId="174" fontId="169" fillId="0" borderId="0" xfId="2" applyNumberFormat="1" applyFont="1" applyFill="1" applyBorder="1" applyAlignment="1"/>
    <xf numFmtId="169" fontId="169" fillId="0" borderId="0" xfId="2" applyNumberFormat="1" applyFont="1" applyFill="1" applyBorder="1" applyAlignment="1"/>
    <xf numFmtId="166" fontId="65" fillId="0" borderId="0" xfId="2" applyNumberFormat="1" applyFont="1" applyFill="1" applyAlignment="1"/>
    <xf numFmtId="165" fontId="63" fillId="0" borderId="0" xfId="2" applyNumberFormat="1" applyFont="1" applyFill="1" applyAlignment="1"/>
    <xf numFmtId="170" fontId="37" fillId="0" borderId="10" xfId="2" quotePrefix="1" applyNumberFormat="1" applyFont="1" applyFill="1" applyBorder="1" applyAlignment="1">
      <alignment horizontal="right"/>
    </xf>
    <xf numFmtId="170" fontId="37" fillId="0" borderId="0" xfId="2" quotePrefix="1" applyNumberFormat="1" applyFont="1" applyFill="1" applyBorder="1" applyAlignment="1"/>
    <xf numFmtId="164" fontId="0" fillId="0" borderId="0" xfId="0" applyFill="1"/>
    <xf numFmtId="177" fontId="99" fillId="0" borderId="0" xfId="1767" applyNumberFormat="1" applyFont="1" applyFill="1" applyAlignment="1"/>
    <xf numFmtId="177" fontId="37" fillId="0" borderId="0" xfId="740" applyNumberFormat="1" applyFont="1" applyFill="1" applyAlignment="1">
      <alignment horizontal="right"/>
    </xf>
    <xf numFmtId="177" fontId="37" fillId="0" borderId="0" xfId="1767" applyNumberFormat="1" applyFont="1" applyFill="1" applyAlignment="1">
      <alignment horizontal="center"/>
    </xf>
    <xf numFmtId="177" fontId="37" fillId="0" borderId="0" xfId="1767" applyNumberFormat="1" applyFont="1" applyFill="1" applyAlignment="1"/>
    <xf numFmtId="177" fontId="37" fillId="0" borderId="0" xfId="1767" quotePrefix="1" applyNumberFormat="1" applyFont="1" applyFill="1" applyAlignment="1">
      <alignment horizontal="center"/>
    </xf>
    <xf numFmtId="166" fontId="37" fillId="0" borderId="0" xfId="2" applyNumberFormat="1" applyFont="1" applyFill="1" applyBorder="1"/>
    <xf numFmtId="164" fontId="37" fillId="0" borderId="0" xfId="0" applyNumberFormat="1" applyFont="1" applyFill="1" applyBorder="1" applyAlignment="1" applyProtection="1"/>
    <xf numFmtId="164" fontId="37" fillId="0" borderId="0" xfId="0" applyNumberFormat="1" applyFont="1" applyFill="1" applyBorder="1" applyAlignment="1" applyProtection="1">
      <protection locked="0"/>
    </xf>
    <xf numFmtId="0" fontId="39" fillId="0" borderId="0" xfId="2" quotePrefix="1" applyNumberFormat="1" applyFont="1" applyFill="1" applyAlignment="1">
      <alignment horizontal="left"/>
    </xf>
    <xf numFmtId="164" fontId="39" fillId="0" borderId="0" xfId="0" applyNumberFormat="1" applyFont="1" applyFill="1" applyBorder="1" applyAlignment="1" applyProtection="1">
      <protection locked="0"/>
    </xf>
    <xf numFmtId="164" fontId="39" fillId="0" borderId="66" xfId="0" applyNumberFormat="1" applyFont="1" applyFill="1" applyBorder="1" applyAlignment="1" applyProtection="1">
      <protection locked="0"/>
    </xf>
    <xf numFmtId="172" fontId="37" fillId="0" borderId="0" xfId="0" applyNumberFormat="1" applyFont="1" applyFill="1" applyBorder="1" applyAlignment="1" applyProtection="1"/>
    <xf numFmtId="164" fontId="37" fillId="0" borderId="0" xfId="7" applyNumberFormat="1" applyFont="1" applyFill="1" applyAlignment="1">
      <alignment horizontal="right"/>
    </xf>
    <xf numFmtId="164" fontId="0" fillId="0" borderId="66" xfId="2" applyNumberFormat="1" applyFont="1" applyFill="1" applyBorder="1"/>
    <xf numFmtId="174" fontId="58" fillId="0" borderId="0" xfId="2" applyNumberFormat="1" applyFont="1" applyFill="1" applyAlignment="1"/>
    <xf numFmtId="41" fontId="44" fillId="0" borderId="95" xfId="840" applyNumberFormat="1" applyFont="1" applyFill="1" applyBorder="1" applyAlignment="1"/>
    <xf numFmtId="165" fontId="40" fillId="0" borderId="0" xfId="840" applyNumberFormat="1" applyFont="1" applyFill="1" applyAlignment="1" applyProtection="1">
      <protection locked="0"/>
    </xf>
    <xf numFmtId="165" fontId="65" fillId="0" borderId="0" xfId="840" applyNumberFormat="1" applyFont="1" applyFill="1" applyAlignment="1"/>
    <xf numFmtId="165" fontId="67" fillId="0" borderId="0" xfId="840" applyNumberFormat="1" applyFont="1" applyFill="1" applyAlignment="1">
      <alignment horizontal="left"/>
    </xf>
    <xf numFmtId="165" fontId="108" fillId="0" borderId="0" xfId="840" applyNumberFormat="1" applyFont="1" applyFill="1" applyAlignment="1">
      <alignment horizontal="right"/>
    </xf>
    <xf numFmtId="39" fontId="42" fillId="0" borderId="0" xfId="840" applyNumberFormat="1" applyFont="1" applyFill="1" applyAlignment="1"/>
    <xf numFmtId="40" fontId="42" fillId="0" borderId="0" xfId="840" applyNumberFormat="1" applyFont="1" applyFill="1" applyAlignment="1"/>
    <xf numFmtId="39" fontId="65" fillId="0" borderId="0" xfId="19" applyNumberFormat="1" applyFont="1" applyFill="1" applyAlignment="1"/>
    <xf numFmtId="190" fontId="108" fillId="0" borderId="0" xfId="11" applyNumberFormat="1" applyFont="1" applyFill="1" applyAlignment="1">
      <alignment horizontal="right"/>
    </xf>
    <xf numFmtId="190" fontId="162" fillId="0" borderId="0" xfId="11" applyNumberFormat="1" applyFont="1" applyFill="1" applyAlignment="1">
      <alignment horizontal="right"/>
    </xf>
    <xf numFmtId="40" fontId="37" fillId="0" borderId="0" xfId="840" applyNumberFormat="1" applyFont="1" applyFill="1" applyAlignment="1">
      <alignment horizontal="center"/>
    </xf>
    <xf numFmtId="40" fontId="44" fillId="0" borderId="0" xfId="840" applyNumberFormat="1" applyFont="1" applyFill="1" applyAlignment="1"/>
    <xf numFmtId="190" fontId="37" fillId="0" borderId="0" xfId="11" applyNumberFormat="1" applyFont="1" applyFill="1" applyAlignment="1">
      <alignment horizontal="center"/>
    </xf>
    <xf numFmtId="0" fontId="67" fillId="0" borderId="0" xfId="840" applyNumberFormat="1" applyFont="1" applyFill="1" applyAlignment="1">
      <alignment horizontal="left"/>
    </xf>
    <xf numFmtId="0" fontId="67" fillId="0" borderId="0" xfId="840" quotePrefix="1" applyNumberFormat="1" applyFont="1" applyFill="1" applyAlignment="1">
      <alignment horizontal="left"/>
    </xf>
    <xf numFmtId="0" fontId="66" fillId="0" borderId="0" xfId="840" applyNumberFormat="1" applyFont="1" applyFill="1" applyAlignment="1"/>
    <xf numFmtId="40" fontId="37" fillId="0" borderId="0" xfId="840" quotePrefix="1" applyNumberFormat="1" applyFont="1" applyFill="1" applyAlignment="1">
      <alignment horizontal="center"/>
    </xf>
    <xf numFmtId="165" fontId="42" fillId="0" borderId="0" xfId="840" applyNumberFormat="1" applyFont="1" applyFill="1" applyAlignment="1"/>
    <xf numFmtId="40" fontId="44" fillId="0" borderId="0" xfId="840" quotePrefix="1" applyNumberFormat="1" applyFont="1" applyFill="1" applyBorder="1" applyAlignment="1">
      <alignment horizontal="left"/>
    </xf>
    <xf numFmtId="40" fontId="44" fillId="0" borderId="0" xfId="840" applyNumberFormat="1" applyFont="1" applyFill="1" applyBorder="1" applyAlignment="1">
      <alignment horizontal="left"/>
    </xf>
    <xf numFmtId="165" fontId="37" fillId="0" borderId="0" xfId="840" applyNumberFormat="1" applyFont="1" applyFill="1" applyAlignment="1"/>
    <xf numFmtId="0" fontId="44" fillId="0" borderId="0" xfId="840" quotePrefix="1" applyNumberFormat="1" applyFont="1" applyFill="1" applyAlignment="1">
      <alignment horizontal="center"/>
    </xf>
    <xf numFmtId="39" fontId="44" fillId="0" borderId="0" xfId="840" quotePrefix="1" applyNumberFormat="1" applyFont="1" applyFill="1" applyAlignment="1">
      <alignment horizontal="center"/>
    </xf>
    <xf numFmtId="40" fontId="44" fillId="0" borderId="0" xfId="840" applyNumberFormat="1" applyFont="1" applyFill="1" applyAlignment="1">
      <alignment horizontal="center"/>
    </xf>
    <xf numFmtId="40" fontId="44" fillId="0" borderId="0" xfId="840" applyNumberFormat="1" applyFont="1" applyFill="1" applyBorder="1" applyAlignment="1">
      <alignment horizontal="center"/>
    </xf>
    <xf numFmtId="186" fontId="44" fillId="0" borderId="0" xfId="840" quotePrefix="1" applyNumberFormat="1" applyFont="1" applyFill="1" applyBorder="1" applyAlignment="1">
      <alignment horizontal="center"/>
    </xf>
    <xf numFmtId="39" fontId="37" fillId="0" borderId="20" xfId="840" applyNumberFormat="1" applyFont="1" applyFill="1" applyBorder="1" applyAlignment="1"/>
    <xf numFmtId="39" fontId="37" fillId="0" borderId="0" xfId="840" applyNumberFormat="1" applyFont="1" applyFill="1" applyBorder="1" applyAlignment="1"/>
    <xf numFmtId="40" fontId="37" fillId="0" borderId="0" xfId="840" applyNumberFormat="1" applyFont="1" applyFill="1" applyAlignment="1"/>
    <xf numFmtId="190" fontId="37" fillId="0" borderId="20" xfId="11" applyNumberFormat="1" applyFont="1" applyFill="1" applyBorder="1" applyAlignment="1"/>
    <xf numFmtId="165" fontId="65" fillId="0" borderId="0" xfId="840" applyNumberFormat="1" applyFont="1" applyFill="1" applyBorder="1" applyAlignment="1"/>
    <xf numFmtId="42" fontId="37" fillId="0" borderId="0" xfId="840" applyNumberFormat="1" applyFont="1" applyFill="1" applyAlignment="1"/>
    <xf numFmtId="165" fontId="75" fillId="0" borderId="0" xfId="840" applyNumberFormat="1" applyFont="1" applyFill="1" applyAlignment="1"/>
    <xf numFmtId="0" fontId="37" fillId="0" borderId="0" xfId="840" applyNumberFormat="1" applyFont="1" applyFill="1" applyAlignment="1"/>
    <xf numFmtId="37" fontId="37" fillId="0" borderId="0" xfId="840" applyNumberFormat="1" applyFont="1" applyFill="1" applyBorder="1" applyAlignment="1"/>
    <xf numFmtId="190" fontId="37" fillId="0" borderId="0" xfId="11" applyNumberFormat="1" applyFont="1" applyFill="1" applyAlignment="1"/>
    <xf numFmtId="41" fontId="37" fillId="0" borderId="0" xfId="840" applyNumberFormat="1" applyFont="1" applyFill="1" applyAlignment="1">
      <alignment horizontal="center"/>
    </xf>
    <xf numFmtId="41" fontId="44" fillId="0" borderId="0" xfId="840" applyNumberFormat="1" applyFont="1" applyFill="1" applyAlignment="1"/>
    <xf numFmtId="43" fontId="75" fillId="0" borderId="0" xfId="11" applyFont="1" applyFill="1" applyAlignment="1"/>
    <xf numFmtId="43" fontId="65" fillId="0" borderId="0" xfId="11" applyFont="1" applyFill="1" applyAlignment="1"/>
    <xf numFmtId="41" fontId="65" fillId="0" borderId="0" xfId="840" applyNumberFormat="1" applyFont="1" applyFill="1" applyAlignment="1"/>
    <xf numFmtId="41" fontId="44" fillId="0" borderId="95" xfId="840" quotePrefix="1" applyNumberFormat="1" applyFont="1" applyFill="1" applyBorder="1" applyAlignment="1"/>
    <xf numFmtId="41" fontId="44" fillId="0" borderId="16" xfId="840" quotePrefix="1" applyNumberFormat="1" applyFont="1" applyFill="1" applyBorder="1" applyAlignment="1"/>
    <xf numFmtId="41" fontId="37" fillId="0" borderId="84" xfId="840" quotePrefix="1" applyNumberFormat="1" applyFont="1" applyFill="1" applyBorder="1" applyAlignment="1">
      <alignment horizontal="center"/>
    </xf>
    <xf numFmtId="41" fontId="37" fillId="0" borderId="19" xfId="11" applyNumberFormat="1" applyFont="1" applyFill="1" applyBorder="1" applyAlignment="1"/>
    <xf numFmtId="41" fontId="44" fillId="0" borderId="66" xfId="840" applyNumberFormat="1" applyFont="1" applyFill="1" applyBorder="1" applyAlignment="1"/>
    <xf numFmtId="190" fontId="37" fillId="0" borderId="0" xfId="11" applyNumberFormat="1" applyFont="1" applyFill="1" applyBorder="1" applyAlignment="1"/>
    <xf numFmtId="42" fontId="44" fillId="0" borderId="81" xfId="840" applyNumberFormat="1" applyFont="1" applyFill="1" applyBorder="1" applyAlignment="1"/>
    <xf numFmtId="40" fontId="37" fillId="0" borderId="0" xfId="840" applyNumberFormat="1" applyFont="1" applyFill="1" applyBorder="1" applyAlignment="1"/>
    <xf numFmtId="0" fontId="42" fillId="0" borderId="0" xfId="840" applyNumberFormat="1" applyFont="1" applyFill="1" applyAlignment="1">
      <alignment horizontal="left"/>
    </xf>
    <xf numFmtId="39" fontId="37" fillId="0" borderId="0" xfId="840" applyNumberFormat="1" applyFont="1" applyFill="1" applyAlignment="1"/>
    <xf numFmtId="0" fontId="61" fillId="0" borderId="0" xfId="840" quotePrefix="1" applyNumberFormat="1" applyFont="1" applyFill="1" applyAlignment="1">
      <alignment horizontal="left"/>
    </xf>
    <xf numFmtId="190" fontId="42" fillId="0" borderId="0" xfId="11" applyNumberFormat="1" applyFont="1" applyFill="1" applyAlignment="1"/>
    <xf numFmtId="40" fontId="65" fillId="0" borderId="0" xfId="19" applyNumberFormat="1" applyFont="1" applyFill="1" applyAlignment="1"/>
    <xf numFmtId="190" fontId="65" fillId="0" borderId="0" xfId="11" applyNumberFormat="1" applyFont="1" applyFill="1" applyAlignment="1"/>
    <xf numFmtId="174" fontId="37" fillId="0" borderId="0" xfId="0" applyNumberFormat="1" applyFont="1" applyFill="1" applyAlignment="1" applyProtection="1"/>
    <xf numFmtId="170" fontId="37" fillId="0" borderId="0" xfId="0" quotePrefix="1" applyNumberFormat="1" applyFont="1" applyFill="1" applyAlignment="1" applyProtection="1">
      <alignment horizontal="right"/>
    </xf>
    <xf numFmtId="170" fontId="37" fillId="0" borderId="0" xfId="0" quotePrefix="1" applyNumberFormat="1" applyFont="1" applyFill="1" applyAlignment="1" applyProtection="1">
      <alignment horizontal="center"/>
    </xf>
    <xf numFmtId="170" fontId="37" fillId="0" borderId="0"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xf numFmtId="170" fontId="39" fillId="0" borderId="0" xfId="2" applyNumberFormat="1" applyFont="1" applyFill="1" applyBorder="1"/>
    <xf numFmtId="172" fontId="0" fillId="0" borderId="0" xfId="0" applyNumberFormat="1" applyFont="1" applyFill="1" applyBorder="1" applyAlignment="1" applyProtection="1"/>
    <xf numFmtId="165" fontId="37" fillId="0" borderId="0" xfId="0" applyNumberFormat="1" applyFont="1" applyFill="1" applyAlignment="1"/>
    <xf numFmtId="174" fontId="37" fillId="0" borderId="0" xfId="5517" applyNumberFormat="1" applyFont="1" applyFill="1"/>
    <xf numFmtId="166" fontId="37" fillId="0" borderId="0" xfId="2" applyNumberFormat="1" applyFont="1" applyFill="1" applyAlignment="1">
      <alignment horizontal="right"/>
    </xf>
    <xf numFmtId="164" fontId="0" fillId="0" borderId="0" xfId="2" applyNumberFormat="1" applyFont="1" applyFill="1" applyBorder="1" applyProtection="1"/>
    <xf numFmtId="174" fontId="37" fillId="0" borderId="0" xfId="0" quotePrefix="1" applyNumberFormat="1" applyFont="1" applyFill="1" applyAlignment="1" applyProtection="1">
      <alignment horizontal="left"/>
    </xf>
    <xf numFmtId="170" fontId="44" fillId="0" borderId="85" xfId="0" applyNumberFormat="1" applyFont="1" applyFill="1" applyBorder="1" applyAlignment="1" applyProtection="1"/>
    <xf numFmtId="170" fontId="37" fillId="0" borderId="82" xfId="0" quotePrefix="1" applyNumberFormat="1" applyFont="1" applyFill="1" applyBorder="1" applyAlignment="1" applyProtection="1">
      <alignment horizontal="center"/>
    </xf>
    <xf numFmtId="170" fontId="44" fillId="0" borderId="82" xfId="0" applyNumberFormat="1" applyFont="1" applyFill="1" applyBorder="1" applyAlignment="1" applyProtection="1"/>
    <xf numFmtId="170" fontId="37" fillId="0" borderId="82" xfId="0" applyNumberFormat="1" applyFont="1" applyFill="1" applyBorder="1" applyAlignment="1" applyProtection="1"/>
    <xf numFmtId="170" fontId="44" fillId="0" borderId="82"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alignment horizontal="right"/>
    </xf>
    <xf numFmtId="170" fontId="37" fillId="0" borderId="0" xfId="0" quotePrefix="1" applyNumberFormat="1" applyFont="1" applyFill="1" applyAlignment="1" applyProtection="1"/>
    <xf numFmtId="167" fontId="39" fillId="0" borderId="0" xfId="0" applyNumberFormat="1" applyFont="1" applyFill="1" applyBorder="1" applyAlignment="1" applyProtection="1"/>
    <xf numFmtId="9" fontId="42" fillId="0" borderId="0" xfId="2" applyNumberFormat="1" applyFont="1" applyFill="1" applyAlignment="1"/>
    <xf numFmtId="166" fontId="39" fillId="0" borderId="47" xfId="2" applyNumberFormat="1" applyFont="1" applyFill="1" applyBorder="1" applyAlignment="1"/>
    <xf numFmtId="165" fontId="37" fillId="0" borderId="0" xfId="2" applyNumberFormat="1" applyFont="1" applyFill="1" applyAlignment="1">
      <alignment horizontal="right"/>
    </xf>
    <xf numFmtId="164" fontId="37" fillId="0" borderId="0" xfId="2" applyNumberFormat="1" applyFont="1" applyFill="1" applyAlignment="1" applyProtection="1">
      <alignment horizontal="right"/>
    </xf>
    <xf numFmtId="164" fontId="37" fillId="0" borderId="66" xfId="0" applyNumberFormat="1" applyFont="1" applyFill="1" applyBorder="1" applyAlignment="1" applyProtection="1"/>
    <xf numFmtId="3" fontId="39" fillId="0" borderId="0" xfId="2" applyNumberFormat="1" applyFont="1" applyFill="1" applyAlignment="1"/>
    <xf numFmtId="3" fontId="39" fillId="0" borderId="0" xfId="2" applyNumberFormat="1" applyFont="1" applyFill="1" applyAlignment="1">
      <alignment horizontal="left"/>
    </xf>
    <xf numFmtId="164" fontId="37" fillId="0" borderId="0" xfId="2" applyNumberFormat="1" applyFont="1" applyFill="1" applyBorder="1" applyAlignment="1" applyProtection="1">
      <alignment horizontal="right"/>
    </xf>
    <xf numFmtId="165" fontId="39" fillId="0" borderId="0" xfId="2" applyNumberFormat="1" applyFont="1" applyFill="1" applyAlignment="1">
      <alignment horizontal="left"/>
    </xf>
    <xf numFmtId="170" fontId="44" fillId="0" borderId="47" xfId="2" applyNumberFormat="1" applyFont="1" applyFill="1" applyBorder="1" applyAlignment="1"/>
    <xf numFmtId="164" fontId="37" fillId="0" borderId="0" xfId="2" applyNumberFormat="1" applyFont="1" applyFill="1" applyAlignment="1" applyProtection="1"/>
    <xf numFmtId="164" fontId="42" fillId="0" borderId="0" xfId="2" applyNumberFormat="1" applyFont="1" applyFill="1" applyAlignment="1"/>
    <xf numFmtId="164" fontId="44" fillId="0" borderId="45" xfId="2" applyNumberFormat="1" applyFont="1" applyFill="1" applyBorder="1" applyAlignment="1" applyProtection="1"/>
    <xf numFmtId="164" fontId="44" fillId="0" borderId="0" xfId="2" applyNumberFormat="1" applyFont="1" applyFill="1" applyBorder="1" applyAlignment="1" applyProtection="1"/>
    <xf numFmtId="164" fontId="37" fillId="0" borderId="0" xfId="2" applyNumberFormat="1" applyFont="1" applyFill="1" applyAlignment="1" applyProtection="1">
      <protection locked="0"/>
    </xf>
    <xf numFmtId="172" fontId="37" fillId="0" borderId="0" xfId="2" applyNumberFormat="1" applyFont="1" applyFill="1" applyAlignment="1" applyProtection="1">
      <protection locked="0"/>
    </xf>
    <xf numFmtId="0" fontId="47" fillId="0" borderId="0" xfId="2" applyNumberFormat="1" applyFont="1" applyFill="1" applyAlignment="1"/>
    <xf numFmtId="174" fontId="37" fillId="0" borderId="47" xfId="2" applyNumberFormat="1" applyFont="1" applyFill="1" applyBorder="1" applyAlignment="1">
      <alignment horizontal="center"/>
    </xf>
    <xf numFmtId="164" fontId="44" fillId="0" borderId="0" xfId="2" applyNumberFormat="1" applyFont="1" applyFill="1" applyAlignment="1" applyProtection="1">
      <protection locked="0"/>
    </xf>
    <xf numFmtId="165" fontId="43" fillId="0" borderId="0" xfId="2" applyNumberFormat="1" applyFont="1" applyFill="1" applyAlignment="1"/>
    <xf numFmtId="164" fontId="37" fillId="0" borderId="0" xfId="0" applyNumberFormat="1" applyFont="1" applyFill="1" applyProtection="1">
      <protection locked="0"/>
    </xf>
    <xf numFmtId="172" fontId="37" fillId="0" borderId="0" xfId="2" applyNumberFormat="1" applyFont="1" applyFill="1" applyAlignment="1" applyProtection="1"/>
    <xf numFmtId="174" fontId="37" fillId="0" borderId="0" xfId="0" quotePrefix="1" applyNumberFormat="1" applyFont="1" applyFill="1" applyBorder="1" applyAlignment="1" applyProtection="1"/>
    <xf numFmtId="164" fontId="37" fillId="0" borderId="0" xfId="0" quotePrefix="1" applyNumberFormat="1" applyFont="1" applyFill="1" applyBorder="1" applyAlignment="1" applyProtection="1"/>
    <xf numFmtId="164" fontId="63" fillId="0" borderId="0" xfId="0" applyNumberFormat="1" applyFont="1" applyFill="1" applyAlignment="1" applyProtection="1"/>
    <xf numFmtId="164" fontId="63" fillId="0" borderId="66" xfId="0" applyNumberFormat="1" applyFont="1" applyFill="1" applyBorder="1" applyAlignment="1" applyProtection="1"/>
    <xf numFmtId="170" fontId="44" fillId="0" borderId="86" xfId="0" applyNumberFormat="1" applyFont="1" applyFill="1" applyBorder="1" applyAlignment="1" applyProtection="1"/>
    <xf numFmtId="164" fontId="64" fillId="0" borderId="86" xfId="0" applyNumberFormat="1" applyFont="1" applyFill="1" applyBorder="1" applyAlignment="1" applyProtection="1"/>
    <xf numFmtId="39" fontId="42" fillId="0" borderId="0" xfId="0" quotePrefix="1" applyNumberFormat="1" applyFont="1" applyFill="1" applyAlignment="1">
      <alignment horizontal="right"/>
    </xf>
    <xf numFmtId="170" fontId="44" fillId="0" borderId="70" xfId="2" applyNumberFormat="1" applyFont="1" applyBorder="1" applyAlignment="1"/>
    <xf numFmtId="170" fontId="44" fillId="0" borderId="70" xfId="2" applyNumberFormat="1" applyFont="1" applyFill="1" applyBorder="1" applyAlignment="1"/>
    <xf numFmtId="170" fontId="0" fillId="0" borderId="0" xfId="0" applyNumberFormat="1" applyFont="1" applyAlignment="1" applyProtection="1">
      <alignment horizontal="right"/>
      <protection locked="0"/>
    </xf>
    <xf numFmtId="166" fontId="37" fillId="0" borderId="20" xfId="2" applyNumberFormat="1" applyFont="1" applyBorder="1" applyAlignment="1"/>
    <xf numFmtId="170" fontId="44" fillId="0" borderId="66" xfId="5517" applyNumberFormat="1" applyFont="1" applyFill="1" applyBorder="1"/>
    <xf numFmtId="166" fontId="37" fillId="0" borderId="0" xfId="2" applyNumberFormat="1" applyFont="1" applyAlignment="1" applyProtection="1"/>
    <xf numFmtId="170" fontId="44" fillId="0" borderId="45" xfId="1046" applyNumberFormat="1" applyFont="1" applyFill="1" applyBorder="1"/>
    <xf numFmtId="170" fontId="44" fillId="0" borderId="0" xfId="1046" applyNumberFormat="1" applyFont="1" applyFill="1" applyBorder="1"/>
    <xf numFmtId="170" fontId="61" fillId="0" borderId="0" xfId="2" applyNumberFormat="1" applyFont="1" applyAlignment="1">
      <alignment horizontal="right"/>
    </xf>
    <xf numFmtId="170" fontId="61" fillId="0" borderId="10" xfId="2" quotePrefix="1" applyNumberFormat="1" applyFont="1" applyBorder="1" applyAlignment="1">
      <alignment horizontal="right"/>
    </xf>
    <xf numFmtId="0" fontId="0" fillId="0" borderId="0" xfId="2" applyNumberFormat="1" applyFont="1" applyFill="1" applyAlignment="1"/>
    <xf numFmtId="170" fontId="165" fillId="0" borderId="0" xfId="2" applyNumberFormat="1" applyFont="1" applyFill="1" applyBorder="1"/>
    <xf numFmtId="170" fontId="166" fillId="0" borderId="15" xfId="2" applyNumberFormat="1" applyFont="1" applyFill="1" applyBorder="1"/>
    <xf numFmtId="174" fontId="44" fillId="0" borderId="81" xfId="2" applyNumberFormat="1" applyFont="1" applyFill="1" applyBorder="1" applyAlignment="1"/>
    <xf numFmtId="0" fontId="44" fillId="0" borderId="0" xfId="2" applyNumberFormat="1" applyFont="1" applyFill="1" applyBorder="1" applyAlignment="1" applyProtection="1"/>
    <xf numFmtId="167" fontId="44" fillId="0" borderId="0" xfId="2" applyNumberFormat="1" applyFont="1" applyFill="1" applyAlignment="1"/>
    <xf numFmtId="167" fontId="44" fillId="0" borderId="0" xfId="2" applyNumberFormat="1" applyFont="1" applyFill="1" applyBorder="1"/>
    <xf numFmtId="174" fontId="44" fillId="0" borderId="0" xfId="2" applyNumberFormat="1" applyFont="1" applyBorder="1" applyAlignment="1">
      <alignment horizontal="center"/>
    </xf>
    <xf numFmtId="164" fontId="44" fillId="0" borderId="0" xfId="2" applyNumberFormat="1" applyFont="1" applyFill="1" applyAlignment="1" applyProtection="1"/>
    <xf numFmtId="164" fontId="44" fillId="0" borderId="81" xfId="2" applyNumberFormat="1" applyFont="1" applyBorder="1" applyAlignment="1" applyProtection="1"/>
    <xf numFmtId="196" fontId="42" fillId="0" borderId="0" xfId="2" applyNumberFormat="1" applyFont="1" applyAlignment="1"/>
    <xf numFmtId="172" fontId="44" fillId="0" borderId="66" xfId="2" applyNumberFormat="1" applyFont="1" applyBorder="1" applyAlignment="1" applyProtection="1"/>
    <xf numFmtId="170" fontId="39" fillId="0" borderId="96" xfId="2" applyNumberFormat="1" applyFont="1" applyBorder="1" applyAlignment="1"/>
    <xf numFmtId="174" fontId="44" fillId="0" borderId="81" xfId="2" applyNumberFormat="1" applyFont="1" applyBorder="1" applyAlignment="1"/>
    <xf numFmtId="165" fontId="39" fillId="0" borderId="96" xfId="2" applyNumberFormat="1" applyFont="1" applyBorder="1" applyAlignment="1"/>
    <xf numFmtId="44" fontId="42" fillId="0" borderId="0" xfId="0" applyNumberFormat="1" applyFont="1" applyFill="1"/>
    <xf numFmtId="39" fontId="37" fillId="0" borderId="102" xfId="840" applyNumberFormat="1" applyFont="1" applyBorder="1" applyAlignment="1"/>
    <xf numFmtId="41" fontId="37" fillId="0" borderId="0" xfId="840" quotePrefix="1" applyNumberFormat="1" applyFont="1" applyAlignment="1">
      <alignment horizontal="center"/>
    </xf>
    <xf numFmtId="41" fontId="37" fillId="0" borderId="0" xfId="840" applyNumberFormat="1" applyFont="1" applyBorder="1" applyAlignment="1">
      <alignment horizontal="right"/>
    </xf>
    <xf numFmtId="41" fontId="44" fillId="0" borderId="95" xfId="840" applyNumberFormat="1" applyFont="1" applyBorder="1" applyAlignment="1"/>
    <xf numFmtId="41" fontId="37" fillId="0" borderId="0" xfId="840" quotePrefix="1" applyNumberFormat="1" applyFont="1" applyFill="1" applyAlignment="1"/>
    <xf numFmtId="41" fontId="65" fillId="0" borderId="0" xfId="840" applyNumberFormat="1" applyFont="1" applyAlignment="1"/>
    <xf numFmtId="41" fontId="44" fillId="0" borderId="95" xfId="840" quotePrefix="1" applyNumberFormat="1" applyFont="1" applyBorder="1" applyAlignment="1"/>
    <xf numFmtId="41" fontId="37" fillId="0" borderId="103" xfId="840" quotePrefix="1" applyNumberFormat="1" applyFont="1" applyBorder="1" applyAlignment="1">
      <alignment horizontal="center"/>
    </xf>
    <xf numFmtId="41" fontId="37" fillId="0" borderId="103" xfId="840" quotePrefix="1" applyNumberFormat="1" applyFont="1" applyBorder="1" applyAlignment="1">
      <alignment horizontal="right"/>
    </xf>
    <xf numFmtId="170" fontId="37" fillId="0" borderId="102" xfId="2" applyNumberFormat="1" applyFont="1" applyBorder="1" applyAlignment="1"/>
    <xf numFmtId="170" fontId="44" fillId="0" borderId="104" xfId="2" applyNumberFormat="1" applyFont="1" applyBorder="1" applyAlignment="1"/>
    <xf numFmtId="170" fontId="44" fillId="0" borderId="102" xfId="2" applyNumberFormat="1" applyFont="1" applyBorder="1" applyAlignment="1"/>
    <xf numFmtId="170" fontId="44" fillId="0" borderId="102" xfId="2" applyNumberFormat="1" applyFont="1" applyFill="1" applyBorder="1" applyAlignment="1"/>
    <xf numFmtId="170" fontId="37" fillId="0" borderId="102" xfId="2" applyNumberFormat="1" applyFont="1" applyFill="1" applyBorder="1" applyAlignment="1"/>
    <xf numFmtId="172" fontId="39" fillId="0" borderId="0" xfId="1940" applyNumberFormat="1" applyFont="1" applyBorder="1" applyAlignment="1" applyProtection="1"/>
    <xf numFmtId="170" fontId="44" fillId="0" borderId="0" xfId="2" quotePrefix="1" applyNumberFormat="1" applyFont="1" applyAlignment="1">
      <alignment horizontal="right"/>
    </xf>
    <xf numFmtId="174" fontId="39" fillId="0" borderId="0" xfId="2" applyNumberFormat="1" applyFont="1" applyFill="1" applyAlignment="1"/>
    <xf numFmtId="194" fontId="44" fillId="0" borderId="0" xfId="2" quotePrefix="1" applyNumberFormat="1" applyFont="1" applyAlignment="1">
      <alignment horizontal="center"/>
    </xf>
    <xf numFmtId="198" fontId="37" fillId="0" borderId="0" xfId="739" applyNumberFormat="1" applyFont="1" applyBorder="1" applyAlignment="1" applyProtection="1">
      <protection locked="0"/>
    </xf>
    <xf numFmtId="198" fontId="37" fillId="0" borderId="0" xfId="739" applyNumberFormat="1" applyFont="1" applyAlignment="1"/>
    <xf numFmtId="198" fontId="95" fillId="0" borderId="0" xfId="739" applyNumberFormat="1" applyFont="1" applyBorder="1" applyAlignment="1"/>
    <xf numFmtId="198" fontId="95" fillId="0" borderId="0" xfId="739" applyNumberFormat="1" applyFont="1" applyAlignment="1"/>
    <xf numFmtId="198" fontId="94" fillId="0" borderId="0" xfId="739" applyNumberFormat="1" applyFont="1" applyAlignment="1"/>
    <xf numFmtId="42" fontId="96" fillId="0" borderId="81" xfId="739" applyNumberFormat="1" applyFont="1" applyBorder="1" applyAlignment="1"/>
    <xf numFmtId="39" fontId="37" fillId="0" borderId="102" xfId="1776" applyNumberFormat="1" applyFont="1" applyFill="1" applyBorder="1" applyAlignment="1"/>
    <xf numFmtId="43" fontId="44" fillId="0" borderId="98" xfId="1776" applyNumberFormat="1" applyFont="1" applyFill="1" applyBorder="1" applyAlignment="1"/>
    <xf numFmtId="43" fontId="37" fillId="0" borderId="102" xfId="1776" applyNumberFormat="1" applyFont="1" applyFill="1" applyBorder="1" applyAlignment="1"/>
    <xf numFmtId="43" fontId="44" fillId="0" borderId="102" xfId="1776" applyNumberFormat="1" applyFont="1" applyFill="1" applyBorder="1" applyAlignment="1"/>
    <xf numFmtId="43" fontId="44" fillId="0" borderId="95" xfId="1776" applyNumberFormat="1" applyFont="1" applyFill="1" applyBorder="1" applyAlignment="1"/>
    <xf numFmtId="44" fontId="44" fillId="0" borderId="81" xfId="1776" applyNumberFormat="1" applyFont="1" applyFill="1" applyBorder="1" applyAlignment="1">
      <alignment horizontal="right"/>
    </xf>
    <xf numFmtId="39" fontId="37" fillId="0" borderId="102" xfId="1776" applyNumberFormat="1" applyFont="1" applyBorder="1" applyAlignment="1"/>
    <xf numFmtId="43" fontId="44" fillId="0" borderId="95" xfId="1776" applyNumberFormat="1" applyFont="1" applyBorder="1" applyAlignment="1"/>
    <xf numFmtId="43" fontId="37" fillId="0" borderId="102" xfId="1776" applyNumberFormat="1" applyFont="1" applyBorder="1" applyAlignment="1"/>
    <xf numFmtId="0" fontId="44" fillId="0" borderId="102" xfId="17" applyNumberFormat="1" applyFont="1" applyBorder="1" applyAlignment="1"/>
    <xf numFmtId="174" fontId="44" fillId="0" borderId="87" xfId="17" applyNumberFormat="1" applyFont="1" applyBorder="1" applyAlignment="1"/>
    <xf numFmtId="181" fontId="42" fillId="0" borderId="0" xfId="1776" applyNumberFormat="1" applyFont="1" applyAlignment="1"/>
    <xf numFmtId="165" fontId="37" fillId="0" borderId="0" xfId="1776" applyNumberFormat="1" applyFont="1" applyAlignment="1" applyProtection="1">
      <protection locked="0"/>
    </xf>
    <xf numFmtId="181" fontId="66" fillId="0" borderId="0" xfId="1776" applyNumberFormat="1" applyFont="1" applyAlignment="1"/>
    <xf numFmtId="181" fontId="61" fillId="0" borderId="0" xfId="1776" applyNumberFormat="1" applyFont="1" applyAlignment="1"/>
    <xf numFmtId="181" fontId="66" fillId="0" borderId="0" xfId="1776" quotePrefix="1" applyNumberFormat="1" applyFont="1" applyAlignment="1">
      <alignment horizontal="left"/>
    </xf>
    <xf numFmtId="181" fontId="66" fillId="0" borderId="0" xfId="1776" applyNumberFormat="1" applyFont="1" applyAlignment="1">
      <alignment horizontal="center"/>
    </xf>
    <xf numFmtId="181" fontId="102" fillId="0" borderId="0" xfId="1776" applyNumberFormat="1" applyFont="1" applyAlignment="1">
      <alignment horizontal="center"/>
    </xf>
    <xf numFmtId="181" fontId="66" fillId="0" borderId="0" xfId="1776" quotePrefix="1" applyNumberFormat="1" applyFont="1" applyAlignment="1">
      <alignment horizontal="center"/>
    </xf>
    <xf numFmtId="181" fontId="66" fillId="0" borderId="102" xfId="1776" applyNumberFormat="1" applyFont="1" applyBorder="1" applyAlignment="1">
      <alignment horizontal="center"/>
    </xf>
    <xf numFmtId="181" fontId="66" fillId="0" borderId="102" xfId="1776" quotePrefix="1" applyNumberFormat="1" applyFont="1" applyBorder="1" applyAlignment="1">
      <alignment horizontal="fill"/>
    </xf>
    <xf numFmtId="181" fontId="102" fillId="0" borderId="0" xfId="1776" applyNumberFormat="1" applyFont="1" applyAlignment="1"/>
    <xf numFmtId="180" fontId="61" fillId="0" borderId="0" xfId="1776" applyNumberFormat="1" applyFont="1" applyFill="1" applyAlignment="1">
      <alignment horizontal="right"/>
    </xf>
    <xf numFmtId="181" fontId="61" fillId="0" borderId="0" xfId="1776" quotePrefix="1" applyNumberFormat="1" applyFont="1" applyAlignment="1">
      <alignment horizontal="left"/>
    </xf>
    <xf numFmtId="177" fontId="61" fillId="0" borderId="0" xfId="1776" applyNumberFormat="1" applyFont="1" applyFill="1" applyAlignment="1"/>
    <xf numFmtId="177" fontId="61" fillId="0" borderId="0" xfId="1776" applyNumberFormat="1" applyFont="1" applyFill="1" applyAlignment="1">
      <alignment horizontal="right"/>
    </xf>
    <xf numFmtId="181" fontId="66" fillId="0" borderId="0" xfId="1776" applyNumberFormat="1" applyFont="1" applyAlignment="1">
      <alignment horizontal="left"/>
    </xf>
    <xf numFmtId="180" fontId="66" fillId="0" borderId="105" xfId="1776" applyNumberFormat="1" applyFont="1" applyFill="1" applyBorder="1" applyAlignment="1">
      <alignment horizontal="right"/>
    </xf>
    <xf numFmtId="181" fontId="43" fillId="0" borderId="0" xfId="1776" applyNumberFormat="1" applyFont="1" applyAlignment="1"/>
    <xf numFmtId="181" fontId="61" fillId="0" borderId="0" xfId="1776" applyNumberFormat="1" applyFont="1" applyBorder="1" applyAlignment="1"/>
    <xf numFmtId="181" fontId="42" fillId="0" borderId="0" xfId="1776" applyNumberFormat="1" applyFont="1" applyAlignment="1">
      <alignment horizontal="left" vertical="top" wrapText="1"/>
    </xf>
    <xf numFmtId="181" fontId="42" fillId="0" borderId="0" xfId="1776" quotePrefix="1" applyNumberFormat="1" applyFont="1" applyBorder="1" applyAlignment="1">
      <alignment horizontal="left" wrapText="1"/>
    </xf>
    <xf numFmtId="181" fontId="42" fillId="0" borderId="0" xfId="1776" applyNumberFormat="1" applyFont="1" applyBorder="1" applyAlignment="1"/>
    <xf numFmtId="181" fontId="42" fillId="0" borderId="0" xfId="1776" applyNumberFormat="1" applyFont="1" applyBorder="1" applyAlignment="1">
      <alignment horizontal="right"/>
    </xf>
    <xf numFmtId="39" fontId="42" fillId="0" borderId="0" xfId="1776" applyNumberFormat="1" applyFont="1" applyBorder="1" applyAlignment="1"/>
    <xf numFmtId="39" fontId="42" fillId="0" borderId="0" xfId="1776" applyNumberFormat="1" applyFont="1" applyAlignment="1"/>
    <xf numFmtId="181" fontId="42" fillId="0" borderId="0" xfId="1776" quotePrefix="1" applyNumberFormat="1" applyFont="1" applyBorder="1" applyAlignment="1">
      <alignment horizontal="left"/>
    </xf>
    <xf numFmtId="39" fontId="42" fillId="0" borderId="0" xfId="1776" quotePrefix="1" applyNumberFormat="1" applyFont="1" applyBorder="1" applyAlignment="1">
      <alignment horizontal="center"/>
    </xf>
    <xf numFmtId="39" fontId="42" fillId="0" borderId="0" xfId="1776" quotePrefix="1" applyNumberFormat="1" applyFont="1" applyBorder="1" applyAlignment="1">
      <alignment horizontal="right"/>
    </xf>
    <xf numFmtId="181" fontId="43" fillId="0" borderId="0" xfId="1776" quotePrefix="1" applyNumberFormat="1" applyFont="1" applyBorder="1" applyAlignment="1">
      <alignment horizontal="left"/>
    </xf>
    <xf numFmtId="181" fontId="42" fillId="0" borderId="0" xfId="1776" applyNumberFormat="1" applyFont="1" applyBorder="1" applyAlignment="1">
      <alignment horizontal="left"/>
    </xf>
    <xf numFmtId="39" fontId="43" fillId="0" borderId="0" xfId="1776" quotePrefix="1" applyNumberFormat="1" applyFont="1" applyBorder="1" applyAlignment="1">
      <alignment horizontal="center"/>
    </xf>
    <xf numFmtId="39" fontId="43" fillId="0" borderId="0" xfId="1776" applyNumberFormat="1" applyFont="1" applyBorder="1" applyAlignment="1"/>
    <xf numFmtId="172" fontId="169" fillId="0" borderId="0" xfId="1940" applyNumberFormat="1" applyFont="1" applyFill="1" applyAlignment="1"/>
    <xf numFmtId="172" fontId="168" fillId="0" borderId="70" xfId="1940" applyNumberFormat="1" applyFont="1" applyBorder="1" applyAlignment="1"/>
    <xf numFmtId="170" fontId="37" fillId="0" borderId="15" xfId="2" applyNumberFormat="1" applyFont="1" applyFill="1" applyBorder="1" applyAlignment="1">
      <alignment horizontal="right"/>
    </xf>
    <xf numFmtId="170" fontId="39" fillId="0" borderId="0" xfId="1" applyNumberFormat="1" applyFont="1" applyFill="1" applyBorder="1" applyAlignment="1">
      <alignment horizontal="center"/>
    </xf>
    <xf numFmtId="0" fontId="44" fillId="0" borderId="66" xfId="2" applyNumberFormat="1" applyFont="1" applyBorder="1" applyAlignment="1">
      <alignment horizontal="center"/>
    </xf>
    <xf numFmtId="40" fontId="44" fillId="0" borderId="0" xfId="840" quotePrefix="1" applyNumberFormat="1" applyFont="1" applyFill="1" applyAlignment="1">
      <alignment horizontal="center"/>
    </xf>
    <xf numFmtId="37" fontId="37" fillId="0" borderId="0" xfId="2" applyNumberFormat="1" applyFont="1" applyFill="1" applyAlignment="1">
      <alignment horizontal="right"/>
    </xf>
    <xf numFmtId="37" fontId="37" fillId="0" borderId="0" xfId="2" applyNumberFormat="1" applyFont="1" applyFill="1" applyBorder="1" applyAlignment="1"/>
    <xf numFmtId="37" fontId="37" fillId="0" borderId="0" xfId="2" quotePrefix="1" applyNumberFormat="1" applyFont="1" applyFill="1" applyBorder="1" applyAlignment="1">
      <alignment horizontal="center"/>
    </xf>
    <xf numFmtId="37" fontId="37" fillId="0" borderId="0" xfId="2" applyNumberFormat="1" applyFont="1" applyFill="1" applyBorder="1" applyAlignment="1">
      <alignment horizontal="right"/>
    </xf>
    <xf numFmtId="170" fontId="44" fillId="0" borderId="0" xfId="2" quotePrefix="1" applyNumberFormat="1" applyFont="1" applyFill="1" applyAlignment="1">
      <alignment horizontal="right"/>
    </xf>
    <xf numFmtId="37" fontId="37" fillId="0" borderId="0" xfId="2" applyNumberFormat="1" applyFont="1" applyFill="1" applyBorder="1"/>
    <xf numFmtId="0" fontId="37" fillId="0" borderId="0" xfId="1776" applyBorder="1" applyAlignment="1"/>
    <xf numFmtId="181" fontId="42" fillId="0" borderId="0" xfId="1776" applyNumberFormat="1" applyFont="1" applyBorder="1" applyAlignment="1">
      <alignment horizontal="left" vertical="top" wrapText="1"/>
    </xf>
    <xf numFmtId="0" fontId="44" fillId="0" borderId="0" xfId="17" applyNumberFormat="1" applyFont="1" applyAlignment="1">
      <alignment horizontal="left"/>
    </xf>
    <xf numFmtId="0" fontId="37" fillId="0" borderId="0" xfId="17" applyNumberFormat="1" applyFont="1" applyAlignment="1" applyProtection="1">
      <alignment horizontal="left"/>
      <protection locked="0"/>
    </xf>
    <xf numFmtId="0" fontId="44" fillId="0" borderId="0" xfId="17" applyNumberFormat="1" applyFont="1" applyAlignment="1" applyProtection="1">
      <alignment horizontal="left"/>
      <protection locked="0"/>
    </xf>
    <xf numFmtId="190" fontId="167" fillId="0" borderId="0" xfId="1773" applyNumberFormat="1" applyFont="1" applyFill="1"/>
    <xf numFmtId="190" fontId="42" fillId="0" borderId="0" xfId="1773" applyNumberFormat="1" applyFont="1" applyFill="1"/>
    <xf numFmtId="0" fontId="37" fillId="0" borderId="66" xfId="17" applyNumberFormat="1" applyFont="1" applyBorder="1" applyAlignment="1">
      <alignment horizontal="center"/>
    </xf>
    <xf numFmtId="0" fontId="44" fillId="0" borderId="66" xfId="2" applyNumberFormat="1" applyFont="1" applyBorder="1" applyAlignment="1">
      <alignment horizontal="center"/>
    </xf>
    <xf numFmtId="170" fontId="44" fillId="0" borderId="0" xfId="1" applyNumberFormat="1" applyFont="1" applyBorder="1" applyAlignment="1"/>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6" fillId="0" borderId="0" xfId="1776" applyNumberFormat="1" applyFont="1" applyFill="1" applyAlignment="1">
      <alignment horizontal="left"/>
    </xf>
    <xf numFmtId="0" fontId="61" fillId="0" borderId="0" xfId="1776" applyFont="1" applyFill="1" applyBorder="1" applyAlignment="1">
      <alignment horizontal="left"/>
    </xf>
    <xf numFmtId="0" fontId="44" fillId="0" borderId="0" xfId="1776" quotePrefix="1" applyNumberFormat="1" applyFont="1" applyFill="1" applyAlignment="1">
      <alignment horizontal="center"/>
    </xf>
    <xf numFmtId="0" fontId="37" fillId="0" borderId="0" xfId="1776" applyFont="1" applyFill="1" applyBorder="1" applyAlignment="1">
      <alignment horizontal="center"/>
    </xf>
    <xf numFmtId="43" fontId="37" fillId="0" borderId="66" xfId="1776" applyNumberFormat="1" applyFont="1" applyFill="1" applyBorder="1" applyAlignment="1" applyProtection="1">
      <alignment horizontal="right"/>
    </xf>
    <xf numFmtId="43" fontId="44" fillId="0" borderId="66" xfId="1776" applyNumberFormat="1" applyFont="1" applyBorder="1" applyAlignment="1"/>
    <xf numFmtId="43" fontId="37" fillId="0" borderId="66" xfId="1776" applyNumberFormat="1" applyFont="1" applyBorder="1" applyAlignment="1"/>
    <xf numFmtId="39" fontId="44" fillId="0" borderId="66" xfId="1776" applyNumberFormat="1" applyFont="1" applyFill="1" applyBorder="1" applyAlignment="1">
      <alignment horizontal="center"/>
    </xf>
    <xf numFmtId="44" fontId="44" fillId="0" borderId="106" xfId="1776" applyNumberFormat="1" applyFont="1" applyFill="1" applyBorder="1" applyAlignment="1"/>
    <xf numFmtId="39" fontId="37" fillId="0" borderId="106" xfId="1776" applyNumberFormat="1" applyFont="1" applyFill="1" applyBorder="1" applyAlignment="1"/>
    <xf numFmtId="43" fontId="37" fillId="0" borderId="106" xfId="1776" applyNumberFormat="1" applyFont="1" applyFill="1" applyBorder="1" applyAlignment="1"/>
    <xf numFmtId="43" fontId="44" fillId="0" borderId="106" xfId="1776" applyNumberFormat="1" applyFont="1" applyFill="1" applyBorder="1" applyAlignment="1"/>
    <xf numFmtId="43" fontId="44" fillId="0" borderId="66" xfId="1776" applyNumberFormat="1" applyFont="1" applyFill="1" applyBorder="1" applyAlignment="1">
      <alignment horizontal="right"/>
    </xf>
    <xf numFmtId="43" fontId="44" fillId="0" borderId="106" xfId="1776" applyNumberFormat="1" applyFont="1" applyFill="1" applyBorder="1" applyAlignment="1">
      <alignment horizontal="right"/>
    </xf>
    <xf numFmtId="43" fontId="37" fillId="0" borderId="106" xfId="1776" applyNumberFormat="1" applyFont="1" applyFill="1" applyBorder="1" applyAlignment="1" applyProtection="1"/>
    <xf numFmtId="43" fontId="37" fillId="0" borderId="66" xfId="1776" applyNumberFormat="1" applyFont="1" applyFill="1" applyBorder="1" applyAlignment="1" applyProtection="1"/>
    <xf numFmtId="43" fontId="37" fillId="0" borderId="106" xfId="1776" applyNumberFormat="1" applyFont="1" applyFill="1" applyBorder="1" applyAlignment="1" applyProtection="1">
      <alignment horizontal="right"/>
    </xf>
    <xf numFmtId="43" fontId="37" fillId="0" borderId="66" xfId="1776" applyNumberFormat="1" applyFont="1" applyFill="1" applyBorder="1" applyAlignment="1"/>
    <xf numFmtId="44" fontId="44" fillId="0" borderId="106" xfId="1776" applyNumberFormat="1" applyFont="1" applyFill="1" applyBorder="1" applyAlignment="1">
      <alignment horizontal="right"/>
    </xf>
    <xf numFmtId="170" fontId="37" fillId="0" borderId="0" xfId="1773" applyNumberFormat="1" applyFont="1" applyFill="1" applyAlignment="1"/>
    <xf numFmtId="170" fontId="66" fillId="0" borderId="98" xfId="2" quotePrefix="1" applyNumberFormat="1" applyFont="1" applyBorder="1" applyAlignment="1">
      <alignment horizontal="center"/>
    </xf>
    <xf numFmtId="166" fontId="39" fillId="0" borderId="28" xfId="2" applyNumberFormat="1" applyFont="1" applyBorder="1" applyAlignment="1"/>
    <xf numFmtId="170" fontId="39" fillId="0" borderId="0" xfId="2" applyNumberFormat="1" applyFont="1" applyFill="1" applyBorder="1" applyAlignment="1" applyProtection="1"/>
    <xf numFmtId="170" fontId="39" fillId="0" borderId="0" xfId="4" applyNumberFormat="1" applyFont="1" applyFill="1" applyProtection="1"/>
    <xf numFmtId="166" fontId="39" fillId="0" borderId="75" xfId="4" applyNumberFormat="1" applyFont="1" applyFill="1" applyBorder="1" applyProtection="1"/>
    <xf numFmtId="166" fontId="39" fillId="0" borderId="0" xfId="4" applyNumberFormat="1" applyFont="1" applyFill="1" applyProtection="1"/>
    <xf numFmtId="166" fontId="39" fillId="0" borderId="79" xfId="4" applyNumberFormat="1" applyFont="1" applyFill="1" applyBorder="1" applyProtection="1"/>
    <xf numFmtId="170" fontId="44" fillId="0" borderId="46" xfId="2" applyNumberFormat="1" applyFont="1" applyBorder="1" applyAlignment="1" applyProtection="1"/>
    <xf numFmtId="170" fontId="44" fillId="0" borderId="10" xfId="5" applyNumberFormat="1" applyFont="1" applyFill="1" applyBorder="1" applyProtection="1"/>
    <xf numFmtId="170" fontId="37" fillId="0" borderId="0" xfId="1046" applyNumberFormat="1" applyFont="1" applyFill="1" applyProtection="1"/>
    <xf numFmtId="170" fontId="39" fillId="0" borderId="75" xfId="4" applyNumberFormat="1" applyFont="1" applyFill="1" applyBorder="1" applyProtection="1"/>
    <xf numFmtId="170" fontId="39" fillId="0" borderId="83" xfId="4" applyNumberFormat="1" applyFont="1" applyFill="1" applyBorder="1" applyProtection="1"/>
    <xf numFmtId="174" fontId="37" fillId="0" borderId="0" xfId="5517" applyNumberFormat="1" applyFont="1" applyFill="1" applyProtection="1"/>
    <xf numFmtId="174" fontId="37" fillId="0" borderId="0" xfId="2" quotePrefix="1" applyNumberFormat="1" applyFont="1" applyFill="1" applyAlignment="1" applyProtection="1"/>
    <xf numFmtId="166" fontId="37" fillId="0" borderId="21" xfId="2" applyNumberFormat="1" applyFont="1" applyBorder="1" applyAlignment="1" applyProtection="1"/>
    <xf numFmtId="166" fontId="63" fillId="0" borderId="0" xfId="2" applyNumberFormat="1" applyFont="1" applyFill="1" applyAlignment="1" applyProtection="1"/>
    <xf numFmtId="166" fontId="39" fillId="0" borderId="0" xfId="2" applyNumberFormat="1" applyFont="1" applyFill="1" applyAlignment="1" applyProtection="1"/>
    <xf numFmtId="166" fontId="39" fillId="0" borderId="0" xfId="2" applyNumberFormat="1" applyFont="1" applyFill="1" applyAlignment="1" applyProtection="1">
      <alignment horizontal="right"/>
    </xf>
    <xf numFmtId="170" fontId="39" fillId="0" borderId="0" xfId="2" quotePrefix="1" applyNumberFormat="1" applyFont="1" applyFill="1" applyAlignment="1" applyProtection="1">
      <alignment horizontal="center"/>
    </xf>
    <xf numFmtId="170" fontId="39" fillId="0" borderId="0" xfId="2" applyNumberFormat="1" applyFont="1" applyFill="1" applyAlignment="1" applyProtection="1">
      <alignment horizontal="right"/>
    </xf>
    <xf numFmtId="170" fontId="39" fillId="0" borderId="0" xfId="2" applyNumberFormat="1" applyFont="1" applyFill="1" applyAlignment="1" applyProtection="1"/>
    <xf numFmtId="166" fontId="39" fillId="0" borderId="21" xfId="2" applyNumberFormat="1" applyFont="1" applyFill="1" applyBorder="1" applyAlignment="1" applyProtection="1"/>
    <xf numFmtId="170" fontId="39" fillId="0" borderId="18" xfId="2" applyNumberFormat="1" applyFont="1" applyFill="1" applyBorder="1" applyAlignment="1" applyProtection="1"/>
    <xf numFmtId="170" fontId="37" fillId="0" borderId="0" xfId="5517" applyNumberFormat="1" applyFont="1" applyFill="1" applyProtection="1"/>
    <xf numFmtId="170" fontId="37" fillId="0" borderId="0" xfId="2" quotePrefix="1" applyNumberFormat="1" applyFont="1" applyFill="1" applyAlignment="1" applyProtection="1"/>
    <xf numFmtId="170" fontId="37" fillId="0" borderId="0" xfId="2" applyNumberFormat="1" applyFont="1" applyFill="1" applyAlignment="1" applyProtection="1"/>
    <xf numFmtId="170" fontId="37" fillId="0" borderId="21" xfId="2" applyNumberFormat="1" applyFont="1" applyFill="1" applyBorder="1" applyAlignment="1" applyProtection="1"/>
    <xf numFmtId="170" fontId="37" fillId="0" borderId="18" xfId="2" applyNumberFormat="1" applyFont="1" applyFill="1" applyBorder="1" applyAlignment="1" applyProtection="1"/>
    <xf numFmtId="170" fontId="44" fillId="0" borderId="45" xfId="2" applyNumberFormat="1" applyFont="1" applyFill="1" applyBorder="1" applyAlignment="1" applyProtection="1">
      <alignment horizontal="right"/>
    </xf>
    <xf numFmtId="170" fontId="44" fillId="0" borderId="0" xfId="2" applyNumberFormat="1" applyFont="1" applyFill="1" applyBorder="1" applyAlignment="1" applyProtection="1">
      <alignment horizontal="right"/>
    </xf>
    <xf numFmtId="170" fontId="39" fillId="0" borderId="20" xfId="2" applyNumberFormat="1" applyFont="1" applyBorder="1" applyAlignment="1" applyProtection="1"/>
    <xf numFmtId="170" fontId="39" fillId="0" borderId="0" xfId="2" applyNumberFormat="1" applyFont="1" applyAlignment="1" applyProtection="1"/>
    <xf numFmtId="170" fontId="39" fillId="0" borderId="0" xfId="2" applyNumberFormat="1" applyFont="1" applyBorder="1" applyAlignment="1" applyProtection="1"/>
    <xf numFmtId="166" fontId="39" fillId="0" borderId="21" xfId="2" applyNumberFormat="1" applyFont="1" applyBorder="1" applyAlignment="1" applyProtection="1"/>
    <xf numFmtId="170" fontId="39" fillId="0" borderId="18" xfId="2" applyNumberFormat="1" applyFont="1" applyBorder="1" applyAlignment="1" applyProtection="1"/>
    <xf numFmtId="166" fontId="44" fillId="0" borderId="0" xfId="2" applyNumberFormat="1" applyFont="1" applyAlignment="1" applyProtection="1"/>
    <xf numFmtId="166" fontId="44" fillId="0" borderId="21" xfId="2" applyNumberFormat="1" applyFont="1" applyBorder="1" applyAlignment="1" applyProtection="1"/>
    <xf numFmtId="170" fontId="44" fillId="0" borderId="18" xfId="2" applyNumberFormat="1" applyFont="1" applyBorder="1" applyAlignment="1" applyProtection="1"/>
    <xf numFmtId="166" fontId="39" fillId="0" borderId="0" xfId="2" applyNumberFormat="1" applyFont="1" applyBorder="1" applyAlignment="1" applyProtection="1"/>
    <xf numFmtId="170" fontId="63" fillId="0" borderId="0" xfId="2" applyNumberFormat="1" applyFont="1" applyFill="1" applyAlignment="1" applyProtection="1">
      <alignment horizontal="right"/>
    </xf>
    <xf numFmtId="170" fontId="39" fillId="0" borderId="0" xfId="2" applyNumberFormat="1" applyFont="1" applyAlignment="1" applyProtection="1">
      <alignment horizontal="right"/>
    </xf>
    <xf numFmtId="170" fontId="44" fillId="0" borderId="40" xfId="2" applyNumberFormat="1" applyFont="1" applyBorder="1" applyAlignment="1" applyProtection="1"/>
    <xf numFmtId="170" fontId="44" fillId="0" borderId="16" xfId="2" applyNumberFormat="1" applyFont="1" applyFill="1" applyBorder="1" applyAlignment="1" applyProtection="1"/>
    <xf numFmtId="166" fontId="39" fillId="0" borderId="0" xfId="2" applyNumberFormat="1" applyFont="1" applyFill="1" applyBorder="1" applyAlignment="1" applyProtection="1"/>
    <xf numFmtId="174" fontId="44" fillId="0" borderId="0" xfId="2" applyNumberFormat="1" applyFont="1" applyBorder="1" applyAlignment="1" applyProtection="1"/>
    <xf numFmtId="170" fontId="44" fillId="0" borderId="66" xfId="2" applyNumberFormat="1" applyFont="1" applyBorder="1" applyAlignment="1" applyProtection="1"/>
    <xf numFmtId="165" fontId="39" fillId="0" borderId="0" xfId="2" applyNumberFormat="1" applyFont="1" applyBorder="1" applyAlignment="1" applyProtection="1"/>
    <xf numFmtId="165" fontId="39" fillId="0" borderId="0" xfId="2" applyNumberFormat="1" applyFont="1" applyAlignment="1" applyProtection="1"/>
    <xf numFmtId="174" fontId="44" fillId="0" borderId="81" xfId="2" applyNumberFormat="1" applyFont="1" applyBorder="1" applyAlignment="1" applyProtection="1"/>
    <xf numFmtId="168" fontId="39" fillId="0" borderId="0" xfId="2" applyNumberFormat="1" applyFont="1" applyAlignment="1" applyProtection="1"/>
    <xf numFmtId="165" fontId="42" fillId="0" borderId="0" xfId="2" applyNumberFormat="1" applyFont="1" applyAlignment="1" applyProtection="1"/>
    <xf numFmtId="174" fontId="37" fillId="0" borderId="0" xfId="2" applyNumberFormat="1" applyFont="1" applyFill="1" applyAlignment="1" applyProtection="1"/>
    <xf numFmtId="174" fontId="37" fillId="0" borderId="18" xfId="2" applyNumberFormat="1" applyFont="1" applyFill="1" applyBorder="1" applyAlignment="1" applyProtection="1"/>
    <xf numFmtId="174" fontId="37" fillId="0" borderId="0" xfId="2" applyNumberFormat="1" applyFont="1" applyFill="1" applyAlignment="1" applyProtection="1">
      <alignment horizontal="right"/>
    </xf>
    <xf numFmtId="174" fontId="44" fillId="0" borderId="0" xfId="2" applyNumberFormat="1" applyFont="1" applyFill="1" applyAlignment="1" applyProtection="1"/>
    <xf numFmtId="174" fontId="44" fillId="0" borderId="0" xfId="2" applyNumberFormat="1" applyFont="1" applyFill="1" applyAlignment="1" applyProtection="1">
      <alignment horizontal="right"/>
    </xf>
    <xf numFmtId="174" fontId="44" fillId="0" borderId="18" xfId="2" applyNumberFormat="1" applyFont="1" applyFill="1" applyBorder="1" applyAlignment="1" applyProtection="1"/>
    <xf numFmtId="170" fontId="37" fillId="0" borderId="0" xfId="2" applyNumberFormat="1" applyFont="1" applyFill="1" applyAlignment="1" applyProtection="1">
      <alignment horizontal="right"/>
    </xf>
    <xf numFmtId="170" fontId="44" fillId="0" borderId="16" xfId="2" applyNumberFormat="1" applyFont="1" applyBorder="1" applyAlignment="1" applyProtection="1"/>
    <xf numFmtId="170" fontId="39" fillId="0" borderId="28" xfId="2" applyNumberFormat="1" applyFont="1" applyBorder="1" applyAlignment="1" applyProtection="1"/>
    <xf numFmtId="170" fontId="44" fillId="0" borderId="16" xfId="5" applyNumberFormat="1" applyFont="1" applyFill="1" applyBorder="1" applyProtection="1"/>
    <xf numFmtId="170" fontId="44" fillId="0" borderId="0" xfId="5" applyNumberFormat="1" applyFont="1" applyFill="1" applyBorder="1" applyProtection="1"/>
    <xf numFmtId="170" fontId="39" fillId="0" borderId="21" xfId="2" applyNumberFormat="1" applyFont="1" applyBorder="1" applyAlignment="1" applyProtection="1"/>
    <xf numFmtId="170" fontId="39" fillId="0" borderId="0" xfId="2" applyNumberFormat="1" applyFont="1" applyAlignment="1" applyProtection="1">
      <alignment horizontal="center"/>
    </xf>
    <xf numFmtId="170" fontId="39" fillId="0" borderId="21" xfId="2" applyNumberFormat="1" applyFont="1" applyFill="1" applyBorder="1" applyAlignment="1" applyProtection="1"/>
    <xf numFmtId="170" fontId="44" fillId="0" borderId="21" xfId="2" applyNumberFormat="1" applyFont="1" applyBorder="1" applyAlignment="1" applyProtection="1"/>
    <xf numFmtId="170" fontId="37" fillId="0" borderId="0" xfId="2" applyNumberFormat="1" applyFont="1" applyFill="1" applyBorder="1" applyAlignment="1" applyProtection="1"/>
    <xf numFmtId="170" fontId="44" fillId="0" borderId="45" xfId="2" applyNumberFormat="1" applyFont="1" applyBorder="1" applyAlignment="1" applyProtection="1"/>
    <xf numFmtId="0" fontId="39" fillId="0" borderId="21" xfId="2" applyNumberFormat="1" applyFont="1" applyBorder="1" applyAlignment="1" applyProtection="1"/>
    <xf numFmtId="0" fontId="39" fillId="0" borderId="0" xfId="2" applyNumberFormat="1" applyFont="1" applyAlignment="1" applyProtection="1"/>
    <xf numFmtId="0" fontId="44" fillId="0" borderId="21" xfId="2" applyNumberFormat="1" applyFont="1" applyBorder="1" applyAlignment="1" applyProtection="1"/>
    <xf numFmtId="0" fontId="39" fillId="0" borderId="18" xfId="2" applyNumberFormat="1" applyFont="1" applyBorder="1" applyAlignment="1" applyProtection="1"/>
    <xf numFmtId="0" fontId="39" fillId="0" borderId="18" xfId="2" applyNumberFormat="1" applyFont="1" applyFill="1" applyBorder="1" applyAlignment="1" applyProtection="1"/>
    <xf numFmtId="170" fontId="37" fillId="0" borderId="28" xfId="2" applyNumberFormat="1" applyFont="1" applyFill="1" applyBorder="1" applyAlignment="1" applyProtection="1"/>
    <xf numFmtId="0" fontId="44" fillId="0" borderId="18" xfId="2" applyNumberFormat="1" applyFont="1" applyBorder="1" applyAlignment="1" applyProtection="1"/>
    <xf numFmtId="170" fontId="44" fillId="0" borderId="0" xfId="2" applyNumberFormat="1" applyFont="1" applyFill="1" applyAlignment="1" applyProtection="1"/>
    <xf numFmtId="170" fontId="39" fillId="0" borderId="20" xfId="2" applyNumberFormat="1" applyFont="1" applyFill="1" applyBorder="1" applyAlignment="1" applyProtection="1"/>
    <xf numFmtId="170" fontId="44" fillId="0" borderId="10" xfId="2" applyNumberFormat="1" applyFont="1" applyBorder="1" applyAlignment="1" applyProtection="1"/>
    <xf numFmtId="166" fontId="44" fillId="0" borderId="0" xfId="2" applyNumberFormat="1" applyFont="1" applyBorder="1" applyAlignment="1" applyProtection="1"/>
    <xf numFmtId="170" fontId="44" fillId="0" borderId="10" xfId="2" applyNumberFormat="1" applyFont="1" applyFill="1" applyBorder="1" applyAlignment="1" applyProtection="1"/>
    <xf numFmtId="174" fontId="37" fillId="0" borderId="0" xfId="2" quotePrefix="1" applyNumberFormat="1" applyFont="1" applyFill="1" applyAlignment="1">
      <alignment horizontal="center"/>
    </xf>
    <xf numFmtId="173" fontId="37" fillId="0" borderId="0" xfId="740" quotePrefix="1" applyNumberFormat="1" applyFont="1" applyFill="1" applyAlignment="1">
      <alignment horizontal="left"/>
    </xf>
    <xf numFmtId="170" fontId="44" fillId="0" borderId="107" xfId="2" applyNumberFormat="1" applyFont="1" applyFill="1" applyBorder="1" applyAlignment="1"/>
    <xf numFmtId="174" fontId="44" fillId="0" borderId="87" xfId="2" applyNumberFormat="1" applyFont="1" applyFill="1" applyBorder="1" applyAlignment="1"/>
    <xf numFmtId="174" fontId="44" fillId="0" borderId="0" xfId="2" applyNumberFormat="1" applyFont="1" applyFill="1" applyAlignment="1">
      <alignment horizontal="right"/>
    </xf>
    <xf numFmtId="0" fontId="154" fillId="0" borderId="0" xfId="5458" applyNumberFormat="1" applyFont="1" applyFill="1"/>
    <xf numFmtId="0" fontId="154" fillId="0" borderId="0" xfId="5458" applyNumberFormat="1" applyFont="1" applyFill="1" applyBorder="1"/>
    <xf numFmtId="0" fontId="66" fillId="0" borderId="0" xfId="5458" applyNumberFormat="1" applyFont="1" applyFill="1"/>
    <xf numFmtId="0" fontId="155" fillId="0" borderId="0" xfId="5458" applyNumberFormat="1" applyFont="1" applyFill="1"/>
    <xf numFmtId="0" fontId="66" fillId="0" borderId="0" xfId="5458" applyNumberFormat="1" applyFont="1" applyFill="1" applyAlignment="1">
      <alignment horizontal="right" vertical="top"/>
    </xf>
    <xf numFmtId="0" fontId="155" fillId="0" borderId="0" xfId="5458" applyNumberFormat="1" applyFont="1" applyFill="1" applyBorder="1" applyAlignment="1">
      <alignment horizontal="right"/>
    </xf>
    <xf numFmtId="0" fontId="154" fillId="0" borderId="0" xfId="5458" applyNumberFormat="1" applyFont="1" applyFill="1" applyAlignment="1"/>
    <xf numFmtId="0" fontId="66" fillId="0" borderId="0" xfId="5458" applyNumberFormat="1" applyFont="1" applyFill="1" applyAlignment="1">
      <alignment horizontal="left" vertical="top"/>
    </xf>
    <xf numFmtId="0" fontId="155" fillId="0" borderId="0" xfId="5458" applyNumberFormat="1" applyFont="1" applyFill="1" applyAlignment="1">
      <alignment horizontal="left" vertical="top"/>
    </xf>
    <xf numFmtId="0" fontId="155" fillId="0" borderId="0" xfId="5458" applyNumberFormat="1" applyFont="1" applyFill="1" applyAlignment="1">
      <alignment horizontal="left"/>
    </xf>
    <xf numFmtId="0" fontId="154" fillId="0" borderId="0" xfId="5458" quotePrefix="1" applyNumberFormat="1" applyFont="1" applyFill="1" applyAlignment="1"/>
    <xf numFmtId="0" fontId="155" fillId="0" borderId="0" xfId="5458" applyNumberFormat="1" applyFont="1" applyFill="1" applyAlignment="1">
      <alignment horizontal="center" vertical="top"/>
    </xf>
    <xf numFmtId="0" fontId="155" fillId="0" borderId="0" xfId="5458" applyNumberFormat="1" applyFont="1" applyFill="1" applyAlignment="1">
      <alignment horizontal="center"/>
    </xf>
    <xf numFmtId="0" fontId="155" fillId="0" borderId="0" xfId="5458" quotePrefix="1" applyNumberFormat="1" applyFont="1" applyFill="1" applyAlignment="1">
      <alignment horizontal="center"/>
    </xf>
    <xf numFmtId="0" fontId="155" fillId="0" borderId="66" xfId="5458" applyNumberFormat="1" applyFont="1" applyFill="1" applyBorder="1" applyAlignment="1">
      <alignment horizontal="centerContinuous"/>
    </xf>
    <xf numFmtId="0" fontId="155" fillId="0" borderId="0" xfId="5458" applyNumberFormat="1" applyFont="1" applyFill="1" applyAlignment="1">
      <alignment horizontal="centerContinuous"/>
    </xf>
    <xf numFmtId="0" fontId="155" fillId="0" borderId="0" xfId="5458" applyNumberFormat="1" applyFont="1" applyFill="1" applyBorder="1" applyAlignment="1">
      <alignment horizontal="center"/>
    </xf>
    <xf numFmtId="0" fontId="155" fillId="0" borderId="66" xfId="5458" applyNumberFormat="1" applyFont="1" applyFill="1" applyBorder="1"/>
    <xf numFmtId="0" fontId="155" fillId="0" borderId="0" xfId="5458" applyNumberFormat="1" applyFont="1" applyFill="1" applyBorder="1"/>
    <xf numFmtId="0" fontId="155" fillId="0" borderId="66" xfId="5458" quotePrefix="1" applyNumberFormat="1" applyFont="1" applyFill="1" applyBorder="1" applyAlignment="1">
      <alignment horizontal="center"/>
    </xf>
    <xf numFmtId="49" fontId="155" fillId="0" borderId="66" xfId="5458" applyNumberFormat="1" applyFont="1" applyFill="1" applyBorder="1" applyAlignment="1">
      <alignment horizontal="center"/>
    </xf>
    <xf numFmtId="49" fontId="155" fillId="0" borderId="66" xfId="5458" quotePrefix="1" applyNumberFormat="1" applyFont="1" applyFill="1" applyBorder="1" applyAlignment="1">
      <alignment horizontal="center"/>
    </xf>
    <xf numFmtId="0" fontId="155" fillId="0" borderId="107" xfId="5458" applyNumberFormat="1" applyFont="1" applyFill="1" applyBorder="1" applyAlignment="1">
      <alignment horizontal="center"/>
    </xf>
    <xf numFmtId="0" fontId="155" fillId="0" borderId="66" xfId="5458" applyNumberFormat="1" applyFont="1" applyFill="1" applyBorder="1" applyAlignment="1">
      <alignment horizontal="center"/>
    </xf>
    <xf numFmtId="39" fontId="154" fillId="0" borderId="0" xfId="5458" quotePrefix="1" applyNumberFormat="1" applyFont="1" applyFill="1" applyBorder="1" applyAlignment="1"/>
    <xf numFmtId="39" fontId="156" fillId="0" borderId="0" xfId="5458" quotePrefix="1" applyNumberFormat="1" applyFont="1" applyFill="1" applyBorder="1" applyAlignment="1"/>
    <xf numFmtId="39" fontId="154" fillId="0" borderId="0" xfId="5458" applyNumberFormat="1" applyFont="1" applyFill="1" applyBorder="1" applyAlignment="1"/>
    <xf numFmtId="0" fontId="156" fillId="0" borderId="0" xfId="5458" applyNumberFormat="1" applyFont="1" applyFill="1" applyBorder="1" applyAlignment="1"/>
    <xf numFmtId="0" fontId="154" fillId="0" borderId="0" xfId="5458" applyNumberFormat="1" applyFont="1" applyFill="1" applyBorder="1" applyAlignment="1"/>
    <xf numFmtId="42" fontId="156" fillId="0" borderId="0" xfId="5458" applyNumberFormat="1" applyFont="1" applyFill="1" applyBorder="1" applyAlignment="1">
      <alignment horizontal="right"/>
    </xf>
    <xf numFmtId="42" fontId="156" fillId="0" borderId="0" xfId="5458" applyNumberFormat="1" applyFont="1" applyFill="1" applyAlignment="1">
      <alignment horizontal="right"/>
    </xf>
    <xf numFmtId="42" fontId="156" fillId="0" borderId="0" xfId="5458" applyNumberFormat="1" applyFont="1" applyFill="1" applyAlignment="1">
      <alignment horizontal="right" vertical="top"/>
    </xf>
    <xf numFmtId="41" fontId="156" fillId="0" borderId="0" xfId="5458" applyNumberFormat="1" applyFont="1" applyFill="1" applyAlignment="1">
      <alignment horizontal="center"/>
    </xf>
    <xf numFmtId="41" fontId="156" fillId="0" borderId="0" xfId="5458" applyNumberFormat="1" applyFont="1" applyFill="1" applyAlignment="1">
      <alignment horizontal="right"/>
    </xf>
    <xf numFmtId="0" fontId="156" fillId="0" borderId="0" xfId="5458" applyNumberFormat="1" applyFont="1" applyFill="1" applyAlignment="1">
      <alignment horizontal="right"/>
    </xf>
    <xf numFmtId="41" fontId="154" fillId="0" borderId="0" xfId="5458" applyNumberFormat="1" applyFont="1" applyFill="1" applyAlignment="1">
      <alignment horizontal="right"/>
    </xf>
    <xf numFmtId="41" fontId="154" fillId="0" borderId="0" xfId="5458" applyNumberFormat="1" applyFont="1" applyFill="1" applyBorder="1" applyAlignment="1">
      <alignment horizontal="right"/>
    </xf>
    <xf numFmtId="41" fontId="156" fillId="0" borderId="0" xfId="5458" applyNumberFormat="1" applyFont="1" applyFill="1" applyAlignment="1"/>
    <xf numFmtId="0" fontId="154" fillId="0" borderId="0" xfId="5458" quotePrefix="1" applyNumberFormat="1" applyFont="1" applyFill="1" applyAlignment="1">
      <alignment horizontal="left" vertical="top"/>
    </xf>
    <xf numFmtId="0" fontId="154" fillId="0" borderId="0" xfId="5458" applyNumberFormat="1" applyFont="1" applyFill="1" applyAlignment="1">
      <alignment horizontal="left" vertical="top"/>
    </xf>
    <xf numFmtId="190" fontId="37" fillId="0" borderId="0" xfId="5458" applyNumberFormat="1"/>
    <xf numFmtId="164" fontId="37" fillId="0" borderId="0" xfId="5458" applyNumberFormat="1"/>
    <xf numFmtId="0" fontId="156" fillId="0" borderId="0" xfId="5458" applyNumberFormat="1" applyFont="1" applyFill="1" applyAlignment="1"/>
    <xf numFmtId="0" fontId="37" fillId="0" borderId="0" xfId="5458" applyNumberFormat="1" applyAlignment="1"/>
    <xf numFmtId="0" fontId="155" fillId="0" borderId="0" xfId="5458" quotePrefix="1" applyNumberFormat="1" applyFont="1" applyFill="1" applyAlignment="1">
      <alignment horizontal="left" vertical="top"/>
    </xf>
    <xf numFmtId="42" fontId="155" fillId="0" borderId="87" xfId="5458" applyNumberFormat="1" applyFont="1" applyFill="1" applyBorder="1" applyAlignment="1">
      <alignment horizontal="right" vertical="top"/>
    </xf>
    <xf numFmtId="42" fontId="155" fillId="0" borderId="0" xfId="5458" applyNumberFormat="1" applyFont="1" applyFill="1" applyAlignment="1">
      <alignment horizontal="right" vertical="top"/>
    </xf>
    <xf numFmtId="42" fontId="155" fillId="0" borderId="0" xfId="5458" applyNumberFormat="1" applyFont="1" applyFill="1" applyAlignment="1">
      <alignment horizontal="right"/>
    </xf>
    <xf numFmtId="0" fontId="154" fillId="0" borderId="0" xfId="5458" quotePrefix="1" applyNumberFormat="1" applyFont="1" applyFill="1"/>
    <xf numFmtId="37" fontId="154" fillId="0" borderId="0" xfId="5458" applyNumberFormat="1" applyFont="1" applyFill="1"/>
    <xf numFmtId="170" fontId="76" fillId="0" borderId="0" xfId="2" quotePrefix="1" applyNumberFormat="1" applyFont="1" applyFill="1" applyAlignment="1">
      <alignment horizontal="right"/>
    </xf>
    <xf numFmtId="170" fontId="66" fillId="0" borderId="0" xfId="2" quotePrefix="1" applyNumberFormat="1" applyFont="1" applyAlignment="1"/>
    <xf numFmtId="170" fontId="66" fillId="0" borderId="85" xfId="2" quotePrefix="1" applyNumberFormat="1" applyFont="1" applyBorder="1" applyAlignment="1">
      <alignment horizontal="right"/>
    </xf>
    <xf numFmtId="0" fontId="49" fillId="0" borderId="0" xfId="0" applyNumberFormat="1" applyFont="1" applyFill="1" applyBorder="1" applyAlignment="1" applyProtection="1"/>
    <xf numFmtId="0" fontId="49" fillId="0" borderId="0" xfId="8" applyFont="1" applyAlignment="1">
      <alignment horizontal="left" vertical="top"/>
    </xf>
    <xf numFmtId="0" fontId="153" fillId="0" borderId="0" xfId="2" applyNumberFormat="1" applyFont="1" applyBorder="1" applyAlignment="1"/>
    <xf numFmtId="165" fontId="188" fillId="0" borderId="0" xfId="2" applyNumberFormat="1" applyFont="1" applyAlignment="1"/>
    <xf numFmtId="170" fontId="66" fillId="0" borderId="33" xfId="2" quotePrefix="1" applyNumberFormat="1" applyFont="1" applyBorder="1" applyAlignment="1">
      <alignment horizontal="right"/>
    </xf>
    <xf numFmtId="170" fontId="66" fillId="0" borderId="33" xfId="2" quotePrefix="1" applyNumberFormat="1" applyFont="1" applyBorder="1" applyAlignment="1">
      <alignment horizontal="center"/>
    </xf>
    <xf numFmtId="172" fontId="168" fillId="0" borderId="66" xfId="1940" applyNumberFormat="1" applyFont="1" applyBorder="1" applyAlignment="1"/>
    <xf numFmtId="170" fontId="39" fillId="0" borderId="0" xfId="2" quotePrefix="1" applyNumberFormat="1" applyFont="1" applyFill="1" applyAlignment="1" applyProtection="1">
      <alignment horizontal="right"/>
    </xf>
    <xf numFmtId="168" fontId="39" fillId="0" borderId="0" xfId="2" applyNumberFormat="1" applyFont="1" applyFill="1" applyAlignment="1"/>
    <xf numFmtId="172" fontId="168" fillId="0" borderId="66" xfId="2" applyNumberFormat="1" applyFont="1" applyBorder="1" applyAlignment="1"/>
    <xf numFmtId="172" fontId="168" fillId="0" borderId="0" xfId="1940" applyNumberFormat="1" applyFont="1" applyFill="1" applyAlignment="1"/>
    <xf numFmtId="172" fontId="44" fillId="0" borderId="66" xfId="1940" applyNumberFormat="1" applyFont="1" applyBorder="1" applyAlignment="1"/>
    <xf numFmtId="172" fontId="44" fillId="0" borderId="0" xfId="1940" applyNumberFormat="1" applyFont="1" applyBorder="1" applyAlignment="1"/>
    <xf numFmtId="43" fontId="44" fillId="0" borderId="0" xfId="0" applyNumberFormat="1" applyFont="1" applyFill="1" applyBorder="1" applyAlignment="1" applyProtection="1">
      <alignment horizontal="right"/>
    </xf>
    <xf numFmtId="172" fontId="37" fillId="0" borderId="0" xfId="0" applyNumberFormat="1" applyFont="1"/>
    <xf numFmtId="177" fontId="37" fillId="0" borderId="0" xfId="740" applyNumberFormat="1" applyFont="1" applyFill="1" applyBorder="1" applyAlignment="1">
      <alignment horizontal="left"/>
    </xf>
    <xf numFmtId="177" fontId="37" fillId="0" borderId="0" xfId="1767" quotePrefix="1" applyNumberFormat="1" applyFont="1" applyFill="1" applyBorder="1" applyAlignment="1">
      <alignment horizontal="center"/>
    </xf>
    <xf numFmtId="177" fontId="42" fillId="0" borderId="0" xfId="1767" applyNumberFormat="1" applyFont="1" applyFill="1" applyBorder="1" applyAlignment="1">
      <alignment horizontal="center"/>
    </xf>
    <xf numFmtId="177" fontId="97" fillId="0" borderId="0" xfId="740" applyNumberFormat="1" applyFont="1" applyFill="1" applyBorder="1"/>
    <xf numFmtId="177" fontId="37" fillId="0" borderId="0" xfId="1767" applyNumberFormat="1" applyFont="1" applyFill="1" applyBorder="1" applyAlignment="1">
      <alignment horizontal="center"/>
    </xf>
    <xf numFmtId="177" fontId="44" fillId="0" borderId="0" xfId="1767" applyNumberFormat="1" applyFont="1" applyFill="1" applyBorder="1" applyAlignment="1"/>
    <xf numFmtId="177" fontId="37" fillId="0" borderId="0" xfId="740" quotePrefix="1" applyNumberFormat="1" applyFont="1" applyFill="1" applyBorder="1" applyAlignment="1">
      <alignment horizontal="center"/>
    </xf>
    <xf numFmtId="170" fontId="66" fillId="0" borderId="85" xfId="2" quotePrefix="1" applyNumberFormat="1" applyFont="1" applyBorder="1" applyAlignment="1">
      <alignment horizontal="center"/>
    </xf>
    <xf numFmtId="0" fontId="37" fillId="0" borderId="0" xfId="0" applyNumberFormat="1" applyFont="1" applyFill="1" applyBorder="1" applyAlignment="1" applyProtection="1">
      <alignment horizontal="left"/>
    </xf>
    <xf numFmtId="170" fontId="59" fillId="0" borderId="0" xfId="2" quotePrefix="1" applyNumberFormat="1" applyFont="1" applyFill="1" applyAlignment="1"/>
    <xf numFmtId="0" fontId="44" fillId="0" borderId="28" xfId="2" applyNumberFormat="1" applyFont="1" applyBorder="1" applyAlignment="1"/>
    <xf numFmtId="0" fontId="37" fillId="0" borderId="0" xfId="17" applyNumberFormat="1" applyFont="1" applyBorder="1" applyAlignment="1">
      <alignment horizontal="center"/>
    </xf>
    <xf numFmtId="165" fontId="84" fillId="0" borderId="0" xfId="2" applyNumberFormat="1" applyFont="1" applyAlignment="1"/>
    <xf numFmtId="174" fontId="66" fillId="0" borderId="0" xfId="2" quotePrefix="1" applyNumberFormat="1" applyFont="1" applyFill="1" applyBorder="1" applyAlignment="1"/>
    <xf numFmtId="174" fontId="39" fillId="0" borderId="0" xfId="2" applyNumberFormat="1" applyFont="1" applyFill="1" applyAlignment="1">
      <alignment horizontal="right"/>
    </xf>
    <xf numFmtId="170" fontId="39" fillId="0" borderId="10" xfId="2" applyNumberFormat="1" applyFont="1" applyFill="1" applyBorder="1" applyAlignment="1">
      <alignment horizontal="right"/>
    </xf>
    <xf numFmtId="170" fontId="39" fillId="0" borderId="0" xfId="2" applyNumberFormat="1" applyFont="1" applyFill="1"/>
    <xf numFmtId="37" fontId="39" fillId="0" borderId="0" xfId="2" applyNumberFormat="1" applyFont="1" applyFill="1" applyBorder="1"/>
    <xf numFmtId="37" fontId="39" fillId="0" borderId="0" xfId="2" applyNumberFormat="1" applyFont="1" applyFill="1"/>
    <xf numFmtId="5" fontId="37" fillId="0" borderId="0" xfId="2" applyNumberFormat="1" applyFont="1" applyFill="1" applyAlignment="1"/>
    <xf numFmtId="170" fontId="0" fillId="0" borderId="0" xfId="2" applyNumberFormat="1" applyFont="1" applyBorder="1" applyAlignment="1">
      <alignment horizontal="center" vertical="top"/>
    </xf>
    <xf numFmtId="170" fontId="39" fillId="0" borderId="46" xfId="2" applyNumberFormat="1" applyFont="1" applyBorder="1" applyAlignment="1" applyProtection="1"/>
    <xf numFmtId="170" fontId="66" fillId="0" borderId="33" xfId="2" applyNumberFormat="1" applyFont="1" applyBorder="1" applyAlignment="1">
      <alignment horizontal="right"/>
    </xf>
    <xf numFmtId="44" fontId="42" fillId="0" borderId="0" xfId="0" applyNumberFormat="1" applyFont="1" applyFill="1" applyAlignment="1">
      <alignment horizontal="right" vertical="top"/>
    </xf>
    <xf numFmtId="44" fontId="43" fillId="0" borderId="0" xfId="0" applyNumberFormat="1" applyFont="1" applyFill="1" applyBorder="1" applyAlignment="1">
      <alignment horizontal="right"/>
    </xf>
    <xf numFmtId="164" fontId="66" fillId="0" borderId="66" xfId="0" applyFont="1" applyBorder="1" applyAlignment="1">
      <alignment horizontal="center"/>
    </xf>
    <xf numFmtId="41" fontId="37" fillId="0" borderId="66" xfId="0" quotePrefix="1" applyNumberFormat="1" applyFont="1" applyBorder="1" applyAlignment="1">
      <alignment horizontal="center"/>
    </xf>
    <xf numFmtId="41" fontId="44" fillId="0" borderId="107" xfId="739" applyNumberFormat="1" applyFont="1" applyBorder="1" applyAlignment="1"/>
    <xf numFmtId="43" fontId="37" fillId="0" borderId="0" xfId="17924" applyFont="1" applyFill="1" applyAlignment="1" applyProtection="1">
      <alignment horizontal="right"/>
    </xf>
    <xf numFmtId="0" fontId="43" fillId="0" borderId="0" xfId="9967" quotePrefix="1" applyNumberFormat="1" applyFont="1" applyFill="1" applyBorder="1" applyAlignment="1">
      <alignment horizontal="center"/>
    </xf>
    <xf numFmtId="166" fontId="39" fillId="0" borderId="106" xfId="4" applyNumberFormat="1" applyFont="1" applyFill="1" applyBorder="1" applyProtection="1"/>
    <xf numFmtId="170" fontId="59" fillId="0" borderId="0" xfId="2" applyNumberFormat="1" applyFont="1" applyFill="1" applyAlignment="1">
      <alignment horizontal="center"/>
    </xf>
    <xf numFmtId="170" fontId="137" fillId="0" borderId="0" xfId="2" applyNumberFormat="1" applyFont="1" applyFill="1" applyAlignment="1"/>
    <xf numFmtId="170" fontId="61" fillId="0" borderId="43" xfId="2" quotePrefix="1" applyNumberFormat="1" applyFont="1" applyBorder="1" applyAlignment="1">
      <alignment horizontal="right"/>
    </xf>
    <xf numFmtId="4" fontId="44" fillId="0" borderId="0" xfId="1028" quotePrefix="1" applyNumberFormat="1" applyFont="1" applyFill="1" applyBorder="1" applyAlignment="1" applyProtection="1">
      <alignment horizontal="left"/>
    </xf>
    <xf numFmtId="177" fontId="37" fillId="0" borderId="0" xfId="1767" applyNumberFormat="1" applyFont="1" applyFill="1" applyBorder="1" applyAlignment="1">
      <alignment horizontal="left"/>
    </xf>
    <xf numFmtId="181" fontId="44" fillId="0" borderId="0" xfId="1776" quotePrefix="1" applyNumberFormat="1" applyFont="1" applyAlignment="1">
      <alignment horizontal="left"/>
    </xf>
    <xf numFmtId="42" fontId="37" fillId="0" borderId="0" xfId="0" quotePrefix="1" applyNumberFormat="1" applyFont="1" applyBorder="1" applyAlignment="1"/>
    <xf numFmtId="164" fontId="153" fillId="0" borderId="0" xfId="0" applyNumberFormat="1" applyFont="1" applyBorder="1"/>
    <xf numFmtId="191" fontId="49" fillId="0" borderId="0" xfId="8" applyNumberFormat="1" applyFont="1" applyAlignment="1">
      <alignment horizontal="right" vertical="top"/>
    </xf>
    <xf numFmtId="170" fontId="59" fillId="0" borderId="0" xfId="2" applyNumberFormat="1" applyFont="1" applyFill="1" applyBorder="1" applyAlignment="1"/>
    <xf numFmtId="170" fontId="58" fillId="0" borderId="10" xfId="2" applyNumberFormat="1" applyFont="1" applyFill="1" applyBorder="1" applyAlignment="1">
      <alignment horizontal="right"/>
    </xf>
    <xf numFmtId="166" fontId="39" fillId="0" borderId="20" xfId="2" applyNumberFormat="1" applyFont="1" applyFill="1" applyBorder="1" applyAlignment="1" applyProtection="1"/>
    <xf numFmtId="170" fontId="44" fillId="0" borderId="40" xfId="2" applyNumberFormat="1" applyFont="1" applyFill="1" applyBorder="1" applyAlignment="1" applyProtection="1"/>
    <xf numFmtId="166" fontId="44" fillId="0" borderId="0" xfId="2" applyNumberFormat="1" applyFont="1" applyFill="1" applyAlignment="1" applyProtection="1"/>
    <xf numFmtId="166" fontId="44" fillId="0" borderId="21" xfId="2" applyNumberFormat="1" applyFont="1" applyFill="1" applyBorder="1" applyAlignment="1" applyProtection="1"/>
    <xf numFmtId="166" fontId="44" fillId="0" borderId="0" xfId="2" applyNumberFormat="1" applyFont="1" applyFill="1" applyBorder="1" applyAlignment="1">
      <alignment horizontal="right"/>
    </xf>
    <xf numFmtId="164" fontId="44" fillId="0" borderId="16" xfId="2" applyNumberFormat="1" applyFont="1" applyFill="1" applyBorder="1" applyAlignment="1" applyProtection="1">
      <alignment horizontal="right"/>
    </xf>
    <xf numFmtId="165" fontId="44" fillId="0" borderId="0" xfId="2" applyNumberFormat="1" applyFont="1" applyFill="1" applyBorder="1" applyAlignment="1">
      <alignment horizontal="right"/>
    </xf>
    <xf numFmtId="164" fontId="44" fillId="0" borderId="10" xfId="2" applyNumberFormat="1" applyFont="1" applyFill="1" applyBorder="1" applyAlignment="1" applyProtection="1">
      <alignment horizontal="right"/>
    </xf>
    <xf numFmtId="170" fontId="42" fillId="0" borderId="0" xfId="2" applyNumberFormat="1" applyFont="1" applyFill="1" applyBorder="1" applyAlignment="1"/>
    <xf numFmtId="165" fontId="44" fillId="0" borderId="0" xfId="2" applyNumberFormat="1" applyFont="1" applyFill="1" applyAlignment="1">
      <alignment horizontal="right"/>
    </xf>
    <xf numFmtId="170" fontId="37" fillId="0" borderId="19" xfId="2" applyNumberFormat="1" applyFont="1" applyFill="1" applyBorder="1" applyAlignment="1">
      <alignment horizontal="right"/>
    </xf>
    <xf numFmtId="164" fontId="37" fillId="0" borderId="19" xfId="2" applyNumberFormat="1" applyFont="1" applyFill="1" applyBorder="1" applyAlignment="1" applyProtection="1">
      <alignment horizontal="right"/>
    </xf>
    <xf numFmtId="170" fontId="39" fillId="0" borderId="96" xfId="2" applyNumberFormat="1" applyFont="1" applyFill="1" applyBorder="1" applyAlignment="1" applyProtection="1"/>
    <xf numFmtId="172" fontId="44" fillId="0" borderId="66" xfId="2" applyNumberFormat="1" applyFont="1" applyFill="1" applyBorder="1" applyAlignment="1" applyProtection="1"/>
    <xf numFmtId="165" fontId="39" fillId="0" borderId="0" xfId="2" applyNumberFormat="1" applyFont="1" applyFill="1" applyBorder="1" applyAlignment="1" applyProtection="1"/>
    <xf numFmtId="165" fontId="39" fillId="0" borderId="0" xfId="2" applyNumberFormat="1" applyFont="1" applyFill="1" applyAlignment="1" applyProtection="1"/>
    <xf numFmtId="166" fontId="39" fillId="0" borderId="28" xfId="2" applyNumberFormat="1" applyFont="1" applyFill="1" applyBorder="1" applyAlignment="1" applyProtection="1"/>
    <xf numFmtId="165" fontId="39" fillId="0" borderId="15" xfId="2" applyNumberFormat="1" applyFont="1" applyFill="1" applyBorder="1" applyAlignment="1"/>
    <xf numFmtId="165" fontId="37" fillId="0" borderId="0" xfId="2" applyNumberFormat="1" applyFont="1" applyFill="1" applyBorder="1" applyAlignment="1">
      <alignment horizontal="right"/>
    </xf>
    <xf numFmtId="174" fontId="44" fillId="0" borderId="81" xfId="2" applyNumberFormat="1" applyFont="1" applyFill="1" applyBorder="1" applyAlignment="1" applyProtection="1"/>
    <xf numFmtId="172" fontId="44" fillId="0" borderId="81" xfId="2" applyNumberFormat="1" applyFont="1" applyFill="1" applyBorder="1" applyAlignment="1" applyProtection="1"/>
    <xf numFmtId="168" fontId="39" fillId="0" borderId="0" xfId="2" applyNumberFormat="1" applyFont="1" applyFill="1" applyAlignment="1" applyProtection="1"/>
    <xf numFmtId="165" fontId="42" fillId="0" borderId="0" xfId="2" applyNumberFormat="1" applyFont="1" applyFill="1" applyAlignment="1" applyProtection="1"/>
    <xf numFmtId="164" fontId="42" fillId="0" borderId="0" xfId="2" applyNumberFormat="1" applyFont="1" applyFill="1" applyAlignment="1" applyProtection="1"/>
    <xf numFmtId="170" fontId="39" fillId="0" borderId="96" xfId="2" applyNumberFormat="1" applyFont="1" applyFill="1" applyBorder="1" applyAlignment="1">
      <alignment horizontal="center"/>
    </xf>
    <xf numFmtId="170" fontId="39" fillId="0" borderId="93" xfId="2" applyNumberFormat="1" applyFont="1" applyFill="1" applyBorder="1" applyAlignment="1">
      <alignment horizontal="center"/>
    </xf>
    <xf numFmtId="172" fontId="39" fillId="0" borderId="0" xfId="0" applyNumberFormat="1" applyFont="1" applyFill="1" applyBorder="1" applyAlignment="1" applyProtection="1"/>
    <xf numFmtId="164" fontId="44" fillId="0" borderId="16" xfId="0" applyNumberFormat="1" applyFont="1" applyFill="1" applyBorder="1" applyAlignment="1" applyProtection="1"/>
    <xf numFmtId="170" fontId="61" fillId="0" borderId="0" xfId="2" quotePrefix="1" applyNumberFormat="1" applyFont="1" applyFill="1" applyBorder="1" applyAlignment="1"/>
    <xf numFmtId="170" fontId="66" fillId="0" borderId="0" xfId="2" quotePrefix="1" applyNumberFormat="1" applyFont="1" applyFill="1" applyAlignment="1">
      <alignment horizontal="center"/>
    </xf>
    <xf numFmtId="170" fontId="61" fillId="0" borderId="20" xfId="2" applyNumberFormat="1" applyFont="1" applyFill="1" applyBorder="1" applyAlignment="1"/>
    <xf numFmtId="170" fontId="66" fillId="0" borderId="0" xfId="2" quotePrefix="1" applyNumberFormat="1" applyFont="1" applyFill="1" applyBorder="1" applyAlignment="1">
      <alignment horizontal="right"/>
    </xf>
    <xf numFmtId="170" fontId="66" fillId="0" borderId="0" xfId="2" applyNumberFormat="1" applyFont="1" applyFill="1" applyAlignment="1"/>
    <xf numFmtId="170" fontId="66" fillId="0" borderId="21" xfId="2" applyNumberFormat="1" applyFont="1" applyFill="1" applyBorder="1" applyAlignment="1"/>
    <xf numFmtId="170" fontId="66" fillId="0" borderId="0" xfId="2" quotePrefix="1" applyNumberFormat="1" applyFont="1" applyFill="1" applyBorder="1" applyAlignment="1">
      <alignment horizontal="center"/>
    </xf>
    <xf numFmtId="170" fontId="66" fillId="0" borderId="0" xfId="2" applyNumberFormat="1" applyFont="1" applyFill="1" applyAlignment="1">
      <alignment horizontal="right"/>
    </xf>
    <xf numFmtId="166" fontId="168" fillId="0" borderId="15" xfId="2" applyNumberFormat="1" applyFont="1" applyFill="1" applyBorder="1" applyAlignment="1"/>
    <xf numFmtId="174" fontId="66" fillId="0" borderId="0" xfId="2" applyNumberFormat="1" applyFont="1" applyFill="1" applyBorder="1" applyAlignment="1"/>
    <xf numFmtId="169" fontId="169" fillId="0" borderId="15" xfId="2" applyNumberFormat="1" applyFont="1" applyFill="1" applyBorder="1" applyAlignment="1"/>
    <xf numFmtId="166" fontId="61" fillId="0" borderId="0" xfId="2" applyNumberFormat="1" applyFont="1" applyFill="1" applyBorder="1" applyAlignment="1"/>
    <xf numFmtId="0" fontId="94" fillId="0" borderId="0" xfId="2" applyNumberFormat="1" applyFont="1" applyFill="1" applyAlignment="1"/>
    <xf numFmtId="177" fontId="44" fillId="0" borderId="0" xfId="740" applyNumberFormat="1" applyFont="1" applyFill="1" applyBorder="1" applyAlignment="1">
      <alignment horizontal="center"/>
    </xf>
    <xf numFmtId="177" fontId="44" fillId="0" borderId="43" xfId="740" applyNumberFormat="1" applyFont="1" applyFill="1" applyBorder="1" applyAlignment="1">
      <alignment horizontal="center"/>
    </xf>
    <xf numFmtId="177" fontId="44" fillId="0" borderId="10" xfId="740" applyNumberFormat="1" applyFont="1" applyFill="1" applyBorder="1" applyAlignment="1">
      <alignment horizontal="center"/>
    </xf>
    <xf numFmtId="177" fontId="44" fillId="0" borderId="0" xfId="740" quotePrefix="1" applyNumberFormat="1" applyFont="1" applyFill="1" applyBorder="1" applyAlignment="1">
      <alignment horizontal="center"/>
    </xf>
    <xf numFmtId="177" fontId="44" fillId="0" borderId="10" xfId="740" applyNumberFormat="1" applyFont="1" applyFill="1" applyBorder="1" applyAlignment="1"/>
    <xf numFmtId="0" fontId="97" fillId="0" borderId="0" xfId="740" applyFont="1" applyFill="1" applyBorder="1"/>
    <xf numFmtId="0" fontId="78" fillId="0" borderId="0" xfId="836" applyNumberFormat="1" applyFont="1" applyFill="1" applyAlignment="1"/>
    <xf numFmtId="0" fontId="53" fillId="0" borderId="0" xfId="836" applyNumberFormat="1" applyFont="1" applyFill="1" applyAlignment="1"/>
    <xf numFmtId="0" fontId="61" fillId="0" borderId="20" xfId="836" applyNumberFormat="1" applyFont="1" applyFill="1" applyBorder="1" applyAlignment="1"/>
    <xf numFmtId="185" fontId="61" fillId="0" borderId="20" xfId="836" applyNumberFormat="1" applyFont="1" applyFill="1" applyBorder="1" applyAlignment="1"/>
    <xf numFmtId="185" fontId="61" fillId="0" borderId="0" xfId="836" applyNumberFormat="1" applyFont="1" applyFill="1" applyAlignment="1"/>
    <xf numFmtId="180" fontId="66" fillId="0" borderId="17" xfId="836" applyNumberFormat="1" applyFont="1" applyFill="1" applyBorder="1" applyAlignment="1">
      <alignment horizontal="right"/>
    </xf>
    <xf numFmtId="185" fontId="61" fillId="0" borderId="36" xfId="836" applyNumberFormat="1" applyFont="1" applyFill="1" applyBorder="1" applyAlignment="1"/>
    <xf numFmtId="39" fontId="78" fillId="0" borderId="0" xfId="836" applyNumberFormat="1" applyFont="1" applyFill="1" applyAlignment="1"/>
    <xf numFmtId="173" fontId="78" fillId="0" borderId="0" xfId="836" applyNumberFormat="1" applyFont="1" applyFill="1" applyAlignment="1"/>
    <xf numFmtId="165" fontId="78" fillId="0" borderId="0" xfId="836" applyNumberFormat="1" applyFont="1" applyFill="1" applyAlignment="1"/>
    <xf numFmtId="0" fontId="64" fillId="0" borderId="66" xfId="2" applyNumberFormat="1" applyFont="1" applyBorder="1" applyAlignment="1">
      <alignment horizontal="centerContinuous"/>
    </xf>
    <xf numFmtId="165" fontId="63" fillId="0" borderId="66" xfId="2" applyNumberFormat="1" applyFont="1" applyBorder="1" applyAlignment="1" applyProtection="1">
      <alignment horizontal="centerContinuous"/>
      <protection locked="0"/>
    </xf>
    <xf numFmtId="177" fontId="37" fillId="0" borderId="0" xfId="740" quotePrefix="1" applyNumberFormat="1" applyFont="1" applyFill="1" applyAlignment="1">
      <alignment horizontal="center"/>
    </xf>
    <xf numFmtId="39" fontId="44" fillId="0" borderId="66" xfId="1776" applyNumberFormat="1" applyFont="1" applyBorder="1" applyAlignment="1">
      <alignment horizontal="center"/>
    </xf>
    <xf numFmtId="44" fontId="44" fillId="0" borderId="81" xfId="1776" applyNumberFormat="1" applyFont="1" applyBorder="1" applyAlignment="1"/>
    <xf numFmtId="43" fontId="44" fillId="0" borderId="10" xfId="1776" applyNumberFormat="1" applyFont="1" applyBorder="1" applyAlignment="1"/>
    <xf numFmtId="172" fontId="63" fillId="0" borderId="0" xfId="0" applyNumberFormat="1" applyFont="1" applyAlignment="1" applyProtection="1"/>
    <xf numFmtId="165" fontId="37" fillId="0" borderId="0" xfId="0" applyNumberFormat="1" applyFont="1" applyAlignment="1" applyProtection="1"/>
    <xf numFmtId="165" fontId="40" fillId="0" borderId="0" xfId="0" applyNumberFormat="1" applyFont="1" applyAlignment="1" applyProtection="1"/>
    <xf numFmtId="165" fontId="143" fillId="0" borderId="0" xfId="0" applyNumberFormat="1" applyFont="1" applyAlignment="1" applyProtection="1"/>
    <xf numFmtId="165" fontId="40" fillId="0" borderId="0" xfId="0" applyNumberFormat="1" applyFont="1" applyFill="1" applyAlignment="1" applyProtection="1"/>
    <xf numFmtId="165" fontId="51" fillId="0" borderId="0" xfId="0" applyNumberFormat="1" applyFont="1" applyAlignment="1" applyProtection="1"/>
    <xf numFmtId="39"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6" fontId="38" fillId="0" borderId="0" xfId="0" applyNumberFormat="1" applyFont="1" applyFill="1" applyAlignment="1" applyProtection="1">
      <alignment horizontal="right"/>
    </xf>
    <xf numFmtId="165" fontId="39" fillId="0" borderId="0" xfId="0" applyNumberFormat="1" applyFont="1" applyAlignment="1" applyProtection="1"/>
    <xf numFmtId="166" fontId="133" fillId="0" borderId="0" xfId="0" applyNumberFormat="1" applyFont="1" applyAlignment="1" applyProtection="1"/>
    <xf numFmtId="166" fontId="144" fillId="0" borderId="0" xfId="0" applyNumberFormat="1" applyFont="1" applyAlignment="1" applyProtection="1"/>
    <xf numFmtId="166" fontId="44" fillId="0" borderId="0" xfId="0" applyNumberFormat="1" applyFont="1" applyFill="1" applyAlignment="1" applyProtection="1">
      <alignment horizontal="right"/>
    </xf>
    <xf numFmtId="166" fontId="44" fillId="0" borderId="0" xfId="0" applyNumberFormat="1" applyFont="1" applyAlignment="1" applyProtection="1">
      <alignment horizontal="right"/>
    </xf>
    <xf numFmtId="166" fontId="44" fillId="0" borderId="0" xfId="0" quotePrefix="1" applyNumberFormat="1" applyFont="1" applyFill="1" applyAlignment="1" applyProtection="1">
      <alignment horizontal="right"/>
    </xf>
    <xf numFmtId="166" fontId="44" fillId="0" borderId="0" xfId="0" applyNumberFormat="1" applyFont="1" applyAlignment="1" applyProtection="1">
      <alignment horizontal="center"/>
    </xf>
    <xf numFmtId="166" fontId="42" fillId="0" borderId="0" xfId="0" applyNumberFormat="1" applyFont="1" applyBorder="1" applyAlignment="1" applyProtection="1"/>
    <xf numFmtId="166" fontId="42" fillId="0" borderId="0" xfId="0" applyNumberFormat="1" applyFont="1" applyFill="1" applyAlignment="1" applyProtection="1"/>
    <xf numFmtId="166" fontId="44" fillId="0" borderId="0" xfId="0" applyNumberFormat="1" applyFont="1" applyFill="1" applyAlignment="1" applyProtection="1"/>
    <xf numFmtId="166" fontId="44" fillId="0" borderId="0" xfId="0" applyNumberFormat="1" applyFont="1" applyAlignment="1" applyProtection="1"/>
    <xf numFmtId="166" fontId="39" fillId="0" borderId="0" xfId="0" applyNumberFormat="1" applyFont="1" applyAlignment="1" applyProtection="1"/>
    <xf numFmtId="166" fontId="44" fillId="0" borderId="0" xfId="0" applyNumberFormat="1" applyFont="1" applyBorder="1" applyAlignment="1" applyProtection="1"/>
    <xf numFmtId="166" fontId="37" fillId="0" borderId="0" xfId="0" applyNumberFormat="1" applyFont="1" applyBorder="1" applyAlignment="1" applyProtection="1">
      <alignment horizontal="center"/>
    </xf>
    <xf numFmtId="166" fontId="44" fillId="0" borderId="0" xfId="0" applyNumberFormat="1" applyFont="1" applyFill="1" applyBorder="1" applyAlignment="1" applyProtection="1">
      <alignment horizontal="center"/>
    </xf>
    <xf numFmtId="165" fontId="37" fillId="0" borderId="0" xfId="0" applyNumberFormat="1" applyFont="1" applyBorder="1" applyAlignment="1" applyProtection="1"/>
    <xf numFmtId="166" fontId="37" fillId="0" borderId="0" xfId="0" applyNumberFormat="1" applyFont="1" applyAlignment="1" applyProtection="1">
      <alignment horizontal="center"/>
    </xf>
    <xf numFmtId="166" fontId="130" fillId="0" borderId="0" xfId="0" applyNumberFormat="1" applyFont="1" applyBorder="1" applyAlignment="1" applyProtection="1"/>
    <xf numFmtId="166" fontId="37" fillId="0" borderId="0" xfId="0" applyNumberFormat="1" applyFont="1" applyAlignment="1" applyProtection="1"/>
    <xf numFmtId="166" fontId="39" fillId="0" borderId="13" xfId="0" applyNumberFormat="1" applyFont="1" applyBorder="1" applyAlignment="1" applyProtection="1"/>
    <xf numFmtId="166" fontId="39" fillId="0" borderId="14" xfId="0" applyNumberFormat="1" applyFont="1" applyBorder="1" applyAlignment="1" applyProtection="1"/>
    <xf numFmtId="166" fontId="39" fillId="0" borderId="0" xfId="0" applyNumberFormat="1" applyFont="1" applyFill="1" applyBorder="1" applyAlignment="1" applyProtection="1"/>
    <xf numFmtId="166" fontId="39" fillId="0" borderId="15" xfId="0" applyNumberFormat="1" applyFont="1" applyBorder="1" applyAlignment="1" applyProtection="1"/>
    <xf numFmtId="37" fontId="37" fillId="0" borderId="0" xfId="0" applyNumberFormat="1" applyFont="1" applyAlignment="1" applyProtection="1">
      <alignment horizontal="left"/>
    </xf>
    <xf numFmtId="167" fontId="39" fillId="0" borderId="0" xfId="0" applyNumberFormat="1" applyFont="1" applyAlignment="1" applyProtection="1"/>
    <xf numFmtId="167" fontId="39" fillId="0" borderId="0" xfId="0" applyNumberFormat="1" applyFont="1" applyAlignment="1" applyProtection="1">
      <alignment horizontal="center"/>
    </xf>
    <xf numFmtId="174" fontId="39" fillId="0" borderId="13" xfId="0" applyNumberFormat="1" applyFont="1" applyBorder="1" applyAlignment="1" applyProtection="1"/>
    <xf numFmtId="174" fontId="39" fillId="0" borderId="0" xfId="0" applyNumberFormat="1" applyFont="1" applyBorder="1" applyAlignment="1" applyProtection="1"/>
    <xf numFmtId="167" fontId="39" fillId="0" borderId="13" xfId="0" applyNumberFormat="1" applyFont="1" applyBorder="1" applyAlignment="1" applyProtection="1"/>
    <xf numFmtId="167" fontId="39" fillId="0" borderId="14" xfId="0" applyNumberFormat="1" applyFont="1" applyBorder="1" applyAlignment="1" applyProtection="1"/>
    <xf numFmtId="167" fontId="39" fillId="0" borderId="0" xfId="0" applyNumberFormat="1" applyFont="1" applyBorder="1" applyAlignment="1" applyProtection="1"/>
    <xf numFmtId="167" fontId="39" fillId="0" borderId="15" xfId="0" applyNumberFormat="1" applyFont="1" applyBorder="1" applyAlignment="1" applyProtection="1"/>
    <xf numFmtId="168" fontId="40" fillId="0" borderId="0" xfId="0" applyNumberFormat="1" applyFont="1" applyAlignment="1" applyProtection="1"/>
    <xf numFmtId="183" fontId="39" fillId="0" borderId="0" xfId="0" applyNumberFormat="1" applyFont="1" applyBorder="1" applyAlignment="1" applyProtection="1"/>
    <xf numFmtId="37" fontId="39" fillId="0" borderId="0" xfId="0" applyNumberFormat="1" applyFont="1" applyAlignment="1" applyProtection="1">
      <alignment horizontal="left"/>
    </xf>
    <xf numFmtId="170" fontId="39" fillId="0" borderId="13" xfId="0" applyNumberFormat="1" applyFont="1" applyBorder="1" applyAlignment="1" applyProtection="1"/>
    <xf numFmtId="170" fontId="39" fillId="0" borderId="14" xfId="0" applyNumberFormat="1" applyFont="1" applyBorder="1" applyAlignment="1" applyProtection="1"/>
    <xf numFmtId="170" fontId="39" fillId="0" borderId="15" xfId="0" applyNumberFormat="1" applyFont="1" applyBorder="1" applyAlignment="1" applyProtection="1"/>
    <xf numFmtId="165" fontId="39" fillId="0" borderId="0" xfId="0" quotePrefix="1" applyNumberFormat="1" applyFont="1" applyAlignment="1" applyProtection="1">
      <alignment horizontal="left"/>
    </xf>
    <xf numFmtId="171" fontId="39" fillId="0" borderId="0" xfId="0" quotePrefix="1" applyNumberFormat="1" applyFont="1" applyAlignment="1" applyProtection="1">
      <alignment horizontal="left"/>
    </xf>
    <xf numFmtId="170" fontId="44" fillId="0" borderId="0" xfId="0" applyNumberFormat="1" applyFont="1" applyBorder="1" applyAlignment="1" applyProtection="1">
      <alignment horizontal="right"/>
    </xf>
    <xf numFmtId="170" fontId="44" fillId="0" borderId="13" xfId="0" applyNumberFormat="1" applyFont="1" applyBorder="1" applyAlignment="1" applyProtection="1"/>
    <xf numFmtId="170" fontId="44" fillId="0" borderId="0" xfId="0" applyNumberFormat="1" applyFont="1" applyBorder="1" applyAlignment="1" applyProtection="1"/>
    <xf numFmtId="170" fontId="44" fillId="0" borderId="14" xfId="0" applyNumberFormat="1" applyFont="1" applyBorder="1" applyAlignment="1" applyProtection="1"/>
    <xf numFmtId="170" fontId="44" fillId="0" borderId="15" xfId="0" applyNumberFormat="1" applyFont="1" applyBorder="1" applyAlignment="1" applyProtection="1"/>
    <xf numFmtId="165" fontId="47" fillId="0" borderId="0" xfId="0" applyNumberFormat="1" applyFont="1" applyAlignment="1" applyProtection="1"/>
    <xf numFmtId="166" fontId="44" fillId="0" borderId="0" xfId="0" applyNumberFormat="1" applyFont="1" applyBorder="1" applyAlignment="1" applyProtection="1">
      <alignment horizontal="right"/>
    </xf>
    <xf numFmtId="37" fontId="37" fillId="0" borderId="0" xfId="0" quotePrefix="1" applyNumberFormat="1" applyFont="1" applyAlignment="1" applyProtection="1">
      <alignment horizontal="left"/>
    </xf>
    <xf numFmtId="166" fontId="39" fillId="0" borderId="0" xfId="0" quotePrefix="1" applyNumberFormat="1" applyFont="1" applyAlignment="1" applyProtection="1">
      <alignment horizontal="center"/>
    </xf>
    <xf numFmtId="3" fontId="39" fillId="0" borderId="0" xfId="0" applyNumberFormat="1" applyFont="1" applyAlignment="1" applyProtection="1"/>
    <xf numFmtId="170" fontId="39" fillId="0" borderId="0" xfId="0" applyNumberFormat="1" applyFont="1" applyBorder="1" applyAlignment="1" applyProtection="1">
      <alignment horizontal="right"/>
    </xf>
    <xf numFmtId="170" fontId="39" fillId="0" borderId="15" xfId="0" quotePrefix="1" applyNumberFormat="1" applyFont="1" applyBorder="1" applyAlignment="1" applyProtection="1">
      <alignment horizontal="right"/>
    </xf>
    <xf numFmtId="166" fontId="39" fillId="0" borderId="0" xfId="0" quotePrefix="1" applyNumberFormat="1" applyFont="1" applyAlignment="1" applyProtection="1">
      <alignment horizontal="left"/>
    </xf>
    <xf numFmtId="166" fontId="39" fillId="0" borderId="0" xfId="0" quotePrefix="1" applyNumberFormat="1" applyFont="1" applyAlignment="1" applyProtection="1"/>
    <xf numFmtId="37" fontId="39" fillId="0" borderId="0" xfId="0" quotePrefix="1" applyNumberFormat="1" applyFont="1" applyAlignment="1" applyProtection="1">
      <alignment horizontal="left"/>
    </xf>
    <xf numFmtId="3" fontId="39" fillId="0" borderId="0" xfId="0" applyNumberFormat="1" applyFont="1" applyAlignment="1" applyProtection="1">
      <alignment horizontal="left"/>
    </xf>
    <xf numFmtId="173" fontId="39" fillId="0" borderId="0" xfId="0" applyNumberFormat="1" applyFont="1" applyAlignment="1" applyProtection="1"/>
    <xf numFmtId="170" fontId="49" fillId="0" borderId="0" xfId="0" applyNumberFormat="1" applyFont="1" applyAlignment="1" applyProtection="1"/>
    <xf numFmtId="166" fontId="39" fillId="0" borderId="0" xfId="0" applyNumberFormat="1" applyFont="1" applyBorder="1" applyAlignment="1" applyProtection="1">
      <alignment horizontal="center"/>
    </xf>
    <xf numFmtId="165" fontId="47" fillId="0" borderId="0" xfId="0" applyNumberFormat="1" applyFont="1" applyBorder="1" applyAlignment="1" applyProtection="1"/>
    <xf numFmtId="166" fontId="39" fillId="0" borderId="0" xfId="0" applyNumberFormat="1" applyFont="1" applyFill="1" applyAlignment="1" applyProtection="1"/>
    <xf numFmtId="170" fontId="39" fillId="0" borderId="15" xfId="0" applyNumberFormat="1" applyFont="1" applyBorder="1" applyAlignment="1" applyProtection="1">
      <alignment horizontal="center"/>
    </xf>
    <xf numFmtId="165" fontId="40" fillId="0" borderId="0" xfId="0" applyNumberFormat="1" applyFont="1" applyBorder="1" applyAlignment="1" applyProtection="1"/>
    <xf numFmtId="166" fontId="39" fillId="0" borderId="0" xfId="0" applyNumberFormat="1" applyFont="1" applyFill="1" applyBorder="1" applyAlignment="1" applyProtection="1">
      <alignment horizontal="center"/>
    </xf>
    <xf numFmtId="37" fontId="37" fillId="0" borderId="0" xfId="0" quotePrefix="1" applyNumberFormat="1" applyFont="1" applyFill="1" applyAlignment="1" applyProtection="1">
      <alignment horizontal="left"/>
    </xf>
    <xf numFmtId="170" fontId="39" fillId="0" borderId="13" xfId="0" applyNumberFormat="1" applyFont="1" applyFill="1" applyBorder="1" applyAlignment="1" applyProtection="1"/>
    <xf numFmtId="170" fontId="39" fillId="0" borderId="14" xfId="0" applyNumberFormat="1" applyFont="1" applyFill="1" applyBorder="1" applyAlignment="1" applyProtection="1"/>
    <xf numFmtId="170" fontId="39" fillId="33" borderId="0" xfId="0" applyNumberFormat="1" applyFont="1" applyFill="1" applyAlignment="1" applyProtection="1"/>
    <xf numFmtId="170" fontId="39" fillId="0" borderId="10" xfId="0" applyNumberFormat="1" applyFont="1" applyBorder="1" applyAlignment="1" applyProtection="1"/>
    <xf numFmtId="170" fontId="44" fillId="0" borderId="16" xfId="0" quotePrefix="1" applyNumberFormat="1" applyFont="1" applyFill="1" applyBorder="1" applyAlignment="1" applyProtection="1">
      <alignment horizontal="right"/>
    </xf>
    <xf numFmtId="170" fontId="44" fillId="0" borderId="0" xfId="0" quotePrefix="1" applyNumberFormat="1" applyFont="1" applyBorder="1" applyAlignment="1" applyProtection="1">
      <alignment horizontal="right"/>
    </xf>
    <xf numFmtId="170" fontId="44" fillId="0" borderId="13" xfId="0" applyNumberFormat="1" applyFont="1" applyFill="1" applyBorder="1" applyAlignment="1" applyProtection="1"/>
    <xf numFmtId="170" fontId="44" fillId="0" borderId="14" xfId="0" applyNumberFormat="1" applyFont="1" applyFill="1" applyBorder="1" applyAlignment="1" applyProtection="1"/>
    <xf numFmtId="166" fontId="44" fillId="0" borderId="0" xfId="0" applyNumberFormat="1" applyFont="1" applyFill="1" applyBorder="1" applyAlignment="1" applyProtection="1"/>
    <xf numFmtId="165" fontId="44" fillId="0" borderId="0" xfId="0" applyNumberFormat="1" applyFont="1" applyAlignment="1" applyProtection="1"/>
    <xf numFmtId="164" fontId="44" fillId="0" borderId="10" xfId="0" applyNumberFormat="1" applyFont="1" applyBorder="1" applyAlignment="1" applyProtection="1"/>
    <xf numFmtId="166" fontId="44" fillId="0" borderId="0" xfId="0" applyNumberFormat="1" applyFont="1" applyFill="1" applyAlignment="1" applyProtection="1">
      <alignment horizontal="left"/>
    </xf>
    <xf numFmtId="166" fontId="39" fillId="0" borderId="0" xfId="0" quotePrefix="1" applyNumberFormat="1" applyFont="1" applyFill="1" applyAlignment="1" applyProtection="1">
      <alignment horizontal="left"/>
    </xf>
    <xf numFmtId="174" fontId="44" fillId="0" borderId="0" xfId="0" applyNumberFormat="1" applyFont="1" applyFill="1" applyAlignment="1" applyProtection="1"/>
    <xf numFmtId="174" fontId="44" fillId="0" borderId="13" xfId="0" applyNumberFormat="1" applyFont="1" applyFill="1" applyBorder="1" applyAlignment="1" applyProtection="1"/>
    <xf numFmtId="174" fontId="44" fillId="0" borderId="0" xfId="0" applyNumberFormat="1" applyFont="1" applyFill="1" applyBorder="1" applyAlignment="1" applyProtection="1"/>
    <xf numFmtId="174" fontId="44" fillId="0" borderId="14" xfId="0" applyNumberFormat="1" applyFont="1" applyFill="1" applyBorder="1" applyAlignment="1" applyProtection="1"/>
    <xf numFmtId="164" fontId="44" fillId="0" borderId="17" xfId="0" applyNumberFormat="1" applyFont="1" applyBorder="1" applyAlignment="1" applyProtection="1"/>
    <xf numFmtId="169" fontId="44" fillId="0" borderId="0" xfId="0" applyNumberFormat="1" applyFont="1" applyFill="1" applyBorder="1" applyAlignment="1" applyProtection="1"/>
    <xf numFmtId="166" fontId="47" fillId="0" borderId="0" xfId="0" applyNumberFormat="1" applyFont="1" applyBorder="1" applyAlignment="1" applyProtection="1"/>
    <xf numFmtId="166" fontId="143" fillId="0" borderId="0" xfId="0" applyNumberFormat="1" applyFont="1" applyBorder="1" applyAlignment="1" applyProtection="1"/>
    <xf numFmtId="166" fontId="40" fillId="0" borderId="0" xfId="0" applyNumberFormat="1" applyFont="1" applyBorder="1" applyAlignment="1" applyProtection="1"/>
    <xf numFmtId="166" fontId="143" fillId="0" borderId="0" xfId="0" applyNumberFormat="1" applyFont="1" applyFill="1" applyBorder="1" applyAlignment="1" applyProtection="1"/>
    <xf numFmtId="166" fontId="40" fillId="0" borderId="0" xfId="0" applyNumberFormat="1" applyFont="1" applyFill="1" applyBorder="1" applyAlignment="1" applyProtection="1"/>
    <xf numFmtId="165" fontId="50" fillId="0" borderId="0" xfId="0" applyNumberFormat="1" applyFont="1" applyBorder="1" applyAlignment="1" applyProtection="1"/>
    <xf numFmtId="165" fontId="44" fillId="0" borderId="0" xfId="0" applyNumberFormat="1" applyFont="1" applyBorder="1" applyAlignment="1" applyProtection="1"/>
    <xf numFmtId="165" fontId="143" fillId="0" borderId="0" xfId="0" applyNumberFormat="1" applyFont="1" applyBorder="1" applyAlignment="1" applyProtection="1"/>
    <xf numFmtId="165" fontId="143" fillId="0" borderId="0" xfId="0" applyNumberFormat="1" applyFont="1" applyFill="1" applyBorder="1" applyAlignment="1" applyProtection="1"/>
    <xf numFmtId="165" fontId="37" fillId="0" borderId="0" xfId="0" applyNumberFormat="1" applyFont="1" applyFill="1" applyAlignment="1" applyProtection="1"/>
    <xf numFmtId="165" fontId="50" fillId="0" borderId="0" xfId="0" applyNumberFormat="1" applyFont="1" applyAlignment="1" applyProtection="1"/>
    <xf numFmtId="166" fontId="45" fillId="0" borderId="0" xfId="0" quotePrefix="1" applyNumberFormat="1" applyFont="1" applyBorder="1" applyAlignment="1" applyProtection="1">
      <alignment horizontal="left"/>
    </xf>
    <xf numFmtId="166" fontId="45" fillId="0" borderId="0" xfId="0" applyNumberFormat="1" applyFont="1" applyBorder="1" applyAlignment="1" applyProtection="1">
      <alignment horizontal="left"/>
    </xf>
    <xf numFmtId="165" fontId="45" fillId="0" borderId="0" xfId="0" applyNumberFormat="1" applyFont="1" applyBorder="1" applyAlignment="1" applyProtection="1"/>
    <xf numFmtId="165" fontId="145" fillId="0" borderId="0" xfId="0" applyNumberFormat="1" applyFont="1" applyBorder="1" applyAlignment="1" applyProtection="1"/>
    <xf numFmtId="165" fontId="46" fillId="0" borderId="0" xfId="0" applyNumberFormat="1" applyFont="1" applyBorder="1" applyAlignment="1" applyProtection="1"/>
    <xf numFmtId="165" fontId="130" fillId="0" borderId="0" xfId="0" applyNumberFormat="1" applyFont="1" applyBorder="1" applyAlignment="1" applyProtection="1"/>
    <xf numFmtId="165" fontId="40" fillId="0" borderId="0" xfId="0" applyNumberFormat="1" applyFont="1" applyFill="1" applyBorder="1" applyAlignment="1" applyProtection="1"/>
    <xf numFmtId="164" fontId="39" fillId="0" borderId="0" xfId="0" applyFont="1" applyFill="1" applyBorder="1" applyAlignment="1" applyProtection="1"/>
    <xf numFmtId="166"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43" fillId="0" borderId="0" xfId="0" applyNumberFormat="1" applyFont="1" applyFill="1" applyAlignment="1" applyProtection="1"/>
    <xf numFmtId="165" fontId="54" fillId="0" borderId="0" xfId="0" applyNumberFormat="1" applyFont="1" applyFill="1" applyAlignment="1" applyProtection="1"/>
    <xf numFmtId="166" fontId="55" fillId="0" borderId="0" xfId="0" applyNumberFormat="1" applyFont="1" applyFill="1" applyBorder="1" applyAlignment="1" applyProtection="1">
      <alignment horizontal="right"/>
    </xf>
    <xf numFmtId="166" fontId="43" fillId="0" borderId="0" xfId="0" applyNumberFormat="1" applyFont="1" applyBorder="1" applyAlignment="1" applyProtection="1"/>
    <xf numFmtId="166" fontId="43" fillId="0" borderId="0" xfId="0" applyNumberFormat="1" applyFont="1" applyFill="1" applyBorder="1" applyAlignment="1" applyProtection="1"/>
    <xf numFmtId="166" fontId="57" fillId="0" borderId="0" xfId="0" applyNumberFormat="1" applyFont="1" applyFill="1" applyBorder="1" applyAlignment="1" applyProtection="1"/>
    <xf numFmtId="166" fontId="56" fillId="0" borderId="0" xfId="0" applyNumberFormat="1" applyFont="1" applyFill="1" applyBorder="1" applyAlignment="1" applyProtection="1"/>
    <xf numFmtId="166" fontId="148" fillId="0" borderId="10" xfId="0" applyNumberFormat="1" applyFont="1" applyBorder="1" applyAlignment="1" applyProtection="1">
      <alignment horizontal="centerContinuous"/>
    </xf>
    <xf numFmtId="166" fontId="44" fillId="0" borderId="66" xfId="0" applyNumberFormat="1" applyFont="1" applyFill="1" applyBorder="1" applyAlignment="1" applyProtection="1">
      <alignment horizontal="center"/>
    </xf>
    <xf numFmtId="166" fontId="56" fillId="0" borderId="66" xfId="0" applyNumberFormat="1" applyFont="1" applyFill="1" applyBorder="1" applyAlignment="1" applyProtection="1"/>
    <xf numFmtId="165" fontId="40" fillId="0" borderId="66" xfId="0" applyNumberFormat="1" applyFont="1" applyFill="1" applyBorder="1" applyAlignment="1" applyProtection="1"/>
    <xf numFmtId="166" fontId="58" fillId="0" borderId="0" xfId="0" applyNumberFormat="1" applyFont="1" applyFill="1" applyBorder="1" applyAlignment="1" applyProtection="1">
      <alignment horizontal="center"/>
    </xf>
    <xf numFmtId="166" fontId="45" fillId="0" borderId="0" xfId="0" applyNumberFormat="1" applyFont="1" applyFill="1" applyBorder="1" applyAlignment="1" applyProtection="1">
      <alignment horizontal="center"/>
    </xf>
    <xf numFmtId="166" fontId="44" fillId="0" borderId="0" xfId="0" applyNumberFormat="1" applyFont="1" applyFill="1" applyAlignment="1" applyProtection="1">
      <alignment horizontal="center"/>
    </xf>
    <xf numFmtId="166" fontId="44" fillId="0" borderId="10" xfId="0" applyNumberFormat="1" applyFont="1" applyFill="1" applyBorder="1" applyAlignment="1" applyProtection="1">
      <alignment horizontal="center"/>
    </xf>
    <xf numFmtId="166" fontId="37" fillId="0" borderId="0" xfId="0" quotePrefix="1" applyNumberFormat="1" applyFont="1" applyBorder="1" applyAlignment="1" applyProtection="1">
      <alignment horizontal="left"/>
    </xf>
    <xf numFmtId="166" fontId="59" fillId="0" borderId="0" xfId="0" applyNumberFormat="1" applyFont="1" applyFill="1" applyBorder="1" applyAlignment="1" applyProtection="1"/>
    <xf numFmtId="166" fontId="39" fillId="0" borderId="18" xfId="0" applyNumberFormat="1" applyFont="1" applyBorder="1" applyAlignment="1" applyProtection="1"/>
    <xf numFmtId="166" fontId="39" fillId="0" borderId="14" xfId="0" applyNumberFormat="1" applyFont="1" applyFill="1" applyBorder="1" applyAlignment="1" applyProtection="1"/>
    <xf numFmtId="166" fontId="46" fillId="0" borderId="15" xfId="0" applyNumberFormat="1" applyFont="1" applyFill="1" applyBorder="1" applyAlignment="1" applyProtection="1"/>
    <xf numFmtId="174" fontId="37" fillId="0" borderId="0" xfId="1" applyNumberFormat="1" applyFont="1" applyAlignment="1" applyProtection="1"/>
    <xf numFmtId="174" fontId="0" fillId="0" borderId="0" xfId="0" applyNumberFormat="1" applyFont="1" applyAlignment="1" applyProtection="1"/>
    <xf numFmtId="174" fontId="59" fillId="0" borderId="0" xfId="0" applyNumberFormat="1" applyFont="1" applyFill="1" applyBorder="1" applyAlignment="1" applyProtection="1"/>
    <xf numFmtId="174" fontId="39" fillId="0" borderId="18" xfId="0" applyNumberFormat="1" applyFont="1" applyBorder="1" applyAlignment="1" applyProtection="1"/>
    <xf numFmtId="174" fontId="39" fillId="0" borderId="0" xfId="0" applyNumberFormat="1" applyFont="1" applyAlignment="1" applyProtection="1">
      <alignment horizontal="right"/>
    </xf>
    <xf numFmtId="174" fontId="39" fillId="0" borderId="0" xfId="0" applyNumberFormat="1" applyFont="1" applyFill="1" applyAlignment="1" applyProtection="1"/>
    <xf numFmtId="174" fontId="39" fillId="0" borderId="14" xfId="0" applyNumberFormat="1" applyFont="1" applyFill="1" applyBorder="1" applyAlignment="1" applyProtection="1"/>
    <xf numFmtId="169" fontId="39" fillId="0" borderId="0" xfId="0" applyNumberFormat="1" applyFont="1" applyFill="1" applyBorder="1" applyAlignment="1" applyProtection="1"/>
    <xf numFmtId="169" fontId="46" fillId="0" borderId="15" xfId="0" applyNumberFormat="1" applyFont="1" applyFill="1" applyBorder="1" applyAlignment="1" applyProtection="1"/>
    <xf numFmtId="170" fontId="37" fillId="0" borderId="0" xfId="1" applyNumberFormat="1" applyFont="1" applyAlignment="1" applyProtection="1">
      <alignment horizontal="right"/>
    </xf>
    <xf numFmtId="170" fontId="0" fillId="0" borderId="0" xfId="0" applyNumberFormat="1" applyFont="1" applyAlignment="1" applyProtection="1">
      <alignment horizontal="right"/>
    </xf>
    <xf numFmtId="170" fontId="59" fillId="0" borderId="0" xfId="0" applyNumberFormat="1" applyFont="1" applyFill="1" applyBorder="1" applyAlignment="1" applyProtection="1"/>
    <xf numFmtId="170" fontId="39" fillId="0" borderId="18" xfId="0" applyNumberFormat="1" applyFont="1" applyBorder="1" applyAlignment="1" applyProtection="1"/>
    <xf numFmtId="170" fontId="39" fillId="0" borderId="0" xfId="0" applyNumberFormat="1" applyFont="1" applyAlignment="1" applyProtection="1">
      <alignment horizontal="right"/>
    </xf>
    <xf numFmtId="170" fontId="59" fillId="0" borderId="0" xfId="0" applyNumberFormat="1" applyFont="1" applyFill="1" applyBorder="1" applyAlignment="1" applyProtection="1">
      <alignment horizontal="center"/>
    </xf>
    <xf numFmtId="170" fontId="39" fillId="0" borderId="18" xfId="0" applyNumberFormat="1" applyFont="1" applyBorder="1" applyAlignment="1" applyProtection="1">
      <alignment horizontal="center"/>
    </xf>
    <xf numFmtId="170" fontId="39" fillId="0" borderId="14" xfId="0" applyNumberFormat="1" applyFont="1" applyFill="1" applyBorder="1" applyAlignment="1" applyProtection="1">
      <alignment horizontal="center"/>
    </xf>
    <xf numFmtId="170" fontId="39" fillId="0" borderId="0" xfId="0" applyNumberFormat="1" applyFont="1" applyFill="1" applyBorder="1" applyAlignment="1" applyProtection="1">
      <alignment horizontal="center"/>
    </xf>
    <xf numFmtId="170" fontId="58" fillId="0" borderId="0" xfId="0" applyNumberFormat="1" applyFont="1" applyFill="1" applyBorder="1" applyAlignment="1" applyProtection="1"/>
    <xf numFmtId="170" fontId="44" fillId="0" borderId="18" xfId="0" applyNumberFormat="1" applyFont="1" applyBorder="1" applyAlignment="1" applyProtection="1"/>
    <xf numFmtId="166" fontId="45" fillId="0" borderId="15" xfId="0" applyNumberFormat="1" applyFont="1" applyFill="1" applyBorder="1" applyAlignment="1" applyProtection="1"/>
    <xf numFmtId="166" fontId="37" fillId="0" borderId="0" xfId="0" quotePrefix="1" applyNumberFormat="1" applyFont="1" applyAlignment="1" applyProtection="1">
      <alignment horizontal="left"/>
    </xf>
    <xf numFmtId="170" fontId="39" fillId="0" borderId="0" xfId="0" quotePrefix="1" applyNumberFormat="1" applyFont="1" applyFill="1" applyAlignment="1" applyProtection="1">
      <alignment horizontal="center"/>
    </xf>
    <xf numFmtId="170" fontId="39" fillId="0" borderId="0" xfId="0" quotePrefix="1" applyNumberFormat="1" applyFont="1" applyAlignment="1" applyProtection="1">
      <alignment horizontal="right"/>
    </xf>
    <xf numFmtId="3" fontId="37" fillId="0" borderId="0" xfId="0" applyNumberFormat="1" applyFont="1" applyAlignment="1" applyProtection="1">
      <alignment horizontal="left"/>
    </xf>
    <xf numFmtId="170" fontId="39" fillId="0" borderId="10" xfId="0" applyNumberFormat="1" applyFont="1" applyBorder="1" applyAlignment="1" applyProtection="1">
      <alignment horizontal="right"/>
    </xf>
    <xf numFmtId="170" fontId="44" fillId="0" borderId="16" xfId="0" quotePrefix="1" applyNumberFormat="1" applyFont="1" applyBorder="1" applyAlignment="1" applyProtection="1">
      <alignment horizontal="center"/>
    </xf>
    <xf numFmtId="170" fontId="44" fillId="0" borderId="0" xfId="0" applyNumberFormat="1" applyFont="1" applyBorder="1" applyAlignment="1" applyProtection="1">
      <alignment horizontal="center"/>
    </xf>
    <xf numFmtId="170" fontId="58" fillId="0" borderId="0" xfId="0" applyNumberFormat="1" applyFont="1" applyFill="1" applyBorder="1" applyAlignment="1" applyProtection="1">
      <alignment horizontal="center"/>
    </xf>
    <xf numFmtId="170" fontId="44" fillId="0" borderId="18" xfId="0" applyNumberFormat="1" applyFont="1" applyBorder="1" applyAlignment="1" applyProtection="1">
      <alignment horizontal="center"/>
    </xf>
    <xf numFmtId="170" fontId="44" fillId="0" borderId="14" xfId="0" applyNumberFormat="1" applyFont="1" applyFill="1" applyBorder="1" applyAlignment="1" applyProtection="1">
      <alignment horizontal="center"/>
    </xf>
    <xf numFmtId="170" fontId="44" fillId="0" borderId="0" xfId="0" applyNumberFormat="1" applyFont="1" applyFill="1" applyBorder="1" applyAlignment="1" applyProtection="1">
      <alignment horizontal="center"/>
    </xf>
    <xf numFmtId="166" fontId="37" fillId="0" borderId="0" xfId="0" quotePrefix="1" applyNumberFormat="1" applyFont="1" applyFill="1" applyAlignment="1" applyProtection="1">
      <alignment horizontal="left"/>
    </xf>
    <xf numFmtId="170" fontId="39" fillId="0" borderId="18" xfId="0" applyNumberFormat="1" applyFont="1" applyFill="1" applyBorder="1" applyAlignment="1" applyProtection="1"/>
    <xf numFmtId="164" fontId="39" fillId="0" borderId="10" xfId="0" applyNumberFormat="1" applyFont="1" applyBorder="1" applyAlignment="1" applyProtection="1"/>
    <xf numFmtId="170" fontId="58" fillId="0" borderId="0" xfId="0" applyNumberFormat="1" applyFont="1" applyFill="1" applyAlignment="1" applyProtection="1"/>
    <xf numFmtId="170" fontId="58" fillId="0" borderId="18" xfId="0" applyNumberFormat="1" applyFont="1" applyFill="1" applyBorder="1" applyAlignment="1" applyProtection="1"/>
    <xf numFmtId="170" fontId="58" fillId="0" borderId="14" xfId="0" applyNumberFormat="1" applyFont="1" applyFill="1" applyBorder="1" applyAlignment="1" applyProtection="1"/>
    <xf numFmtId="166" fontId="44" fillId="0" borderId="0" xfId="0" quotePrefix="1" applyNumberFormat="1" applyFont="1" applyAlignment="1" applyProtection="1">
      <alignment horizontal="left"/>
    </xf>
    <xf numFmtId="166" fontId="37" fillId="0" borderId="0" xfId="0" applyNumberFormat="1" applyFont="1" applyFill="1" applyBorder="1" applyAlignment="1" applyProtection="1"/>
    <xf numFmtId="166" fontId="44" fillId="0" borderId="0" xfId="0" quotePrefix="1" applyNumberFormat="1" applyFont="1" applyFill="1" applyAlignment="1" applyProtection="1">
      <alignment horizontal="left"/>
    </xf>
    <xf numFmtId="37" fontId="39" fillId="0" borderId="0" xfId="0" applyNumberFormat="1" applyFont="1" applyFill="1" applyAlignment="1" applyProtection="1">
      <alignment horizontal="left"/>
    </xf>
    <xf numFmtId="174" fontId="58" fillId="0" borderId="0" xfId="0" applyNumberFormat="1" applyFont="1" applyFill="1" applyAlignment="1" applyProtection="1"/>
    <xf numFmtId="174" fontId="58" fillId="0" borderId="17" xfId="0" applyNumberFormat="1" applyFont="1" applyFill="1" applyBorder="1" applyAlignment="1" applyProtection="1"/>
    <xf numFmtId="174" fontId="58" fillId="0" borderId="0" xfId="0" applyNumberFormat="1" applyFont="1" applyFill="1" applyBorder="1" applyAlignment="1" applyProtection="1"/>
    <xf numFmtId="174" fontId="58" fillId="0" borderId="28" xfId="0" applyNumberFormat="1" applyFont="1" applyFill="1" applyBorder="1" applyAlignment="1" applyProtection="1"/>
    <xf numFmtId="174" fontId="58" fillId="0" borderId="14" xfId="0" applyNumberFormat="1" applyFont="1" applyFill="1" applyBorder="1" applyAlignment="1" applyProtection="1"/>
    <xf numFmtId="169" fontId="45" fillId="0" borderId="15" xfId="0" applyNumberFormat="1" applyFont="1" applyFill="1" applyBorder="1" applyAlignment="1" applyProtection="1"/>
    <xf numFmtId="166" fontId="60" fillId="0" borderId="0" xfId="0" applyNumberFormat="1" applyFont="1" applyFill="1" applyBorder="1" applyAlignment="1" applyProtection="1"/>
    <xf numFmtId="166" fontId="37" fillId="0" borderId="0" xfId="0" applyNumberFormat="1" applyFont="1" applyBorder="1" applyAlignment="1" applyProtection="1">
      <alignment horizontal="left"/>
    </xf>
    <xf numFmtId="165" fontId="65" fillId="0" borderId="0" xfId="2" applyNumberFormat="1" applyFont="1" applyAlignment="1" applyProtection="1"/>
    <xf numFmtId="170" fontId="65" fillId="0" borderId="0" xfId="2" applyNumberFormat="1" applyFont="1" applyFill="1" applyAlignment="1" applyProtection="1"/>
    <xf numFmtId="165" fontId="65" fillId="0" borderId="0" xfId="2" applyNumberFormat="1" applyFont="1" applyFill="1" applyAlignment="1" applyProtection="1"/>
    <xf numFmtId="165" fontId="65" fillId="0" borderId="0" xfId="2" applyNumberFormat="1" applyFont="1" applyBorder="1" applyAlignment="1" applyProtection="1"/>
    <xf numFmtId="164" fontId="65" fillId="0" borderId="0" xfId="2" applyNumberFormat="1" applyFont="1" applyAlignment="1" applyProtection="1"/>
    <xf numFmtId="165" fontId="42" fillId="0" borderId="0" xfId="2" applyNumberFormat="1" applyFont="1" applyProtection="1"/>
    <xf numFmtId="170" fontId="42" fillId="0" borderId="0" xfId="2" applyNumberFormat="1" applyFont="1" applyFill="1" applyAlignment="1" applyProtection="1"/>
    <xf numFmtId="165" fontId="65" fillId="0" borderId="0" xfId="2" applyNumberFormat="1" applyFont="1" applyProtection="1"/>
    <xf numFmtId="165" fontId="66" fillId="0" borderId="0" xfId="2" applyNumberFormat="1" applyFont="1" applyAlignment="1" applyProtection="1"/>
    <xf numFmtId="3" fontId="42" fillId="0" borderId="0" xfId="2" applyNumberFormat="1" applyFont="1" applyAlignment="1" applyProtection="1"/>
    <xf numFmtId="0" fontId="44" fillId="0" borderId="0" xfId="2" applyNumberFormat="1" applyFont="1" applyAlignment="1" applyProtection="1"/>
    <xf numFmtId="165" fontId="44" fillId="0" borderId="0" xfId="2" applyNumberFormat="1" applyFont="1" applyAlignment="1" applyProtection="1"/>
    <xf numFmtId="164" fontId="66" fillId="0" borderId="0" xfId="2" applyNumberFormat="1" applyFont="1" applyAlignment="1" applyProtection="1">
      <alignment horizontal="right"/>
    </xf>
    <xf numFmtId="0" fontId="66" fillId="0" borderId="0" xfId="2" applyNumberFormat="1" applyFont="1" applyAlignment="1" applyProtection="1"/>
    <xf numFmtId="165" fontId="66" fillId="0" borderId="0" xfId="2" applyNumberFormat="1" applyFont="1" applyBorder="1" applyAlignment="1" applyProtection="1">
      <alignment horizontal="right"/>
    </xf>
    <xf numFmtId="0" fontId="66" fillId="0" borderId="0" xfId="2" quotePrefix="1" applyNumberFormat="1" applyFont="1" applyAlignment="1" applyProtection="1">
      <alignment horizontal="left"/>
    </xf>
    <xf numFmtId="0" fontId="58" fillId="0" borderId="0" xfId="2" quotePrefix="1" applyNumberFormat="1" applyFont="1" applyAlignment="1" applyProtection="1">
      <alignment horizontal="center"/>
    </xf>
    <xf numFmtId="166" fontId="58" fillId="0" borderId="0" xfId="2" applyNumberFormat="1" applyFont="1" applyAlignment="1" applyProtection="1"/>
    <xf numFmtId="165" fontId="44" fillId="0" borderId="0" xfId="2" applyNumberFormat="1" applyFont="1" applyBorder="1" applyAlignment="1" applyProtection="1"/>
    <xf numFmtId="0" fontId="44" fillId="0" borderId="0" xfId="2" applyNumberFormat="1" applyFont="1" applyBorder="1" applyAlignment="1" applyProtection="1"/>
    <xf numFmtId="165" fontId="44" fillId="0" borderId="0" xfId="2" applyNumberFormat="1" applyFont="1" applyFill="1" applyBorder="1" applyAlignment="1" applyProtection="1"/>
    <xf numFmtId="165" fontId="75" fillId="0" borderId="0" xfId="2" applyNumberFormat="1" applyFont="1" applyProtection="1"/>
    <xf numFmtId="166" fontId="44" fillId="0" borderId="0" xfId="2" applyNumberFormat="1" applyFont="1" applyBorder="1" applyAlignment="1" applyProtection="1">
      <alignment horizontal="center"/>
    </xf>
    <xf numFmtId="165" fontId="44" fillId="0" borderId="0" xfId="2" applyNumberFormat="1" applyFont="1" applyBorder="1" applyAlignment="1" applyProtection="1">
      <alignment horizontal="center"/>
    </xf>
    <xf numFmtId="0" fontId="44" fillId="0" borderId="0" xfId="2" applyNumberFormat="1" applyFont="1" applyAlignment="1" applyProtection="1">
      <alignment horizontal="center"/>
    </xf>
    <xf numFmtId="3" fontId="44" fillId="0" borderId="0" xfId="2" applyNumberFormat="1" applyFont="1" applyAlignment="1" applyProtection="1">
      <alignment horizontal="center"/>
    </xf>
    <xf numFmtId="170" fontId="44" fillId="0" borderId="0" xfId="2" applyNumberFormat="1" applyFont="1" applyFill="1" applyAlignment="1" applyProtection="1">
      <alignment horizontal="center"/>
    </xf>
    <xf numFmtId="165" fontId="44" fillId="0" borderId="0" xfId="2" applyNumberFormat="1" applyFont="1" applyAlignment="1" applyProtection="1">
      <alignment horizontal="center"/>
    </xf>
    <xf numFmtId="1" fontId="44" fillId="0" borderId="0" xfId="2" quotePrefix="1" applyNumberFormat="1" applyFont="1" applyBorder="1" applyAlignment="1" applyProtection="1">
      <alignment horizontal="center"/>
    </xf>
    <xf numFmtId="166" fontId="44" fillId="0" borderId="10" xfId="2" applyNumberFormat="1" applyFont="1" applyBorder="1" applyAlignment="1" applyProtection="1">
      <alignment horizontal="center"/>
    </xf>
    <xf numFmtId="166" fontId="44" fillId="0" borderId="10" xfId="2" quotePrefix="1" applyNumberFormat="1" applyFont="1" applyBorder="1" applyAlignment="1" applyProtection="1">
      <alignment horizontal="center"/>
    </xf>
    <xf numFmtId="165" fontId="39" fillId="0" borderId="20" xfId="2" applyNumberFormat="1" applyFont="1" applyBorder="1" applyAlignment="1" applyProtection="1"/>
    <xf numFmtId="3" fontId="39" fillId="0" borderId="20" xfId="2" applyNumberFormat="1" applyFont="1" applyBorder="1" applyAlignment="1" applyProtection="1"/>
    <xf numFmtId="165" fontId="65" fillId="0" borderId="15" xfId="2" applyNumberFormat="1" applyFont="1" applyBorder="1" applyProtection="1"/>
    <xf numFmtId="0" fontId="40" fillId="0" borderId="0" xfId="2" applyNumberFormat="1" applyFont="1" applyAlignment="1" applyProtection="1"/>
    <xf numFmtId="0" fontId="44" fillId="0" borderId="0" xfId="2" quotePrefix="1" applyNumberFormat="1" applyFont="1" applyAlignment="1" applyProtection="1">
      <alignment horizontal="left"/>
    </xf>
    <xf numFmtId="174" fontId="44" fillId="0" borderId="0" xfId="4" applyNumberFormat="1" applyFont="1" applyFill="1" applyProtection="1"/>
    <xf numFmtId="169" fontId="44" fillId="0" borderId="0" xfId="2" applyNumberFormat="1" applyFont="1" applyAlignment="1" applyProtection="1"/>
    <xf numFmtId="174" fontId="44" fillId="0" borderId="0" xfId="2" applyNumberFormat="1" applyFont="1" applyAlignment="1" applyProtection="1"/>
    <xf numFmtId="169" fontId="44" fillId="0" borderId="21" xfId="2" applyNumberFormat="1" applyFont="1" applyBorder="1" applyAlignment="1" applyProtection="1"/>
    <xf numFmtId="169" fontId="44" fillId="0" borderId="0" xfId="2" applyNumberFormat="1" applyFont="1" applyFill="1" applyAlignment="1" applyProtection="1"/>
    <xf numFmtId="169" fontId="75" fillId="0" borderId="15" xfId="2" applyNumberFormat="1" applyFont="1" applyBorder="1" applyProtection="1"/>
    <xf numFmtId="169" fontId="43" fillId="0" borderId="0" xfId="2" applyNumberFormat="1" applyFont="1" applyBorder="1" applyAlignment="1" applyProtection="1"/>
    <xf numFmtId="3" fontId="39" fillId="0" borderId="0" xfId="2" applyNumberFormat="1" applyFont="1" applyAlignment="1" applyProtection="1"/>
    <xf numFmtId="165" fontId="42" fillId="0" borderId="0" xfId="2" applyNumberFormat="1" applyFont="1" applyBorder="1" applyAlignment="1" applyProtection="1"/>
    <xf numFmtId="0" fontId="44" fillId="0" borderId="0" xfId="2" applyNumberFormat="1" applyFont="1" applyFill="1" applyAlignment="1" applyProtection="1">
      <alignment horizontal="left"/>
    </xf>
    <xf numFmtId="0" fontId="37" fillId="0" borderId="0" xfId="2" quotePrefix="1" applyNumberFormat="1" applyFont="1" applyAlignment="1" applyProtection="1">
      <alignment horizontal="left"/>
    </xf>
    <xf numFmtId="0" fontId="40" fillId="0" borderId="0" xfId="2" applyNumberFormat="1" applyFont="1" applyFill="1" applyAlignment="1" applyProtection="1"/>
    <xf numFmtId="0" fontId="39" fillId="0" borderId="0" xfId="2" applyNumberFormat="1" applyFont="1" applyFill="1" applyAlignment="1" applyProtection="1"/>
    <xf numFmtId="43" fontId="37" fillId="0" borderId="0" xfId="2" applyNumberFormat="1" applyFont="1" applyAlignment="1" applyProtection="1"/>
    <xf numFmtId="165" fontId="65" fillId="0" borderId="15" xfId="2" applyNumberFormat="1" applyFont="1" applyFill="1" applyBorder="1" applyProtection="1"/>
    <xf numFmtId="165" fontId="42" fillId="0" borderId="0" xfId="2" applyNumberFormat="1" applyFont="1" applyFill="1" applyBorder="1" applyAlignment="1" applyProtection="1"/>
    <xf numFmtId="0" fontId="37" fillId="0" borderId="0" xfId="2" applyNumberFormat="1" applyFont="1" applyAlignment="1" applyProtection="1"/>
    <xf numFmtId="165" fontId="37" fillId="0" borderId="0" xfId="0" applyNumberFormat="1" applyFont="1" applyFill="1" applyAlignment="1" applyProtection="1">
      <alignment horizontal="left"/>
    </xf>
    <xf numFmtId="170" fontId="44" fillId="0" borderId="95" xfId="2" applyNumberFormat="1" applyFont="1" applyBorder="1" applyAlignment="1" applyProtection="1"/>
    <xf numFmtId="170" fontId="44" fillId="0" borderId="95" xfId="2" applyNumberFormat="1" applyFont="1" applyFill="1" applyBorder="1" applyAlignment="1" applyProtection="1"/>
    <xf numFmtId="0" fontId="44" fillId="0" borderId="0" xfId="4" applyFont="1" applyFill="1" applyProtection="1"/>
    <xf numFmtId="170" fontId="44" fillId="0" borderId="70" xfId="2" applyNumberFormat="1" applyFont="1" applyBorder="1" applyAlignment="1" applyProtection="1"/>
    <xf numFmtId="170" fontId="44" fillId="0" borderId="70" xfId="2" applyNumberFormat="1" applyFont="1" applyFill="1" applyBorder="1" applyAlignment="1" applyProtection="1"/>
    <xf numFmtId="170" fontId="65" fillId="0" borderId="15" xfId="2" applyNumberFormat="1" applyFont="1" applyBorder="1" applyProtection="1"/>
    <xf numFmtId="170" fontId="37" fillId="0" borderId="0" xfId="2" applyNumberFormat="1" applyFont="1" applyBorder="1" applyAlignment="1" applyProtection="1"/>
    <xf numFmtId="164" fontId="44" fillId="0" borderId="0" xfId="2" applyNumberFormat="1" applyFont="1" applyBorder="1" applyAlignment="1" applyProtection="1"/>
    <xf numFmtId="0" fontId="47" fillId="0" borderId="0" xfId="2" applyNumberFormat="1" applyFont="1" applyAlignment="1" applyProtection="1"/>
    <xf numFmtId="170" fontId="75" fillId="0" borderId="15" xfId="2" applyNumberFormat="1" applyFont="1" applyBorder="1" applyProtection="1"/>
    <xf numFmtId="165" fontId="75" fillId="0" borderId="0" xfId="2" applyNumberFormat="1" applyFont="1" applyAlignment="1" applyProtection="1"/>
    <xf numFmtId="170" fontId="44" fillId="0" borderId="66" xfId="1046" applyNumberFormat="1" applyFont="1" applyFill="1" applyBorder="1" applyProtection="1"/>
    <xf numFmtId="0" fontId="75" fillId="0" borderId="0" xfId="2" applyNumberFormat="1" applyFont="1" applyFill="1" applyAlignment="1" applyProtection="1">
      <alignment horizontal="left"/>
    </xf>
    <xf numFmtId="170" fontId="82" fillId="0" borderId="0" xfId="2" applyNumberFormat="1" applyFont="1" applyAlignment="1" applyProtection="1"/>
    <xf numFmtId="0" fontId="37" fillId="0" borderId="0" xfId="2" applyNumberFormat="1" applyFont="1" applyFill="1" applyAlignment="1" applyProtection="1">
      <alignment horizontal="left"/>
    </xf>
    <xf numFmtId="170" fontId="37" fillId="0" borderId="0" xfId="2" applyNumberFormat="1" applyFont="1" applyFill="1" applyBorder="1" applyAlignment="1" applyProtection="1">
      <alignment horizontal="right"/>
    </xf>
    <xf numFmtId="170" fontId="37" fillId="0" borderId="15" xfId="0" quotePrefix="1" applyNumberFormat="1" applyFont="1" applyFill="1" applyBorder="1" applyAlignment="1" applyProtection="1">
      <alignment horizontal="right"/>
    </xf>
    <xf numFmtId="172" fontId="37" fillId="0" borderId="10" xfId="2" applyNumberFormat="1" applyFont="1" applyFill="1" applyBorder="1" applyAlignment="1" applyProtection="1"/>
    <xf numFmtId="170" fontId="84" fillId="0" borderId="0" xfId="2" applyNumberFormat="1" applyFont="1" applyAlignment="1" applyProtection="1"/>
    <xf numFmtId="164" fontId="44" fillId="0" borderId="0" xfId="2" applyNumberFormat="1" applyFont="1" applyAlignment="1" applyProtection="1"/>
    <xf numFmtId="170" fontId="37" fillId="0" borderId="10" xfId="2" applyNumberFormat="1" applyFont="1" applyBorder="1" applyAlignment="1" applyProtection="1"/>
    <xf numFmtId="172" fontId="37" fillId="0" borderId="66" xfId="0" applyNumberFormat="1" applyFont="1" applyBorder="1" applyAlignment="1" applyProtection="1"/>
    <xf numFmtId="170" fontId="37" fillId="0" borderId="20" xfId="2" applyNumberFormat="1" applyFont="1" applyBorder="1" applyAlignment="1" applyProtection="1"/>
    <xf numFmtId="170" fontId="37" fillId="0" borderId="20" xfId="2" applyNumberFormat="1" applyFont="1" applyFill="1" applyBorder="1" applyAlignment="1" applyProtection="1"/>
    <xf numFmtId="170" fontId="46" fillId="0" borderId="0" xfId="2" applyNumberFormat="1" applyFont="1" applyBorder="1" applyAlignment="1" applyProtection="1">
      <alignment horizontal="right"/>
    </xf>
    <xf numFmtId="3" fontId="39" fillId="0" borderId="0" xfId="2" applyNumberFormat="1" applyFont="1" applyAlignment="1" applyProtection="1">
      <alignment horizontal="left"/>
    </xf>
    <xf numFmtId="170" fontId="65" fillId="0" borderId="15" xfId="2" applyNumberFormat="1" applyFont="1" applyBorder="1" applyAlignment="1" applyProtection="1">
      <alignment horizontal="center"/>
    </xf>
    <xf numFmtId="170" fontId="37" fillId="0" borderId="0" xfId="2" applyNumberFormat="1" applyFont="1" applyBorder="1" applyAlignment="1" applyProtection="1">
      <alignment horizontal="center"/>
    </xf>
    <xf numFmtId="164" fontId="44" fillId="0" borderId="45" xfId="2" quotePrefix="1" applyNumberFormat="1" applyFont="1" applyBorder="1" applyAlignment="1" applyProtection="1"/>
    <xf numFmtId="0" fontId="39" fillId="0" borderId="0" xfId="2" quotePrefix="1" applyNumberFormat="1" applyFont="1" applyAlignment="1" applyProtection="1">
      <alignment horizontal="left"/>
    </xf>
    <xf numFmtId="164" fontId="44" fillId="0" borderId="10" xfId="2" quotePrefix="1" applyNumberFormat="1" applyFont="1" applyBorder="1" applyAlignment="1" applyProtection="1">
      <alignment horizontal="right"/>
    </xf>
    <xf numFmtId="0" fontId="37" fillId="0" borderId="0" xfId="2" quotePrefix="1" applyNumberFormat="1" applyFont="1" applyFill="1" applyBorder="1" applyAlignment="1" applyProtection="1">
      <alignment horizontal="left"/>
    </xf>
    <xf numFmtId="170" fontId="65" fillId="0" borderId="15" xfId="2" applyNumberFormat="1" applyFont="1" applyFill="1" applyBorder="1" applyProtection="1"/>
    <xf numFmtId="0" fontId="39" fillId="0" borderId="0" xfId="2" quotePrefix="1" applyNumberFormat="1" applyFont="1" applyFill="1" applyBorder="1" applyAlignment="1" applyProtection="1">
      <alignment horizontal="left"/>
    </xf>
    <xf numFmtId="0" fontId="37" fillId="0" borderId="0" xfId="2" applyNumberFormat="1" applyFont="1" applyFill="1" applyAlignment="1" applyProtection="1"/>
    <xf numFmtId="170" fontId="37" fillId="0" borderId="10" xfId="2" applyNumberFormat="1" applyFont="1" applyFill="1" applyBorder="1" applyAlignment="1" applyProtection="1"/>
    <xf numFmtId="172" fontId="44" fillId="0" borderId="10" xfId="2" applyNumberFormat="1" applyFont="1" applyBorder="1" applyAlignment="1" applyProtection="1"/>
    <xf numFmtId="170" fontId="42" fillId="0" borderId="0" xfId="2" applyNumberFormat="1" applyFont="1" applyAlignment="1" applyProtection="1"/>
    <xf numFmtId="170" fontId="42" fillId="0" borderId="0" xfId="2" applyNumberFormat="1" applyFont="1" applyBorder="1" applyAlignment="1" applyProtection="1"/>
    <xf numFmtId="170" fontId="43" fillId="0" borderId="0" xfId="2" applyNumberFormat="1" applyFont="1" applyBorder="1" applyAlignment="1" applyProtection="1"/>
    <xf numFmtId="172" fontId="44" fillId="0" borderId="10" xfId="2" applyNumberFormat="1" applyFont="1" applyFill="1" applyBorder="1" applyAlignment="1" applyProtection="1"/>
    <xf numFmtId="164" fontId="37" fillId="0" borderId="20" xfId="2" applyNumberFormat="1" applyFont="1" applyBorder="1" applyAlignment="1" applyProtection="1"/>
    <xf numFmtId="174" fontId="44" fillId="0" borderId="17" xfId="2" applyNumberFormat="1" applyFont="1" applyFill="1" applyBorder="1" applyAlignment="1" applyProtection="1"/>
    <xf numFmtId="169" fontId="44" fillId="0" borderId="0" xfId="2" applyNumberFormat="1" applyFont="1" applyFill="1" applyBorder="1" applyAlignment="1" applyProtection="1"/>
    <xf numFmtId="169" fontId="44" fillId="0" borderId="18" xfId="2" applyNumberFormat="1" applyFont="1" applyFill="1" applyBorder="1" applyAlignment="1" applyProtection="1"/>
    <xf numFmtId="169" fontId="44" fillId="0" borderId="0" xfId="2" applyNumberFormat="1" applyFont="1" applyBorder="1" applyAlignment="1" applyProtection="1"/>
    <xf numFmtId="174" fontId="44" fillId="0" borderId="17" xfId="2" applyNumberFormat="1" applyFont="1" applyBorder="1" applyAlignment="1" applyProtection="1"/>
    <xf numFmtId="164" fontId="44" fillId="0" borderId="17" xfId="2" applyNumberFormat="1" applyFont="1" applyBorder="1" applyAlignment="1" applyProtection="1"/>
    <xf numFmtId="0" fontId="39" fillId="0" borderId="0" xfId="2" applyNumberFormat="1" applyFont="1" applyBorder="1" applyAlignment="1" applyProtection="1"/>
    <xf numFmtId="3" fontId="39" fillId="0" borderId="0" xfId="2" applyNumberFormat="1" applyFont="1" applyBorder="1" applyAlignment="1" applyProtection="1"/>
    <xf numFmtId="170" fontId="65" fillId="0" borderId="0" xfId="2" applyNumberFormat="1" applyFont="1" applyBorder="1" applyProtection="1"/>
    <xf numFmtId="170" fontId="65" fillId="0" borderId="0" xfId="2" applyNumberFormat="1" applyFont="1" applyProtection="1"/>
    <xf numFmtId="0" fontId="39" fillId="0" borderId="0" xfId="2" applyNumberFormat="1" applyFont="1" applyAlignment="1" applyProtection="1">
      <alignment horizontal="left"/>
    </xf>
    <xf numFmtId="165" fontId="47" fillId="0" borderId="0" xfId="2" applyNumberFormat="1" applyFont="1" applyBorder="1" applyAlignment="1" applyProtection="1"/>
    <xf numFmtId="165" fontId="40" fillId="0" borderId="0" xfId="2" applyNumberFormat="1" applyFont="1" applyBorder="1" applyAlignment="1" applyProtection="1"/>
    <xf numFmtId="170" fontId="39" fillId="0" borderId="0" xfId="2" applyNumberFormat="1" applyFont="1" applyProtection="1"/>
    <xf numFmtId="165" fontId="39" fillId="0" borderId="0" xfId="2" applyNumberFormat="1" applyFont="1" applyProtection="1"/>
    <xf numFmtId="165" fontId="37" fillId="0" borderId="0" xfId="2" applyNumberFormat="1" applyFont="1" applyBorder="1" applyAlignment="1" applyProtection="1"/>
    <xf numFmtId="166" fontId="46" fillId="0" borderId="0" xfId="2" quotePrefix="1" applyNumberFormat="1" applyFont="1" applyBorder="1" applyAlignment="1" applyProtection="1">
      <alignment horizontal="left"/>
    </xf>
    <xf numFmtId="164" fontId="0" fillId="0" borderId="0" xfId="0" applyProtection="1"/>
    <xf numFmtId="0" fontId="42" fillId="0" borderId="0" xfId="2" applyNumberFormat="1" applyFont="1" applyAlignment="1" applyProtection="1"/>
    <xf numFmtId="0" fontId="44" fillId="0" borderId="0" xfId="2" quotePrefix="1" applyNumberFormat="1" applyFont="1" applyAlignment="1" applyProtection="1">
      <alignment horizontal="center"/>
    </xf>
    <xf numFmtId="0" fontId="44" fillId="0" borderId="66" xfId="2" applyNumberFormat="1" applyFont="1" applyBorder="1" applyAlignment="1" applyProtection="1">
      <alignment horizontal="center"/>
    </xf>
    <xf numFmtId="165" fontId="39" fillId="0" borderId="20" xfId="2" applyNumberFormat="1" applyFont="1" applyBorder="1" applyProtection="1"/>
    <xf numFmtId="165" fontId="39" fillId="0" borderId="15" xfId="2" applyNumberFormat="1" applyFont="1" applyBorder="1" applyAlignment="1" applyProtection="1"/>
    <xf numFmtId="0" fontId="44" fillId="0" borderId="0" xfId="2" applyNumberFormat="1" applyFont="1" applyAlignment="1" applyProtection="1">
      <alignment horizontal="left"/>
    </xf>
    <xf numFmtId="174" fontId="44" fillId="0" borderId="21" xfId="2" applyNumberFormat="1" applyFont="1" applyBorder="1" applyAlignment="1" applyProtection="1"/>
    <xf numFmtId="174" fontId="44" fillId="0" borderId="0" xfId="2" applyNumberFormat="1" applyFont="1" applyAlignment="1" applyProtection="1">
      <alignment horizontal="right"/>
    </xf>
    <xf numFmtId="168" fontId="44" fillId="0" borderId="0" xfId="2" applyNumberFormat="1" applyFont="1" applyAlignment="1" applyProtection="1"/>
    <xf numFmtId="165" fontId="39" fillId="0" borderId="21" xfId="2" applyNumberFormat="1" applyFont="1" applyBorder="1" applyAlignment="1" applyProtection="1"/>
    <xf numFmtId="0" fontId="37" fillId="0" borderId="0" xfId="2" quotePrefix="1" applyNumberFormat="1" applyFont="1" applyFill="1" applyAlignment="1" applyProtection="1">
      <alignment horizontal="left"/>
    </xf>
    <xf numFmtId="164" fontId="0" fillId="0" borderId="0" xfId="0" applyFill="1" applyProtection="1"/>
    <xf numFmtId="170" fontId="63" fillId="0" borderId="0" xfId="2" applyNumberFormat="1" applyFont="1" applyAlignment="1" applyProtection="1"/>
    <xf numFmtId="194" fontId="37" fillId="0" borderId="0" xfId="2" applyNumberFormat="1" applyFont="1" applyFill="1" applyAlignment="1" applyProtection="1"/>
    <xf numFmtId="174" fontId="37" fillId="0" borderId="0" xfId="2" applyNumberFormat="1" applyFont="1" applyAlignment="1" applyProtection="1"/>
    <xf numFmtId="174" fontId="37" fillId="0" borderId="0" xfId="2" applyNumberFormat="1" applyFont="1" applyBorder="1" applyAlignment="1" applyProtection="1"/>
    <xf numFmtId="165" fontId="0" fillId="0" borderId="0" xfId="2" applyNumberFormat="1" applyFont="1" applyFill="1" applyAlignment="1" applyProtection="1"/>
    <xf numFmtId="0" fontId="44" fillId="0" borderId="0" xfId="2" applyFont="1" applyFill="1" applyAlignment="1" applyProtection="1"/>
    <xf numFmtId="164" fontId="44" fillId="0" borderId="16" xfId="2" applyNumberFormat="1" applyFont="1" applyFill="1" applyBorder="1" applyAlignment="1" applyProtection="1"/>
    <xf numFmtId="170" fontId="63" fillId="0" borderId="0" xfId="2" applyNumberFormat="1" applyFont="1" applyFill="1" applyAlignment="1" applyProtection="1"/>
    <xf numFmtId="164" fontId="0" fillId="0" borderId="0" xfId="0" applyAlignment="1" applyProtection="1"/>
    <xf numFmtId="170" fontId="37" fillId="0" borderId="0" xfId="2" applyNumberFormat="1" applyFont="1" applyAlignment="1" applyProtection="1">
      <alignment horizontal="right"/>
    </xf>
    <xf numFmtId="0" fontId="44" fillId="0" borderId="0" xfId="2" applyNumberFormat="1" applyFont="1" applyFill="1" applyAlignment="1" applyProtection="1"/>
    <xf numFmtId="170" fontId="44" fillId="0" borderId="21" xfId="2" applyNumberFormat="1" applyFont="1" applyFill="1" applyBorder="1" applyAlignment="1" applyProtection="1"/>
    <xf numFmtId="170" fontId="64" fillId="0" borderId="0" xfId="2" applyNumberFormat="1" applyFont="1" applyFill="1" applyAlignment="1" applyProtection="1"/>
    <xf numFmtId="165" fontId="44" fillId="0" borderId="0" xfId="2" applyNumberFormat="1" applyFont="1" applyFill="1" applyAlignment="1" applyProtection="1"/>
    <xf numFmtId="0" fontId="37" fillId="0" borderId="0" xfId="2" applyNumberFormat="1" applyFont="1" applyAlignment="1" applyProtection="1">
      <alignment horizontal="left"/>
    </xf>
    <xf numFmtId="165" fontId="39" fillId="0" borderId="0" xfId="2" applyNumberFormat="1" applyFont="1" applyFill="1" applyAlignment="1" applyProtection="1">
      <alignment horizontal="left"/>
    </xf>
    <xf numFmtId="170" fontId="39" fillId="0" borderId="100" xfId="2" applyNumberFormat="1" applyFont="1" applyFill="1" applyBorder="1" applyAlignment="1" applyProtection="1"/>
    <xf numFmtId="170" fontId="63" fillId="0" borderId="0" xfId="2" applyNumberFormat="1" applyFont="1" applyFill="1" applyBorder="1" applyAlignment="1" applyProtection="1"/>
    <xf numFmtId="170" fontId="39" fillId="0" borderId="96" xfId="2" applyNumberFormat="1" applyFont="1" applyBorder="1" applyAlignment="1" applyProtection="1"/>
    <xf numFmtId="170" fontId="37" fillId="0" borderId="19" xfId="2" applyNumberFormat="1" applyFont="1" applyBorder="1" applyAlignment="1" applyProtection="1"/>
    <xf numFmtId="170" fontId="44" fillId="0" borderId="100" xfId="2" applyNumberFormat="1" applyFont="1" applyBorder="1" applyAlignment="1" applyProtection="1"/>
    <xf numFmtId="166" fontId="44" fillId="0" borderId="0" xfId="2" applyNumberFormat="1" applyFont="1" applyBorder="1" applyAlignment="1" applyProtection="1">
      <alignment horizontal="right"/>
    </xf>
    <xf numFmtId="3" fontId="39" fillId="0" borderId="0" xfId="2" applyNumberFormat="1" applyFont="1" applyFill="1" applyAlignment="1" applyProtection="1"/>
    <xf numFmtId="166" fontId="39" fillId="0" borderId="0" xfId="2" quotePrefix="1" applyNumberFormat="1" applyFont="1" applyFill="1" applyAlignment="1" applyProtection="1">
      <alignment horizontal="right"/>
    </xf>
    <xf numFmtId="166" fontId="37" fillId="0" borderId="0" xfId="2" applyNumberFormat="1" applyFont="1" applyFill="1" applyBorder="1" applyAlignment="1" applyProtection="1"/>
    <xf numFmtId="3" fontId="39" fillId="0" borderId="0" xfId="2" applyNumberFormat="1" applyFont="1" applyFill="1" applyAlignment="1" applyProtection="1">
      <alignment horizontal="left"/>
    </xf>
    <xf numFmtId="196" fontId="39" fillId="0" borderId="0" xfId="2" applyNumberFormat="1" applyFont="1" applyFill="1" applyAlignment="1" applyProtection="1"/>
    <xf numFmtId="170" fontId="37" fillId="0" borderId="19" xfId="2" applyNumberFormat="1" applyFont="1" applyFill="1" applyBorder="1" applyAlignment="1" applyProtection="1"/>
    <xf numFmtId="164" fontId="37" fillId="0" borderId="19" xfId="2" applyNumberFormat="1" applyFont="1" applyFill="1" applyBorder="1" applyAlignment="1" applyProtection="1"/>
    <xf numFmtId="170" fontId="44" fillId="0" borderId="100" xfId="2" applyNumberFormat="1" applyFont="1" applyFill="1" applyBorder="1" applyAlignment="1" applyProtection="1"/>
    <xf numFmtId="164" fontId="44" fillId="0" borderId="66" xfId="2" applyNumberFormat="1" applyFont="1" applyFill="1" applyBorder="1" applyAlignment="1" applyProtection="1"/>
    <xf numFmtId="170" fontId="0" fillId="0" borderId="0" xfId="2" applyNumberFormat="1" applyFont="1" applyBorder="1" applyAlignment="1" applyProtection="1"/>
    <xf numFmtId="170" fontId="39" fillId="0" borderId="0" xfId="5" applyNumberFormat="1" applyFont="1" applyFill="1" applyProtection="1"/>
    <xf numFmtId="174" fontId="44" fillId="0" borderId="101" xfId="2" applyNumberFormat="1" applyFont="1" applyBorder="1" applyAlignment="1" applyProtection="1"/>
    <xf numFmtId="168" fontId="39" fillId="0" borderId="36" xfId="2" applyNumberFormat="1" applyFont="1" applyBorder="1" applyAlignment="1" applyProtection="1"/>
    <xf numFmtId="168" fontId="39" fillId="0" borderId="0" xfId="2" applyNumberFormat="1" applyFont="1" applyBorder="1" applyAlignment="1" applyProtection="1"/>
    <xf numFmtId="168" fontId="37" fillId="0" borderId="0" xfId="2" applyNumberFormat="1" applyFont="1" applyAlignment="1" applyProtection="1"/>
    <xf numFmtId="0" fontId="0" fillId="0" borderId="0" xfId="2" applyFont="1" applyFill="1" applyProtection="1"/>
    <xf numFmtId="165" fontId="88" fillId="0" borderId="0" xfId="2" applyNumberFormat="1" applyFont="1" applyFill="1" applyAlignment="1" applyProtection="1"/>
    <xf numFmtId="165" fontId="89" fillId="0" borderId="0" xfId="2" applyNumberFormat="1" applyFont="1" applyFill="1" applyAlignment="1" applyProtection="1"/>
    <xf numFmtId="165" fontId="87" fillId="0" borderId="0" xfId="2" applyNumberFormat="1" applyFont="1" applyFill="1" applyAlignment="1" applyProtection="1"/>
    <xf numFmtId="0" fontId="80" fillId="0" borderId="0" xfId="2" applyNumberFormat="1" applyFont="1" applyFill="1" applyAlignment="1" applyProtection="1"/>
    <xf numFmtId="165" fontId="87" fillId="0" borderId="0" xfId="2" applyNumberFormat="1" applyFont="1" applyFill="1" applyAlignment="1" applyProtection="1">
      <alignment horizontal="centerContinuous"/>
    </xf>
    <xf numFmtId="0" fontId="44" fillId="0" borderId="0" xfId="2" quotePrefix="1" applyNumberFormat="1" applyFont="1" applyFill="1" applyAlignment="1" applyProtection="1">
      <alignment horizontal="center"/>
    </xf>
    <xf numFmtId="165" fontId="161" fillId="0" borderId="0" xfId="2" applyNumberFormat="1" applyFont="1" applyFill="1" applyAlignment="1" applyProtection="1"/>
    <xf numFmtId="165" fontId="161" fillId="0" borderId="0" xfId="2" applyNumberFormat="1" applyFont="1" applyFill="1" applyBorder="1" applyAlignment="1" applyProtection="1"/>
    <xf numFmtId="165" fontId="44" fillId="0" borderId="0" xfId="2" applyNumberFormat="1" applyFont="1" applyFill="1" applyAlignment="1" applyProtection="1">
      <alignment horizontal="center"/>
    </xf>
    <xf numFmtId="0" fontId="44" fillId="0" borderId="10" xfId="2" applyNumberFormat="1" applyFont="1" applyFill="1" applyBorder="1" applyAlignment="1" applyProtection="1">
      <alignment horizontal="center"/>
    </xf>
    <xf numFmtId="0" fontId="44" fillId="0" borderId="0" xfId="2" applyNumberFormat="1" applyFont="1" applyFill="1" applyBorder="1" applyAlignment="1" applyProtection="1">
      <alignment horizontal="center"/>
    </xf>
    <xf numFmtId="165" fontId="44" fillId="0" borderId="10" xfId="2" applyNumberFormat="1" applyFont="1" applyFill="1" applyBorder="1" applyAlignment="1" applyProtection="1">
      <alignment horizontal="center"/>
    </xf>
    <xf numFmtId="166" fontId="44" fillId="0" borderId="15" xfId="2" applyNumberFormat="1" applyFont="1" applyFill="1" applyBorder="1" applyAlignment="1" applyProtection="1"/>
    <xf numFmtId="0" fontId="37" fillId="0" borderId="0" xfId="2" applyFont="1" applyFill="1" applyBorder="1" applyProtection="1"/>
    <xf numFmtId="174" fontId="39" fillId="0" borderId="0" xfId="2" applyNumberFormat="1" applyFont="1" applyFill="1" applyAlignment="1" applyProtection="1"/>
    <xf numFmtId="166" fontId="44" fillId="0" borderId="0" xfId="2" applyNumberFormat="1" applyFont="1" applyFill="1" applyAlignment="1" applyProtection="1">
      <alignment horizontal="right"/>
    </xf>
    <xf numFmtId="164" fontId="44" fillId="0" borderId="0" xfId="0" applyNumberFormat="1" applyFont="1" applyFill="1" applyBorder="1" applyAlignment="1" applyProtection="1"/>
    <xf numFmtId="0" fontId="0" fillId="0" borderId="0" xfId="2" applyFont="1" applyFill="1" applyBorder="1" applyProtection="1"/>
    <xf numFmtId="169" fontId="39" fillId="0" borderId="0" xfId="2" quotePrefix="1" applyNumberFormat="1" applyFont="1" applyFill="1" applyAlignment="1" applyProtection="1">
      <alignment horizontal="right"/>
    </xf>
    <xf numFmtId="170" fontId="44" fillId="0" borderId="15" xfId="2" applyNumberFormat="1" applyFont="1" applyFill="1" applyBorder="1" applyAlignment="1" applyProtection="1"/>
    <xf numFmtId="170" fontId="0" fillId="0" borderId="0" xfId="2" applyNumberFormat="1" applyFont="1" applyFill="1" applyBorder="1" applyProtection="1"/>
    <xf numFmtId="0" fontId="39" fillId="0" borderId="0" xfId="2" applyNumberFormat="1" applyFont="1" applyFill="1" applyAlignment="1" applyProtection="1">
      <alignment horizontal="left"/>
    </xf>
    <xf numFmtId="170" fontId="37" fillId="0" borderId="0" xfId="1" applyNumberFormat="1" applyFont="1" applyFill="1" applyAlignment="1" applyProtection="1">
      <alignment horizontal="right"/>
    </xf>
    <xf numFmtId="170" fontId="37" fillId="0" borderId="15" xfId="1" applyNumberFormat="1" applyFont="1" applyFill="1" applyBorder="1" applyAlignment="1" applyProtection="1">
      <alignment horizontal="right"/>
    </xf>
    <xf numFmtId="166" fontId="37" fillId="0" borderId="0" xfId="2" applyNumberFormat="1" applyFont="1" applyFill="1" applyAlignment="1" applyProtection="1">
      <alignment horizontal="right"/>
    </xf>
    <xf numFmtId="0" fontId="37" fillId="0" borderId="0" xfId="5517" applyFont="1" applyFill="1" applyProtection="1"/>
    <xf numFmtId="166" fontId="0" fillId="0" borderId="0" xfId="2" applyNumberFormat="1" applyFont="1" applyFill="1" applyBorder="1" applyProtection="1"/>
    <xf numFmtId="164" fontId="39" fillId="0" borderId="66" xfId="0" applyNumberFormat="1" applyFont="1" applyFill="1" applyBorder="1" applyAlignment="1" applyProtection="1"/>
    <xf numFmtId="170" fontId="37" fillId="0" borderId="0" xfId="2" quotePrefix="1" applyNumberFormat="1" applyFont="1" applyFill="1" applyAlignment="1" applyProtection="1">
      <alignment horizontal="center"/>
    </xf>
    <xf numFmtId="170" fontId="44" fillId="0" borderId="15" xfId="2" applyNumberFormat="1" applyFont="1" applyFill="1" applyBorder="1" applyAlignment="1" applyProtection="1">
      <alignment horizontal="right"/>
    </xf>
    <xf numFmtId="170" fontId="44" fillId="0" borderId="45" xfId="1046" applyNumberFormat="1" applyFont="1" applyFill="1" applyBorder="1" applyProtection="1"/>
    <xf numFmtId="170" fontId="44" fillId="0" borderId="0" xfId="2" applyNumberFormat="1" applyFont="1" applyFill="1" applyAlignment="1" applyProtection="1">
      <alignment horizontal="right"/>
    </xf>
    <xf numFmtId="170" fontId="39" fillId="0" borderId="0" xfId="2" quotePrefix="1" applyNumberFormat="1" applyFont="1" applyFill="1" applyAlignment="1" applyProtection="1"/>
    <xf numFmtId="166" fontId="0" fillId="0" borderId="0" xfId="2" applyNumberFormat="1" applyFont="1" applyFill="1" applyBorder="1" applyAlignment="1" applyProtection="1">
      <alignment horizontal="center"/>
    </xf>
    <xf numFmtId="166" fontId="37" fillId="0" borderId="0" xfId="2" applyNumberFormat="1" applyFont="1" applyFill="1" applyBorder="1" applyProtection="1"/>
    <xf numFmtId="0" fontId="165" fillId="0" borderId="0" xfId="2" applyFont="1" applyFill="1" applyProtection="1"/>
    <xf numFmtId="172" fontId="37" fillId="0" borderId="0" xfId="0" applyNumberFormat="1" applyFont="1" applyFill="1" applyProtection="1"/>
    <xf numFmtId="43" fontId="0" fillId="0" borderId="0" xfId="2" applyNumberFormat="1" applyFont="1" applyFill="1" applyProtection="1"/>
    <xf numFmtId="170" fontId="44" fillId="0" borderId="0" xfId="2" quotePrefix="1" applyNumberFormat="1" applyFont="1" applyFill="1" applyAlignment="1" applyProtection="1"/>
    <xf numFmtId="166" fontId="44" fillId="0" borderId="0" xfId="2" applyNumberFormat="1" applyFont="1" applyFill="1" applyBorder="1" applyProtection="1"/>
    <xf numFmtId="0" fontId="44" fillId="0" borderId="0" xfId="2" applyFont="1" applyFill="1" applyProtection="1"/>
    <xf numFmtId="164" fontId="44" fillId="0" borderId="0" xfId="2" applyNumberFormat="1" applyFont="1" applyFill="1" applyBorder="1" applyProtection="1"/>
    <xf numFmtId="170" fontId="37" fillId="0" borderId="20" xfId="2" quotePrefix="1" applyNumberFormat="1" applyFont="1" applyFill="1" applyBorder="1" applyAlignment="1" applyProtection="1"/>
    <xf numFmtId="170" fontId="37" fillId="0" borderId="46" xfId="0" quotePrefix="1" applyNumberFormat="1" applyFont="1" applyFill="1" applyBorder="1" applyAlignment="1" applyProtection="1">
      <alignment horizontal="right"/>
    </xf>
    <xf numFmtId="0" fontId="37" fillId="0" borderId="0" xfId="5517" applyFont="1" applyFill="1" applyBorder="1" applyProtection="1"/>
    <xf numFmtId="170" fontId="44" fillId="0" borderId="43" xfId="2" applyNumberFormat="1" applyFont="1" applyFill="1" applyBorder="1" applyAlignment="1" applyProtection="1"/>
    <xf numFmtId="166" fontId="44" fillId="0" borderId="0" xfId="2" applyNumberFormat="1" applyFont="1" applyFill="1" applyBorder="1" applyAlignment="1" applyProtection="1"/>
    <xf numFmtId="164" fontId="44" fillId="0" borderId="66" xfId="0" applyNumberFormat="1" applyFont="1" applyFill="1" applyBorder="1" applyAlignment="1" applyProtection="1"/>
    <xf numFmtId="0" fontId="44" fillId="0" borderId="0" xfId="2" applyFont="1" applyFill="1" applyBorder="1" applyProtection="1"/>
    <xf numFmtId="170" fontId="39" fillId="0" borderId="0" xfId="2" applyNumberFormat="1" applyFont="1" applyFill="1" applyAlignment="1" applyProtection="1">
      <alignment horizontal="center"/>
    </xf>
    <xf numFmtId="170" fontId="44" fillId="0" borderId="15" xfId="2" applyNumberFormat="1" applyFont="1" applyFill="1" applyBorder="1" applyAlignment="1" applyProtection="1">
      <alignment horizontal="center"/>
    </xf>
    <xf numFmtId="170" fontId="39" fillId="0" borderId="0" xfId="2" applyNumberFormat="1" applyFont="1" applyFill="1" applyAlignment="1" applyProtection="1">
      <alignment horizontal="right" vertical="center"/>
    </xf>
    <xf numFmtId="170" fontId="39" fillId="0" borderId="21" xfId="2" applyNumberFormat="1" applyFont="1" applyFill="1" applyBorder="1" applyAlignment="1" applyProtection="1">
      <alignment horizontal="right" vertical="center"/>
    </xf>
    <xf numFmtId="170" fontId="39" fillId="0" borderId="0" xfId="2" applyNumberFormat="1" applyFont="1" applyFill="1" applyBorder="1" applyAlignment="1" applyProtection="1">
      <alignment horizontal="right"/>
    </xf>
    <xf numFmtId="170" fontId="39" fillId="0" borderId="66" xfId="2" applyNumberFormat="1" applyFont="1" applyFill="1" applyBorder="1" applyAlignment="1" applyProtection="1"/>
    <xf numFmtId="170" fontId="44" fillId="0" borderId="15" xfId="2" applyNumberFormat="1" applyFont="1" applyFill="1" applyBorder="1" applyProtection="1"/>
    <xf numFmtId="170" fontId="44" fillId="0" borderId="66" xfId="6" applyNumberFormat="1" applyFont="1" applyFill="1" applyBorder="1" applyAlignment="1" applyProtection="1"/>
    <xf numFmtId="170" fontId="44" fillId="0" borderId="0" xfId="6" applyNumberFormat="1" applyFont="1" applyFill="1" applyAlignment="1" applyProtection="1"/>
    <xf numFmtId="170" fontId="44" fillId="0" borderId="21" xfId="6" applyNumberFormat="1" applyFont="1" applyFill="1" applyBorder="1" applyAlignment="1" applyProtection="1"/>
    <xf numFmtId="170" fontId="44" fillId="0" borderId="0" xfId="2" applyNumberFormat="1" applyFont="1" applyFill="1" applyBorder="1" applyProtection="1"/>
    <xf numFmtId="0" fontId="0" fillId="0" borderId="28" xfId="2" applyFont="1" applyFill="1" applyBorder="1" applyProtection="1"/>
    <xf numFmtId="0" fontId="0" fillId="0" borderId="15" xfId="2" applyFont="1" applyFill="1" applyBorder="1" applyProtection="1"/>
    <xf numFmtId="174" fontId="44" fillId="0" borderId="81" xfId="2" applyNumberFormat="1" applyFont="1" applyFill="1" applyBorder="1" applyProtection="1"/>
    <xf numFmtId="0" fontId="82" fillId="0" borderId="0" xfId="2" applyFont="1" applyFill="1" applyProtection="1"/>
    <xf numFmtId="166" fontId="0" fillId="0" borderId="0" xfId="2" applyNumberFormat="1" applyFont="1" applyFill="1" applyProtection="1"/>
    <xf numFmtId="0" fontId="42" fillId="0" borderId="0" xfId="4" applyFont="1" applyFill="1" applyProtection="1"/>
    <xf numFmtId="166" fontId="42" fillId="0" borderId="0" xfId="4" applyNumberFormat="1" applyFont="1" applyFill="1" applyProtection="1"/>
    <xf numFmtId="43" fontId="42" fillId="0" borderId="0" xfId="5" applyFont="1" applyFill="1" applyBorder="1" applyAlignment="1" applyProtection="1">
      <alignment horizontal="right"/>
    </xf>
    <xf numFmtId="0" fontId="66" fillId="0" borderId="0" xfId="4" quotePrefix="1" applyFont="1" applyFill="1" applyAlignment="1" applyProtection="1">
      <alignment horizontal="left"/>
    </xf>
    <xf numFmtId="0" fontId="66" fillId="0" borderId="0" xfId="4" applyFont="1" applyFill="1" applyAlignment="1" applyProtection="1">
      <alignment horizontal="right"/>
    </xf>
    <xf numFmtId="0" fontId="66" fillId="0" borderId="0" xfId="4" applyFont="1" applyFill="1" applyProtection="1"/>
    <xf numFmtId="0" fontId="85" fillId="0" borderId="0" xfId="4" applyFill="1" applyAlignment="1" applyProtection="1"/>
    <xf numFmtId="43" fontId="43" fillId="0" borderId="0" xfId="5" applyFont="1" applyFill="1" applyBorder="1" applyAlignment="1" applyProtection="1">
      <alignment horizontal="right"/>
    </xf>
    <xf numFmtId="0" fontId="44" fillId="0" borderId="0" xfId="4" applyNumberFormat="1" applyFont="1" applyFill="1" applyAlignment="1" applyProtection="1">
      <alignment horizontal="center"/>
    </xf>
    <xf numFmtId="166" fontId="44" fillId="0" borderId="0" xfId="4" applyNumberFormat="1" applyFont="1" applyFill="1" applyProtection="1"/>
    <xf numFmtId="0" fontId="44" fillId="0" borderId="0" xfId="4" applyFont="1" applyFill="1" applyAlignment="1" applyProtection="1">
      <alignment horizontal="center"/>
    </xf>
    <xf numFmtId="0" fontId="44" fillId="0" borderId="0" xfId="4" applyFont="1" applyFill="1" applyBorder="1" applyProtection="1"/>
    <xf numFmtId="166" fontId="44" fillId="0" borderId="0" xfId="4" applyNumberFormat="1" applyFont="1" applyBorder="1" applyAlignment="1" applyProtection="1">
      <alignment horizontal="center"/>
    </xf>
    <xf numFmtId="165" fontId="44" fillId="0" borderId="0" xfId="4" applyNumberFormat="1" applyFont="1" applyBorder="1" applyAlignment="1" applyProtection="1"/>
    <xf numFmtId="165" fontId="44" fillId="0" borderId="0" xfId="4" applyNumberFormat="1" applyFont="1" applyBorder="1" applyAlignment="1" applyProtection="1">
      <alignment horizontal="center"/>
    </xf>
    <xf numFmtId="0" fontId="44" fillId="0" borderId="10" xfId="4" applyFont="1" applyFill="1" applyBorder="1" applyAlignment="1" applyProtection="1">
      <alignment horizontal="center"/>
    </xf>
    <xf numFmtId="166" fontId="44" fillId="0" borderId="10" xfId="4" applyNumberFormat="1" applyFont="1" applyFill="1" applyBorder="1" applyAlignment="1" applyProtection="1">
      <alignment horizontal="center"/>
    </xf>
    <xf numFmtId="0" fontId="44" fillId="0" borderId="10" xfId="4" quotePrefix="1" applyFont="1" applyFill="1" applyBorder="1" applyAlignment="1" applyProtection="1">
      <alignment horizontal="center"/>
    </xf>
    <xf numFmtId="0" fontId="44" fillId="0" borderId="10" xfId="4" applyNumberFormat="1" applyFont="1" applyFill="1" applyBorder="1" applyAlignment="1" applyProtection="1">
      <alignment horizontal="center"/>
    </xf>
    <xf numFmtId="0" fontId="44" fillId="0" borderId="0" xfId="4" applyNumberFormat="1" applyFont="1" applyFill="1" applyBorder="1" applyAlignment="1" applyProtection="1">
      <alignment horizontal="center"/>
    </xf>
    <xf numFmtId="166" fontId="44" fillId="0" borderId="10" xfId="4" applyNumberFormat="1" applyFont="1" applyBorder="1" applyAlignment="1" applyProtection="1">
      <alignment horizontal="center"/>
    </xf>
    <xf numFmtId="165" fontId="44" fillId="0" borderId="0" xfId="4" applyNumberFormat="1" applyFont="1" applyAlignment="1" applyProtection="1"/>
    <xf numFmtId="0" fontId="39" fillId="0" borderId="0" xfId="4" applyFont="1" applyFill="1" applyBorder="1" applyAlignment="1" applyProtection="1">
      <alignment horizontal="center"/>
    </xf>
    <xf numFmtId="0" fontId="39" fillId="0" borderId="0" xfId="4" applyFont="1" applyFill="1" applyAlignment="1" applyProtection="1">
      <alignment horizontal="center"/>
    </xf>
    <xf numFmtId="166" fontId="39" fillId="0" borderId="0" xfId="4" applyNumberFormat="1" applyFont="1" applyFill="1" applyBorder="1" applyAlignment="1" applyProtection="1">
      <alignment horizontal="center"/>
    </xf>
    <xf numFmtId="0" fontId="39" fillId="0" borderId="0" xfId="4" quotePrefix="1" applyFont="1" applyFill="1" applyBorder="1" applyAlignment="1" applyProtection="1">
      <alignment horizontal="center"/>
    </xf>
    <xf numFmtId="169" fontId="39" fillId="0" borderId="0" xfId="4" applyNumberFormat="1" applyFont="1" applyFill="1" applyBorder="1" applyAlignment="1" applyProtection="1">
      <alignment horizontal="center"/>
    </xf>
    <xf numFmtId="0" fontId="39" fillId="0" borderId="0" xfId="4" applyNumberFormat="1" applyFont="1" applyFill="1" applyBorder="1" applyAlignment="1" applyProtection="1">
      <alignment horizontal="center"/>
    </xf>
    <xf numFmtId="0" fontId="39" fillId="0" borderId="15" xfId="4" applyNumberFormat="1" applyFont="1" applyFill="1" applyBorder="1" applyAlignment="1" applyProtection="1">
      <alignment horizontal="center"/>
    </xf>
    <xf numFmtId="0" fontId="44" fillId="0" borderId="0" xfId="4" applyFont="1" applyFill="1" applyAlignment="1" applyProtection="1">
      <alignment horizontal="left"/>
    </xf>
    <xf numFmtId="174" fontId="44" fillId="0" borderId="0" xfId="4" quotePrefix="1" applyNumberFormat="1" applyFont="1" applyFill="1" applyAlignment="1" applyProtection="1">
      <alignment horizontal="right"/>
    </xf>
    <xf numFmtId="174" fontId="44" fillId="0" borderId="13" xfId="4" applyNumberFormat="1" applyFont="1" applyFill="1" applyBorder="1" applyProtection="1"/>
    <xf numFmtId="174" fontId="44" fillId="0" borderId="0" xfId="4" applyNumberFormat="1" applyFont="1" applyFill="1" applyBorder="1" applyAlignment="1" applyProtection="1">
      <alignment horizontal="center"/>
    </xf>
    <xf numFmtId="174" fontId="44" fillId="0" borderId="15" xfId="4" applyNumberFormat="1" applyFont="1" applyFill="1" applyBorder="1" applyProtection="1"/>
    <xf numFmtId="174" fontId="44" fillId="0" borderId="0" xfId="4" applyNumberFormat="1" applyFont="1" applyFill="1" applyBorder="1" applyProtection="1"/>
    <xf numFmtId="164" fontId="44" fillId="0" borderId="0" xfId="4" applyNumberFormat="1" applyFont="1" applyFill="1" applyProtection="1"/>
    <xf numFmtId="0" fontId="39" fillId="0" borderId="13" xfId="4" applyFont="1" applyFill="1" applyBorder="1" applyProtection="1"/>
    <xf numFmtId="166" fontId="39" fillId="0" borderId="13" xfId="4" applyNumberFormat="1" applyFont="1" applyFill="1" applyBorder="1" applyProtection="1"/>
    <xf numFmtId="166" fontId="39" fillId="0" borderId="15" xfId="4" applyNumberFormat="1" applyFont="1" applyFill="1" applyBorder="1" applyProtection="1"/>
    <xf numFmtId="166" fontId="39" fillId="0" borderId="0" xfId="4" applyNumberFormat="1" applyFont="1" applyFill="1" applyBorder="1" applyProtection="1"/>
    <xf numFmtId="166" fontId="59" fillId="0" borderId="0" xfId="2" applyNumberFormat="1" applyFont="1" applyAlignment="1" applyProtection="1">
      <alignment horizontal="right"/>
    </xf>
    <xf numFmtId="0" fontId="39" fillId="0" borderId="75" xfId="4" applyFont="1" applyFill="1" applyBorder="1" applyProtection="1"/>
    <xf numFmtId="170" fontId="39" fillId="0" borderId="0" xfId="4" applyNumberFormat="1" applyFont="1" applyFill="1" applyBorder="1" applyProtection="1"/>
    <xf numFmtId="0" fontId="39" fillId="0" borderId="79" xfId="4" applyFont="1" applyFill="1" applyBorder="1" applyProtection="1"/>
    <xf numFmtId="170" fontId="44" fillId="0" borderId="16" xfId="4" applyNumberFormat="1" applyFont="1" applyFill="1" applyBorder="1" applyProtection="1"/>
    <xf numFmtId="170" fontId="44" fillId="0" borderId="45" xfId="4" applyNumberFormat="1" applyFont="1" applyFill="1" applyBorder="1" applyProtection="1"/>
    <xf numFmtId="170" fontId="39" fillId="0" borderId="0" xfId="4" applyNumberFormat="1" applyFont="1" applyFill="1" applyBorder="1" applyAlignment="1" applyProtection="1">
      <alignment horizontal="center"/>
    </xf>
    <xf numFmtId="170" fontId="39" fillId="0" borderId="15" xfId="4" applyNumberFormat="1" applyFont="1" applyFill="1" applyBorder="1" applyProtection="1"/>
    <xf numFmtId="0" fontId="39" fillId="0" borderId="106" xfId="4" applyFont="1" applyFill="1" applyBorder="1" applyProtection="1"/>
    <xf numFmtId="170" fontId="44" fillId="0" borderId="0" xfId="5517" applyNumberFormat="1" applyFont="1" applyFill="1" applyBorder="1" applyProtection="1"/>
    <xf numFmtId="170" fontId="44" fillId="0" borderId="0" xfId="4" applyNumberFormat="1" applyFont="1" applyFill="1" applyProtection="1"/>
    <xf numFmtId="170" fontId="44" fillId="0" borderId="13" xfId="4" applyNumberFormat="1" applyFont="1" applyFill="1" applyBorder="1" applyProtection="1"/>
    <xf numFmtId="170" fontId="44" fillId="0" borderId="0" xfId="4" applyNumberFormat="1" applyFont="1" applyFill="1" applyBorder="1" applyAlignment="1" applyProtection="1">
      <alignment horizontal="center"/>
    </xf>
    <xf numFmtId="170" fontId="44" fillId="0" borderId="15" xfId="4" applyNumberFormat="1" applyFont="1" applyFill="1" applyBorder="1" applyProtection="1"/>
    <xf numFmtId="172" fontId="44" fillId="0" borderId="16" xfId="0" applyNumberFormat="1" applyFont="1" applyBorder="1" applyAlignment="1" applyProtection="1"/>
    <xf numFmtId="0" fontId="43" fillId="0" borderId="0" xfId="4" applyFont="1" applyFill="1" applyProtection="1"/>
    <xf numFmtId="170" fontId="44" fillId="0" borderId="75" xfId="4" applyNumberFormat="1" applyFont="1" applyFill="1" applyBorder="1" applyProtection="1"/>
    <xf numFmtId="170" fontId="44" fillId="0" borderId="0" xfId="4" applyNumberFormat="1" applyFont="1" applyFill="1" applyBorder="1" applyProtection="1"/>
    <xf numFmtId="0" fontId="37" fillId="0" borderId="0" xfId="4" applyFont="1" applyFill="1" applyProtection="1"/>
    <xf numFmtId="170" fontId="37" fillId="0" borderId="0" xfId="5517" applyNumberFormat="1" applyFont="1" applyFill="1" applyBorder="1" applyProtection="1"/>
    <xf numFmtId="170" fontId="39" fillId="0" borderId="13" xfId="4" applyNumberFormat="1" applyFont="1" applyFill="1" applyBorder="1" applyProtection="1"/>
    <xf numFmtId="170" fontId="37" fillId="0" borderId="66" xfId="5517" quotePrefix="1" applyNumberFormat="1" applyFont="1" applyFill="1" applyBorder="1" applyAlignment="1" applyProtection="1">
      <alignment horizontal="center"/>
    </xf>
    <xf numFmtId="170" fontId="39" fillId="0" borderId="10" xfId="4" quotePrefix="1" applyNumberFormat="1" applyFont="1" applyFill="1" applyBorder="1" applyAlignment="1" applyProtection="1"/>
    <xf numFmtId="170" fontId="37" fillId="0" borderId="46" xfId="5517" applyNumberFormat="1" applyFont="1" applyFill="1" applyBorder="1" applyProtection="1"/>
    <xf numFmtId="170" fontId="39" fillId="0" borderId="46" xfId="4" applyNumberFormat="1" applyFont="1" applyFill="1" applyBorder="1" applyProtection="1"/>
    <xf numFmtId="170" fontId="44" fillId="0" borderId="66" xfId="5517" applyNumberFormat="1" applyFont="1" applyFill="1" applyBorder="1" applyProtection="1"/>
    <xf numFmtId="170" fontId="44" fillId="0" borderId="0" xfId="5517" applyNumberFormat="1" applyFont="1" applyFill="1" applyProtection="1"/>
    <xf numFmtId="170" fontId="44" fillId="0" borderId="0" xfId="5517" applyNumberFormat="1" applyFont="1" applyFill="1" applyAlignment="1" applyProtection="1">
      <alignment horizontal="right"/>
    </xf>
    <xf numFmtId="170" fontId="44" fillId="0" borderId="0" xfId="4" applyNumberFormat="1" applyFont="1" applyFill="1" applyAlignment="1" applyProtection="1">
      <alignment horizontal="right"/>
    </xf>
    <xf numFmtId="170" fontId="44" fillId="0" borderId="10" xfId="4" applyNumberFormat="1" applyFont="1" applyFill="1" applyBorder="1" applyProtection="1"/>
    <xf numFmtId="39" fontId="43" fillId="0" borderId="0" xfId="4" applyNumberFormat="1" applyFont="1" applyFill="1" applyBorder="1" applyProtection="1"/>
    <xf numFmtId="0" fontId="44" fillId="0" borderId="0" xfId="4" quotePrefix="1" applyFont="1" applyFill="1" applyAlignment="1" applyProtection="1">
      <alignment horizontal="left"/>
    </xf>
    <xf numFmtId="0" fontId="39" fillId="0" borderId="0" xfId="4" quotePrefix="1" applyFont="1" applyFill="1" applyAlignment="1" applyProtection="1">
      <alignment horizontal="left"/>
    </xf>
    <xf numFmtId="170" fontId="37" fillId="0" borderId="0" xfId="5517" quotePrefix="1" applyNumberFormat="1" applyFont="1" applyFill="1" applyAlignment="1" applyProtection="1">
      <alignment horizontal="right"/>
    </xf>
    <xf numFmtId="0" fontId="37" fillId="0" borderId="0" xfId="4" quotePrefix="1" applyFont="1" applyFill="1" applyAlignment="1" applyProtection="1">
      <alignment horizontal="left"/>
    </xf>
    <xf numFmtId="0" fontId="37" fillId="0" borderId="0" xfId="4" applyFont="1" applyFill="1" applyAlignment="1" applyProtection="1">
      <alignment horizontal="left"/>
    </xf>
    <xf numFmtId="170" fontId="37" fillId="0" borderId="66" xfId="5517" applyNumberFormat="1" applyFont="1" applyFill="1" applyBorder="1" applyProtection="1"/>
    <xf numFmtId="170" fontId="39" fillId="0" borderId="10" xfId="4" applyNumberFormat="1" applyFont="1" applyFill="1" applyBorder="1" applyProtection="1"/>
    <xf numFmtId="39" fontId="57" fillId="0" borderId="0" xfId="4" applyNumberFormat="1" applyFont="1" applyFill="1" applyBorder="1" applyProtection="1"/>
    <xf numFmtId="170" fontId="37" fillId="0" borderId="0" xfId="5517" applyNumberFormat="1" applyFont="1" applyFill="1" applyAlignment="1" applyProtection="1">
      <alignment horizontal="right"/>
    </xf>
    <xf numFmtId="170" fontId="39" fillId="0" borderId="0" xfId="4" applyNumberFormat="1" applyFont="1" applyFill="1" applyAlignment="1" applyProtection="1">
      <alignment horizontal="right"/>
    </xf>
    <xf numFmtId="170" fontId="44" fillId="0" borderId="0" xfId="5517" applyNumberFormat="1" applyFont="1" applyFill="1" applyBorder="1" applyAlignment="1" applyProtection="1">
      <alignment horizontal="right"/>
    </xf>
    <xf numFmtId="170" fontId="37" fillId="0" borderId="66" xfId="1046" applyNumberFormat="1" applyFont="1" applyFill="1" applyBorder="1" applyProtection="1"/>
    <xf numFmtId="170" fontId="39" fillId="0" borderId="46" xfId="4" applyNumberFormat="1" applyFont="1" applyFill="1" applyBorder="1" applyAlignment="1" applyProtection="1">
      <alignment horizontal="center"/>
    </xf>
    <xf numFmtId="170" fontId="39" fillId="0" borderId="0" xfId="4" applyNumberFormat="1" applyFont="1" applyFill="1" applyAlignment="1" applyProtection="1">
      <alignment horizontal="center"/>
    </xf>
    <xf numFmtId="166" fontId="39" fillId="0" borderId="0" xfId="4" applyNumberFormat="1" applyFont="1" applyFill="1" applyAlignment="1" applyProtection="1">
      <alignment horizontal="center"/>
    </xf>
    <xf numFmtId="166" fontId="39" fillId="0" borderId="19" xfId="4" applyNumberFormat="1" applyFont="1" applyFill="1" applyBorder="1" applyProtection="1"/>
    <xf numFmtId="166" fontId="39" fillId="0" borderId="19" xfId="4" applyNumberFormat="1" applyFont="1" applyFill="1" applyBorder="1" applyAlignment="1" applyProtection="1">
      <alignment horizontal="right"/>
    </xf>
    <xf numFmtId="166" fontId="39" fillId="0" borderId="0" xfId="4" applyNumberFormat="1" applyFont="1" applyFill="1" applyBorder="1" applyAlignment="1" applyProtection="1">
      <alignment horizontal="right"/>
    </xf>
    <xf numFmtId="174" fontId="44" fillId="0" borderId="17" xfId="4" applyNumberFormat="1" applyFont="1" applyFill="1" applyBorder="1" applyProtection="1"/>
    <xf numFmtId="174" fontId="44" fillId="0" borderId="17" xfId="4" applyNumberFormat="1" applyFont="1" applyFill="1" applyBorder="1" applyAlignment="1" applyProtection="1">
      <alignment horizontal="center"/>
    </xf>
    <xf numFmtId="7" fontId="43" fillId="0" borderId="0" xfId="4" applyNumberFormat="1" applyFont="1" applyFill="1" applyBorder="1" applyProtection="1"/>
    <xf numFmtId="169" fontId="42" fillId="0" borderId="0" xfId="4" applyNumberFormat="1" applyFont="1" applyFill="1" applyBorder="1" applyProtection="1"/>
    <xf numFmtId="169" fontId="42" fillId="0" borderId="0" xfId="4" applyNumberFormat="1" applyFont="1" applyFill="1" applyProtection="1"/>
    <xf numFmtId="169" fontId="42" fillId="0" borderId="0" xfId="4" quotePrefix="1" applyNumberFormat="1" applyFont="1" applyFill="1" applyBorder="1" applyAlignment="1" applyProtection="1">
      <alignment horizontal="right"/>
    </xf>
    <xf numFmtId="0" fontId="42" fillId="0" borderId="0" xfId="4" applyNumberFormat="1" applyFont="1" applyFill="1" applyBorder="1" applyAlignment="1" applyProtection="1">
      <alignment horizontal="center"/>
    </xf>
    <xf numFmtId="0" fontId="42" fillId="0" borderId="0" xfId="4" applyFont="1" applyFill="1" applyBorder="1" applyProtection="1"/>
    <xf numFmtId="164" fontId="42" fillId="0" borderId="0" xfId="4" applyNumberFormat="1" applyFont="1" applyFill="1" applyBorder="1" applyProtection="1"/>
    <xf numFmtId="39" fontId="42" fillId="0" borderId="0" xfId="4" applyNumberFormat="1" applyFont="1" applyFill="1" applyProtection="1"/>
    <xf numFmtId="174" fontId="42" fillId="0" borderId="0" xfId="4" applyNumberFormat="1" applyFont="1" applyFill="1" applyProtection="1"/>
    <xf numFmtId="43" fontId="42" fillId="0" borderId="0" xfId="5" applyFont="1" applyFill="1" applyProtection="1"/>
    <xf numFmtId="0" fontId="42" fillId="0" borderId="0" xfId="4" quotePrefix="1" applyFont="1" applyFill="1" applyAlignment="1" applyProtection="1">
      <alignment horizontal="left"/>
    </xf>
    <xf numFmtId="170" fontId="42" fillId="0" borderId="0" xfId="4" quotePrefix="1" applyNumberFormat="1" applyFont="1" applyFill="1" applyAlignment="1" applyProtection="1">
      <alignment horizontal="left"/>
    </xf>
    <xf numFmtId="43" fontId="42" fillId="0" borderId="0" xfId="4" applyNumberFormat="1" applyFont="1" applyFill="1" applyProtection="1"/>
    <xf numFmtId="49" fontId="86" fillId="0" borderId="0" xfId="4" applyNumberFormat="1" applyFont="1" applyFill="1" applyAlignment="1" applyProtection="1">
      <alignment horizontal="left"/>
    </xf>
    <xf numFmtId="0" fontId="86" fillId="0" borderId="0" xfId="4" applyNumberFormat="1" applyFont="1" applyFill="1" applyAlignment="1" applyProtection="1">
      <alignment horizontal="left"/>
    </xf>
    <xf numFmtId="165" fontId="37" fillId="0" borderId="0" xfId="5458" applyNumberFormat="1" applyFont="1" applyAlignment="1" applyProtection="1"/>
    <xf numFmtId="166" fontId="63" fillId="0" borderId="0" xfId="2" applyNumberFormat="1" applyFont="1" applyAlignment="1" applyProtection="1"/>
    <xf numFmtId="166" fontId="77" fillId="0" borderId="0" xfId="2" applyNumberFormat="1" applyFont="1" applyAlignment="1" applyProtection="1"/>
    <xf numFmtId="166" fontId="77" fillId="0" borderId="0" xfId="2" quotePrefix="1" applyNumberFormat="1" applyFont="1" applyAlignment="1" applyProtection="1">
      <alignment horizontal="left"/>
    </xf>
    <xf numFmtId="166" fontId="59" fillId="0" borderId="0" xfId="2" applyNumberFormat="1" applyFont="1" applyAlignment="1" applyProtection="1">
      <alignment horizontal="center"/>
    </xf>
    <xf numFmtId="166" fontId="58" fillId="0" borderId="0" xfId="2" applyNumberFormat="1" applyFont="1" applyAlignment="1" applyProtection="1">
      <alignment horizontal="center"/>
    </xf>
    <xf numFmtId="166" fontId="58" fillId="0" borderId="10" xfId="2" applyNumberFormat="1" applyFont="1" applyBorder="1" applyAlignment="1" applyProtection="1">
      <alignment horizontal="center"/>
    </xf>
    <xf numFmtId="166" fontId="59" fillId="0" borderId="20" xfId="2" applyNumberFormat="1" applyFont="1" applyBorder="1" applyAlignment="1" applyProtection="1"/>
    <xf numFmtId="174" fontId="58" fillId="0" borderId="0" xfId="2" applyNumberFormat="1" applyFont="1" applyBorder="1" applyAlignment="1" applyProtection="1"/>
    <xf numFmtId="166" fontId="58" fillId="0" borderId="0" xfId="2" quotePrefix="1" applyNumberFormat="1" applyFont="1" applyAlignment="1" applyProtection="1">
      <alignment horizontal="left"/>
    </xf>
    <xf numFmtId="174" fontId="58" fillId="0" borderId="0" xfId="2" applyNumberFormat="1" applyFont="1" applyFill="1" applyAlignment="1" applyProtection="1"/>
    <xf numFmtId="174" fontId="58" fillId="0" borderId="0" xfId="2" applyNumberFormat="1" applyFont="1" applyAlignment="1" applyProtection="1"/>
    <xf numFmtId="174" fontId="58" fillId="0" borderId="28" xfId="2" applyNumberFormat="1" applyFont="1" applyBorder="1" applyAlignment="1" applyProtection="1"/>
    <xf numFmtId="166" fontId="64" fillId="0" borderId="0" xfId="2" applyNumberFormat="1" applyFont="1" applyAlignment="1" applyProtection="1"/>
    <xf numFmtId="166" fontId="59" fillId="0" borderId="28" xfId="2" applyNumberFormat="1" applyFont="1" applyBorder="1" applyAlignment="1" applyProtection="1"/>
    <xf numFmtId="166" fontId="59" fillId="0" borderId="18" xfId="2" applyNumberFormat="1" applyFont="1" applyBorder="1" applyAlignment="1" applyProtection="1"/>
    <xf numFmtId="165" fontId="37" fillId="0" borderId="0" xfId="0" applyNumberFormat="1" applyFont="1" applyAlignment="1" applyProtection="1">
      <alignment horizontal="left"/>
    </xf>
    <xf numFmtId="170" fontId="59" fillId="0" borderId="0" xfId="2" applyNumberFormat="1" applyFont="1" applyBorder="1" applyAlignment="1" applyProtection="1"/>
    <xf numFmtId="170" fontId="59" fillId="0" borderId="28" xfId="2" applyNumberFormat="1" applyFont="1" applyBorder="1" applyAlignment="1" applyProtection="1"/>
    <xf numFmtId="170" fontId="59" fillId="0" borderId="18" xfId="2" applyNumberFormat="1" applyFont="1" applyBorder="1" applyAlignment="1" applyProtection="1"/>
    <xf numFmtId="170" fontId="59" fillId="0" borderId="66" xfId="2" applyNumberFormat="1" applyFont="1" applyBorder="1" applyAlignment="1" applyProtection="1"/>
    <xf numFmtId="166" fontId="44" fillId="0" borderId="13" xfId="2" applyNumberFormat="1" applyFont="1" applyBorder="1" applyAlignment="1" applyProtection="1"/>
    <xf numFmtId="170" fontId="63" fillId="0" borderId="0" xfId="2" applyNumberFormat="1" applyFont="1" applyBorder="1" applyAlignment="1" applyProtection="1"/>
    <xf numFmtId="3" fontId="37" fillId="0" borderId="0" xfId="2" applyNumberFormat="1" applyFont="1" applyAlignment="1" applyProtection="1">
      <alignment vertical="center"/>
    </xf>
    <xf numFmtId="3" fontId="37" fillId="0" borderId="0" xfId="2" applyNumberFormat="1" applyFont="1" applyAlignment="1" applyProtection="1">
      <alignment horizontal="left" vertical="center"/>
    </xf>
    <xf numFmtId="166" fontId="63" fillId="0" borderId="0" xfId="2" applyNumberFormat="1" applyFont="1" applyBorder="1" applyAlignment="1" applyProtection="1"/>
    <xf numFmtId="170" fontId="58" fillId="0" borderId="16" xfId="2" applyNumberFormat="1" applyFont="1" applyBorder="1" applyAlignment="1" applyProtection="1"/>
    <xf numFmtId="170" fontId="58" fillId="0" borderId="0" xfId="2" applyNumberFormat="1" applyFont="1" applyAlignment="1" applyProtection="1"/>
    <xf numFmtId="170" fontId="58" fillId="0" borderId="18" xfId="2" applyNumberFormat="1" applyFont="1" applyBorder="1" applyAlignment="1" applyProtection="1"/>
    <xf numFmtId="170" fontId="58" fillId="0" borderId="66" xfId="2" applyNumberFormat="1" applyFont="1" applyBorder="1" applyAlignment="1" applyProtection="1">
      <alignment horizontal="right"/>
    </xf>
    <xf numFmtId="170" fontId="59" fillId="0" borderId="0" xfId="2" applyNumberFormat="1" applyFont="1" applyBorder="1" applyAlignment="1" applyProtection="1">
      <alignment horizontal="right"/>
    </xf>
    <xf numFmtId="170" fontId="137" fillId="0" borderId="0" xfId="2" applyNumberFormat="1" applyFont="1" applyAlignment="1" applyProtection="1"/>
    <xf numFmtId="170" fontId="137" fillId="0" borderId="0" xfId="2" applyNumberFormat="1" applyFont="1" applyBorder="1" applyAlignment="1" applyProtection="1"/>
    <xf numFmtId="170" fontId="59" fillId="0" borderId="75" xfId="2" applyNumberFormat="1" applyFont="1" applyBorder="1" applyAlignment="1" applyProtection="1"/>
    <xf numFmtId="170" fontId="59" fillId="0" borderId="0" xfId="2" applyNumberFormat="1" applyFont="1" applyAlignment="1" applyProtection="1">
      <alignment horizontal="center"/>
    </xf>
    <xf numFmtId="170" fontId="59" fillId="0" borderId="66" xfId="2" applyNumberFormat="1" applyFont="1" applyBorder="1" applyAlignment="1" applyProtection="1">
      <alignment horizontal="center"/>
    </xf>
    <xf numFmtId="170" fontId="63" fillId="0" borderId="18" xfId="2" applyNumberFormat="1" applyFont="1" applyBorder="1" applyAlignment="1" applyProtection="1"/>
    <xf numFmtId="170" fontId="64" fillId="0" borderId="0" xfId="2" applyNumberFormat="1" applyFont="1" applyAlignment="1" applyProtection="1"/>
    <xf numFmtId="170" fontId="64" fillId="0" borderId="18" xfId="2" applyNumberFormat="1" applyFont="1" applyBorder="1" applyAlignment="1" applyProtection="1"/>
    <xf numFmtId="170" fontId="58" fillId="0" borderId="0" xfId="2" applyNumberFormat="1" applyFont="1" applyAlignment="1" applyProtection="1">
      <alignment horizontal="right"/>
    </xf>
    <xf numFmtId="174" fontId="64" fillId="0" borderId="18" xfId="2" applyNumberFormat="1" applyFont="1" applyBorder="1" applyAlignment="1" applyProtection="1"/>
    <xf numFmtId="166" fontId="63" fillId="0" borderId="18" xfId="2" applyNumberFormat="1" applyFont="1" applyBorder="1" applyAlignment="1" applyProtection="1"/>
    <xf numFmtId="166" fontId="44" fillId="0" borderId="0" xfId="2" applyNumberFormat="1" applyFont="1" applyFill="1" applyAlignment="1" applyProtection="1">
      <alignment horizontal="left"/>
    </xf>
    <xf numFmtId="174" fontId="58" fillId="0" borderId="17" xfId="2" applyNumberFormat="1" applyFont="1" applyBorder="1" applyAlignment="1" applyProtection="1"/>
    <xf numFmtId="174" fontId="64" fillId="0" borderId="0" xfId="2" applyNumberFormat="1" applyFont="1" applyAlignment="1" applyProtection="1"/>
    <xf numFmtId="174" fontId="64" fillId="0" borderId="0" xfId="2" applyNumberFormat="1" applyFont="1" applyAlignment="1" applyProtection="1">
      <alignment horizontal="right"/>
    </xf>
    <xf numFmtId="166" fontId="46" fillId="0" borderId="0" xfId="2" applyNumberFormat="1" applyFont="1" applyFill="1" applyAlignment="1" applyProtection="1"/>
    <xf numFmtId="166" fontId="37" fillId="0" borderId="0" xfId="2" applyNumberFormat="1" applyFont="1" applyAlignment="1" applyProtection="1">
      <alignment horizontal="left"/>
    </xf>
    <xf numFmtId="0" fontId="65" fillId="0" borderId="0" xfId="1776" applyNumberFormat="1" applyFont="1" applyAlignment="1" applyProtection="1"/>
    <xf numFmtId="165" fontId="42" fillId="0" borderId="0" xfId="0" applyNumberFormat="1" applyFont="1" applyAlignment="1" applyProtection="1">
      <alignment horizontal="left"/>
    </xf>
    <xf numFmtId="165" fontId="42" fillId="0" borderId="0" xfId="0" applyNumberFormat="1" applyFont="1" applyAlignment="1" applyProtection="1">
      <alignment horizontal="centerContinuous"/>
    </xf>
    <xf numFmtId="0" fontId="65" fillId="0" borderId="0" xfId="0" applyNumberFormat="1" applyFont="1" applyAlignment="1" applyProtection="1"/>
    <xf numFmtId="165" fontId="66" fillId="0" borderId="0" xfId="0" quotePrefix="1" applyNumberFormat="1" applyFont="1" applyAlignment="1" applyProtection="1">
      <alignment horizontal="left"/>
    </xf>
    <xf numFmtId="165" fontId="37" fillId="0" borderId="0" xfId="0" applyNumberFormat="1" applyFont="1" applyAlignment="1" applyProtection="1">
      <alignment horizontal="centerContinuous"/>
    </xf>
    <xf numFmtId="165" fontId="44" fillId="0" borderId="0" xfId="0" applyNumberFormat="1" applyFont="1" applyAlignment="1" applyProtection="1">
      <alignment horizontal="centerContinuous"/>
    </xf>
    <xf numFmtId="165" fontId="63" fillId="0" borderId="0" xfId="0" applyNumberFormat="1" applyFont="1" applyAlignment="1" applyProtection="1"/>
    <xf numFmtId="165" fontId="65" fillId="0" borderId="0" xfId="0" applyNumberFormat="1" applyFont="1" applyAlignment="1" applyProtection="1"/>
    <xf numFmtId="165" fontId="66" fillId="0" borderId="0" xfId="0" applyNumberFormat="1" applyFont="1" applyAlignment="1" applyProtection="1">
      <alignment horizontal="left"/>
    </xf>
    <xf numFmtId="165" fontId="66" fillId="0" borderId="0" xfId="0" quotePrefix="1" applyNumberFormat="1" applyFont="1" applyAlignment="1" applyProtection="1">
      <alignment horizontal="right"/>
    </xf>
    <xf numFmtId="165" fontId="44" fillId="0" borderId="0" xfId="0" applyNumberFormat="1" applyFont="1" applyBorder="1" applyAlignment="1" applyProtection="1">
      <alignment horizontal="centerContinuous"/>
    </xf>
    <xf numFmtId="165" fontId="63" fillId="0" borderId="0" xfId="0" applyNumberFormat="1" applyFont="1" applyAlignment="1" applyProtection="1">
      <alignment horizontal="centerContinuous"/>
    </xf>
    <xf numFmtId="165" fontId="44" fillId="0" borderId="0" xfId="0" quotePrefix="1" applyNumberFormat="1" applyFont="1" applyAlignment="1" applyProtection="1">
      <alignment horizontal="centerContinuous"/>
    </xf>
    <xf numFmtId="165" fontId="44" fillId="0" borderId="66" xfId="0" applyNumberFormat="1" applyFont="1" applyBorder="1" applyAlignment="1" applyProtection="1">
      <alignment horizontal="centerContinuous"/>
    </xf>
    <xf numFmtId="165" fontId="37" fillId="0" borderId="66" xfId="0" applyNumberFormat="1" applyFont="1" applyBorder="1" applyAlignment="1" applyProtection="1">
      <alignment horizontal="centerContinuous"/>
    </xf>
    <xf numFmtId="165" fontId="44" fillId="0" borderId="82" xfId="0" quotePrefix="1" applyNumberFormat="1" applyFont="1" applyBorder="1" applyAlignment="1" applyProtection="1">
      <alignment horizontal="center"/>
    </xf>
    <xf numFmtId="165" fontId="63" fillId="0" borderId="0" xfId="0" quotePrefix="1" applyNumberFormat="1" applyFont="1" applyBorder="1" applyAlignment="1" applyProtection="1">
      <alignment horizontal="center"/>
    </xf>
    <xf numFmtId="165" fontId="44" fillId="0" borderId="0" xfId="0" applyNumberFormat="1" applyFont="1" applyAlignment="1" applyProtection="1">
      <alignment horizontal="center"/>
    </xf>
    <xf numFmtId="165" fontId="63" fillId="0" borderId="0" xfId="0" applyNumberFormat="1" applyFont="1" applyBorder="1" applyAlignment="1" applyProtection="1"/>
    <xf numFmtId="165" fontId="37" fillId="0" borderId="21" xfId="0" applyNumberFormat="1" applyFont="1" applyBorder="1" applyAlignment="1" applyProtection="1"/>
    <xf numFmtId="165" fontId="37" fillId="0" borderId="82" xfId="0" applyNumberFormat="1" applyFont="1" applyBorder="1" applyAlignment="1" applyProtection="1"/>
    <xf numFmtId="165" fontId="37" fillId="0" borderId="14" xfId="0" applyNumberFormat="1" applyFont="1" applyBorder="1" applyAlignment="1" applyProtection="1"/>
    <xf numFmtId="165" fontId="65" fillId="0" borderId="0" xfId="0" applyNumberFormat="1" applyFont="1" applyBorder="1" applyAlignment="1" applyProtection="1"/>
    <xf numFmtId="0" fontId="44" fillId="0" borderId="0" xfId="0" applyNumberFormat="1" applyFont="1" applyAlignment="1" applyProtection="1"/>
    <xf numFmtId="0" fontId="37" fillId="0" borderId="0" xfId="0" applyNumberFormat="1" applyFont="1" applyAlignment="1" applyProtection="1"/>
    <xf numFmtId="0" fontId="37" fillId="0" borderId="0" xfId="0" applyNumberFormat="1" applyFont="1" applyFill="1" applyAlignment="1" applyProtection="1"/>
    <xf numFmtId="166" fontId="37" fillId="0" borderId="0" xfId="0" applyNumberFormat="1" applyFont="1" applyFill="1" applyBorder="1" applyAlignment="1" applyProtection="1">
      <alignment horizontal="center"/>
    </xf>
    <xf numFmtId="174" fontId="37" fillId="0" borderId="0" xfId="0" applyNumberFormat="1" applyFont="1" applyFill="1" applyBorder="1" applyAlignment="1" applyProtection="1"/>
    <xf numFmtId="174" fontId="37" fillId="0" borderId="21" xfId="0" applyNumberFormat="1" applyFont="1" applyFill="1" applyBorder="1" applyAlignment="1" applyProtection="1"/>
    <xf numFmtId="174" fontId="37" fillId="0" borderId="18" xfId="0" applyNumberFormat="1" applyFont="1" applyFill="1" applyBorder="1" applyAlignment="1" applyProtection="1"/>
    <xf numFmtId="174" fontId="37" fillId="0" borderId="0" xfId="0" quotePrefix="1" applyNumberFormat="1" applyFont="1" applyFill="1" applyBorder="1" applyAlignment="1" applyProtection="1">
      <alignment horizontal="left"/>
    </xf>
    <xf numFmtId="174" fontId="37" fillId="0" borderId="14" xfId="0" applyNumberFormat="1" applyFont="1" applyFill="1" applyBorder="1" applyAlignment="1" applyProtection="1"/>
    <xf numFmtId="165" fontId="63" fillId="0" borderId="0" xfId="0" applyNumberFormat="1" applyFont="1" applyFill="1" applyAlignment="1" applyProtection="1"/>
    <xf numFmtId="165" fontId="65" fillId="0" borderId="0" xfId="0" applyNumberFormat="1" applyFont="1" applyFill="1" applyAlignment="1" applyProtection="1"/>
    <xf numFmtId="0" fontId="37" fillId="0" borderId="0" xfId="0" quotePrefix="1" applyNumberFormat="1" applyFont="1" applyFill="1" applyAlignment="1" applyProtection="1">
      <alignment horizontal="left"/>
    </xf>
    <xf numFmtId="0" fontId="37" fillId="0" borderId="0" xfId="0" quotePrefix="1" applyNumberFormat="1" applyFont="1" applyFill="1" applyAlignment="1" applyProtection="1">
      <alignment horizontal="center"/>
    </xf>
    <xf numFmtId="170" fontId="37" fillId="0" borderId="21" xfId="0" applyNumberFormat="1" applyFont="1" applyFill="1" applyBorder="1" applyAlignment="1" applyProtection="1"/>
    <xf numFmtId="170" fontId="37" fillId="0" borderId="0" xfId="0" quotePrefix="1" applyNumberFormat="1" applyFont="1" applyFill="1" applyBorder="1" applyAlignment="1" applyProtection="1">
      <alignment horizontal="left"/>
    </xf>
    <xf numFmtId="170" fontId="37" fillId="0" borderId="14" xfId="0" applyNumberFormat="1" applyFont="1" applyFill="1" applyBorder="1" applyAlignment="1" applyProtection="1"/>
    <xf numFmtId="166" fontId="37" fillId="0" borderId="0" xfId="0" quotePrefix="1" applyNumberFormat="1" applyFont="1" applyFill="1" applyBorder="1" applyAlignment="1" applyProtection="1">
      <alignment horizontal="center"/>
    </xf>
    <xf numFmtId="0" fontId="44" fillId="0" borderId="0" xfId="0" applyNumberFormat="1" applyFont="1" applyFill="1" applyAlignment="1" applyProtection="1"/>
    <xf numFmtId="170" fontId="44" fillId="0" borderId="0" xfId="0" quotePrefix="1" applyNumberFormat="1" applyFont="1" applyFill="1" applyBorder="1" applyAlignment="1" applyProtection="1"/>
    <xf numFmtId="170" fontId="44" fillId="0" borderId="21" xfId="0" applyNumberFormat="1" applyFont="1" applyFill="1" applyBorder="1" applyAlignment="1" applyProtection="1"/>
    <xf numFmtId="170" fontId="44" fillId="0" borderId="82" xfId="0" quotePrefix="1" applyNumberFormat="1" applyFont="1" applyFill="1" applyBorder="1" applyAlignment="1" applyProtection="1"/>
    <xf numFmtId="170" fontId="44" fillId="0" borderId="0" xfId="0" quotePrefix="1" applyNumberFormat="1" applyFont="1" applyFill="1" applyBorder="1" applyAlignment="1" applyProtection="1">
      <alignment horizontal="left"/>
    </xf>
    <xf numFmtId="166" fontId="44" fillId="0" borderId="0" xfId="0" quotePrefix="1" applyNumberFormat="1" applyFont="1" applyFill="1" applyBorder="1" applyAlignment="1" applyProtection="1">
      <alignment horizontal="center"/>
    </xf>
    <xf numFmtId="164" fontId="64" fillId="0" borderId="0" xfId="0" applyNumberFormat="1" applyFont="1" applyFill="1" applyAlignment="1" applyProtection="1"/>
    <xf numFmtId="165" fontId="64" fillId="0" borderId="0" xfId="0" applyNumberFormat="1" applyFont="1" applyFill="1" applyAlignment="1" applyProtection="1"/>
    <xf numFmtId="165" fontId="75" fillId="0" borderId="0" xfId="0" applyNumberFormat="1" applyFont="1" applyFill="1" applyAlignment="1" applyProtection="1"/>
    <xf numFmtId="170" fontId="37" fillId="0" borderId="84" xfId="0" quotePrefix="1" applyNumberFormat="1" applyFont="1" applyFill="1" applyBorder="1" applyAlignment="1" applyProtection="1"/>
    <xf numFmtId="166" fontId="63" fillId="0" borderId="0" xfId="0" applyNumberFormat="1" applyFont="1" applyFill="1" applyAlignment="1" applyProtection="1"/>
    <xf numFmtId="0" fontId="44" fillId="0" borderId="0" xfId="0" quotePrefix="1" applyNumberFormat="1" applyFont="1" applyFill="1" applyAlignment="1" applyProtection="1">
      <alignment horizontal="left"/>
    </xf>
    <xf numFmtId="170" fontId="44" fillId="0" borderId="93" xfId="0" quotePrefix="1" applyNumberFormat="1" applyFont="1" applyFill="1" applyBorder="1" applyAlignment="1" applyProtection="1">
      <alignment horizontal="left"/>
    </xf>
    <xf numFmtId="164" fontId="65" fillId="0" borderId="0" xfId="0" applyNumberFormat="1" applyFont="1" applyAlignment="1" applyProtection="1"/>
    <xf numFmtId="166" fontId="63" fillId="0" borderId="0" xfId="0" applyNumberFormat="1" applyFont="1" applyAlignment="1" applyProtection="1"/>
    <xf numFmtId="0" fontId="44" fillId="0" borderId="0" xfId="0" quotePrefix="1" applyNumberFormat="1" applyFont="1" applyAlignment="1" applyProtection="1">
      <alignment horizontal="left"/>
    </xf>
    <xf numFmtId="0" fontId="37" fillId="0" borderId="0" xfId="0" quotePrefix="1" applyNumberFormat="1" applyFont="1" applyAlignment="1" applyProtection="1">
      <alignment horizontal="center"/>
    </xf>
    <xf numFmtId="165" fontId="37" fillId="0" borderId="0" xfId="0" quotePrefix="1" applyNumberFormat="1" applyFont="1" applyFill="1" applyAlignment="1" applyProtection="1">
      <alignment horizontal="center"/>
    </xf>
    <xf numFmtId="166" fontId="37" fillId="0" borderId="0" xfId="0" quotePrefix="1" applyNumberFormat="1" applyFont="1" applyFill="1" applyBorder="1" applyAlignment="1" applyProtection="1"/>
    <xf numFmtId="166" fontId="37" fillId="0" borderId="0" xfId="0" quotePrefix="1" applyNumberFormat="1" applyFont="1" applyBorder="1" applyAlignment="1" applyProtection="1">
      <alignment horizontal="center"/>
    </xf>
    <xf numFmtId="166" fontId="37" fillId="0" borderId="0" xfId="0" quotePrefix="1" applyNumberFormat="1" applyFont="1" applyBorder="1" applyAlignment="1" applyProtection="1"/>
    <xf numFmtId="164" fontId="64" fillId="0" borderId="0" xfId="0" applyNumberFormat="1" applyFont="1" applyAlignment="1" applyProtection="1"/>
    <xf numFmtId="165" fontId="64" fillId="0" borderId="0" xfId="0" applyNumberFormat="1" applyFont="1" applyAlignment="1" applyProtection="1"/>
    <xf numFmtId="166" fontId="37" fillId="0" borderId="0" xfId="0" quotePrefix="1" applyNumberFormat="1" applyFont="1" applyBorder="1" applyAlignment="1" applyProtection="1">
      <alignment horizontal="right"/>
    </xf>
    <xf numFmtId="174" fontId="44" fillId="0" borderId="0" xfId="0" applyNumberFormat="1" applyFont="1" applyBorder="1" applyAlignment="1" applyProtection="1"/>
    <xf numFmtId="0" fontId="97" fillId="0" borderId="0" xfId="1767" applyFont="1" applyProtection="1"/>
    <xf numFmtId="0" fontId="97" fillId="0" borderId="0" xfId="1767" applyFont="1" applyBorder="1" applyProtection="1"/>
    <xf numFmtId="0" fontId="37" fillId="0" borderId="0" xfId="1767" applyFont="1" applyBorder="1" applyProtection="1"/>
    <xf numFmtId="0" fontId="14" fillId="0" borderId="0" xfId="841" applyFont="1" applyProtection="1"/>
    <xf numFmtId="4" fontId="43" fillId="0" borderId="0" xfId="1028" applyNumberFormat="1" applyFont="1" applyFill="1" applyBorder="1" applyAlignment="1" applyProtection="1"/>
    <xf numFmtId="4" fontId="114" fillId="0" borderId="0" xfId="1028" applyNumberFormat="1" applyFont="1" applyFill="1" applyBorder="1" applyAlignment="1" applyProtection="1">
      <alignment horizontal="right"/>
    </xf>
    <xf numFmtId="1" fontId="43" fillId="0" borderId="0" xfId="1028" applyNumberFormat="1" applyFont="1" applyAlignment="1" applyProtection="1"/>
    <xf numFmtId="0" fontId="43" fillId="0" borderId="0" xfId="1028" applyFont="1" applyBorder="1" applyAlignment="1" applyProtection="1">
      <alignment horizontal="left"/>
    </xf>
    <xf numFmtId="4" fontId="66" fillId="0" borderId="0" xfId="1028" applyNumberFormat="1" applyFont="1" applyAlignment="1" applyProtection="1">
      <alignment horizontal="left" vertical="center"/>
    </xf>
    <xf numFmtId="164" fontId="0" fillId="0" borderId="0" xfId="0" applyBorder="1" applyProtection="1"/>
    <xf numFmtId="39" fontId="43" fillId="0" borderId="0" xfId="1028" applyNumberFormat="1" applyFont="1" applyFill="1" applyBorder="1" applyAlignment="1" applyProtection="1"/>
    <xf numFmtId="4" fontId="114" fillId="0" borderId="0" xfId="1028" applyNumberFormat="1" applyFont="1" applyFill="1" applyBorder="1" applyAlignment="1" applyProtection="1"/>
    <xf numFmtId="39" fontId="114" fillId="0" borderId="0" xfId="1028" applyNumberFormat="1" applyFont="1" applyFill="1" applyBorder="1" applyAlignment="1" applyProtection="1">
      <alignment horizontal="right"/>
    </xf>
    <xf numFmtId="4" fontId="86" fillId="0" borderId="0" xfId="1028" applyNumberFormat="1" applyFont="1" applyFill="1" applyBorder="1" applyAlignment="1" applyProtection="1"/>
    <xf numFmtId="0" fontId="43" fillId="0" borderId="0" xfId="1028" applyFont="1" applyAlignment="1" applyProtection="1">
      <alignment horizontal="right"/>
    </xf>
    <xf numFmtId="39" fontId="114" fillId="0" borderId="0" xfId="1028" applyNumberFormat="1" applyFont="1" applyFill="1" applyBorder="1" applyAlignment="1" applyProtection="1"/>
    <xf numFmtId="4" fontId="114" fillId="0" borderId="0" xfId="1028" quotePrefix="1" applyNumberFormat="1" applyFont="1" applyFill="1" applyBorder="1" applyAlignment="1" applyProtection="1">
      <alignment horizontal="left"/>
    </xf>
    <xf numFmtId="4" fontId="43" fillId="0" borderId="0" xfId="1028" applyNumberFormat="1" applyFont="1" applyBorder="1" applyAlignment="1" applyProtection="1"/>
    <xf numFmtId="4" fontId="43" fillId="0" borderId="0" xfId="1028" applyNumberFormat="1" applyFont="1" applyAlignment="1" applyProtection="1"/>
    <xf numFmtId="4" fontId="43" fillId="0" borderId="0" xfId="1028" applyNumberFormat="1" applyFont="1" applyBorder="1" applyAlignment="1" applyProtection="1">
      <alignment horizontal="center"/>
    </xf>
    <xf numFmtId="39" fontId="114" fillId="0" borderId="0" xfId="1028" quotePrefix="1" applyNumberFormat="1" applyFont="1" applyFill="1" applyBorder="1" applyAlignment="1" applyProtection="1">
      <alignment horizontal="left"/>
    </xf>
    <xf numFmtId="4" fontId="42" fillId="0" borderId="0" xfId="1028" applyNumberFormat="1" applyFont="1" applyFill="1" applyAlignment="1" applyProtection="1">
      <alignment horizontal="right"/>
    </xf>
    <xf numFmtId="1" fontId="44" fillId="0" borderId="50" xfId="1028" applyNumberFormat="1" applyFont="1" applyBorder="1" applyAlignment="1" applyProtection="1"/>
    <xf numFmtId="4" fontId="44" fillId="0" borderId="50" xfId="1028" applyNumberFormat="1" applyFont="1" applyBorder="1" applyAlignment="1" applyProtection="1"/>
    <xf numFmtId="4" fontId="44" fillId="0" borderId="50" xfId="1028" applyNumberFormat="1" applyFont="1" applyBorder="1" applyAlignment="1" applyProtection="1">
      <alignment horizontal="center"/>
    </xf>
    <xf numFmtId="186" fontId="44" fillId="0" borderId="50" xfId="1767" quotePrefix="1" applyNumberFormat="1" applyFont="1" applyBorder="1" applyAlignment="1" applyProtection="1">
      <alignment horizontal="center"/>
    </xf>
    <xf numFmtId="186" fontId="44" fillId="0" borderId="50" xfId="0" applyNumberFormat="1" applyFont="1" applyBorder="1" applyAlignment="1" applyProtection="1">
      <alignment horizontal="center"/>
    </xf>
    <xf numFmtId="39" fontId="44" fillId="0" borderId="50" xfId="0" applyNumberFormat="1" applyFont="1" applyBorder="1" applyAlignment="1" applyProtection="1">
      <alignment horizontal="center"/>
    </xf>
    <xf numFmtId="1" fontId="44" fillId="0" borderId="0" xfId="1028" applyNumberFormat="1" applyFont="1" applyFill="1" applyAlignment="1" applyProtection="1"/>
    <xf numFmtId="0" fontId="115" fillId="0" borderId="0" xfId="841" applyFont="1" applyProtection="1"/>
    <xf numFmtId="0" fontId="0" fillId="0" borderId="0" xfId="0" applyNumberFormat="1" applyProtection="1"/>
    <xf numFmtId="4" fontId="44" fillId="0" borderId="0" xfId="1028" applyNumberFormat="1" applyFont="1" applyBorder="1" applyAlignment="1" applyProtection="1"/>
    <xf numFmtId="4" fontId="44" fillId="35" borderId="97" xfId="1028" applyNumberFormat="1" applyFont="1" applyFill="1" applyBorder="1" applyAlignment="1" applyProtection="1">
      <alignment horizontal="center"/>
    </xf>
    <xf numFmtId="4" fontId="44" fillId="0" borderId="0" xfId="1028" applyNumberFormat="1" applyFont="1" applyBorder="1" applyAlignment="1" applyProtection="1">
      <alignment horizontal="center"/>
    </xf>
    <xf numFmtId="39" fontId="44" fillId="0" borderId="0" xfId="0" applyNumberFormat="1" applyFont="1" applyAlignment="1" applyProtection="1">
      <alignment horizontal="center"/>
    </xf>
    <xf numFmtId="4" fontId="0" fillId="0" borderId="0" xfId="0" applyNumberFormat="1" applyAlignment="1" applyProtection="1">
      <alignment horizontal="right"/>
    </xf>
    <xf numFmtId="0" fontId="97" fillId="0" borderId="0" xfId="0" applyNumberFormat="1" applyFont="1" applyAlignment="1" applyProtection="1"/>
    <xf numFmtId="0" fontId="37" fillId="0" borderId="0" xfId="1028" quotePrefix="1" applyNumberFormat="1" applyFont="1" applyAlignment="1" applyProtection="1">
      <alignment horizontal="center"/>
    </xf>
    <xf numFmtId="4" fontId="37" fillId="0" borderId="0" xfId="1028" applyNumberFormat="1" applyFont="1" applyAlignment="1" applyProtection="1">
      <alignment horizontal="left"/>
    </xf>
    <xf numFmtId="0" fontId="101" fillId="0" borderId="0" xfId="0" applyNumberFormat="1" applyFont="1" applyBorder="1" applyProtection="1"/>
    <xf numFmtId="44" fontId="37" fillId="0" borderId="0" xfId="1767" applyNumberFormat="1" applyFont="1" applyFill="1" applyAlignment="1" applyProtection="1">
      <alignment horizontal="right"/>
    </xf>
    <xf numFmtId="1" fontId="37" fillId="0" borderId="0" xfId="1028" applyNumberFormat="1" applyFont="1" applyFill="1" applyBorder="1" applyAlignment="1" applyProtection="1">
      <alignment horizontal="center"/>
    </xf>
    <xf numFmtId="44" fontId="115" fillId="0" borderId="0" xfId="841" applyNumberFormat="1" applyFont="1" applyProtection="1"/>
    <xf numFmtId="1" fontId="37" fillId="0" borderId="0" xfId="1028" applyNumberFormat="1" applyFont="1" applyAlignment="1" applyProtection="1">
      <alignment horizontal="center"/>
    </xf>
    <xf numFmtId="4" fontId="44" fillId="35" borderId="97" xfId="1028" quotePrefix="1" applyNumberFormat="1" applyFont="1" applyFill="1" applyBorder="1" applyAlignment="1" applyProtection="1">
      <alignment horizontal="center"/>
    </xf>
    <xf numFmtId="4" fontId="44" fillId="0" borderId="0" xfId="1028" applyNumberFormat="1" applyFont="1" applyFill="1" applyBorder="1" applyAlignment="1" applyProtection="1"/>
    <xf numFmtId="4" fontId="44" fillId="0" borderId="0" xfId="1028" quotePrefix="1" applyNumberFormat="1" applyFont="1" applyFill="1" applyBorder="1" applyAlignment="1" applyProtection="1">
      <alignment horizontal="center"/>
    </xf>
    <xf numFmtId="4" fontId="44" fillId="0" borderId="0" xfId="1028" applyNumberFormat="1" applyFont="1" applyFill="1" applyBorder="1" applyAlignment="1" applyProtection="1">
      <alignment horizontal="center"/>
    </xf>
    <xf numFmtId="164" fontId="44" fillId="0" borderId="0" xfId="0" applyFont="1" applyAlignment="1" applyProtection="1">
      <alignment horizontal="right"/>
    </xf>
    <xf numFmtId="1" fontId="37" fillId="0" borderId="0" xfId="1028" applyNumberFormat="1" applyFont="1" applyFill="1" applyAlignment="1" applyProtection="1">
      <alignment horizontal="center"/>
    </xf>
    <xf numFmtId="4" fontId="37" fillId="0" borderId="0" xfId="1028" quotePrefix="1" applyNumberFormat="1" applyFont="1" applyAlignment="1" applyProtection="1">
      <alignment horizontal="left"/>
    </xf>
    <xf numFmtId="4" fontId="37" fillId="0" borderId="0" xfId="1028" applyNumberFormat="1" applyFont="1" applyBorder="1" applyAlignment="1" applyProtection="1"/>
    <xf numFmtId="4" fontId="37" fillId="0" borderId="0" xfId="1028" quotePrefix="1" applyNumberFormat="1" applyFont="1" applyBorder="1" applyAlignment="1" applyProtection="1">
      <alignment horizontal="left"/>
    </xf>
    <xf numFmtId="4" fontId="37" fillId="0" borderId="0" xfId="1028" applyNumberFormat="1" applyFont="1" applyBorder="1" applyAlignment="1" applyProtection="1">
      <alignment horizontal="center"/>
    </xf>
    <xf numFmtId="0" fontId="116" fillId="0" borderId="0" xfId="1028" applyFont="1" applyAlignment="1" applyProtection="1">
      <alignment horizontal="left"/>
    </xf>
    <xf numFmtId="0" fontId="37" fillId="0" borderId="0" xfId="1028" quotePrefix="1" applyNumberFormat="1" applyFont="1" applyFill="1" applyAlignment="1" applyProtection="1">
      <alignment horizontal="center"/>
    </xf>
    <xf numFmtId="0" fontId="97" fillId="0" borderId="0" xfId="1767" applyFont="1" applyFill="1" applyProtection="1"/>
    <xf numFmtId="4" fontId="37" fillId="0" borderId="0" xfId="1028" applyNumberFormat="1" applyFont="1" applyFill="1" applyAlignment="1" applyProtection="1">
      <alignment horizontal="left"/>
    </xf>
    <xf numFmtId="4" fontId="37" fillId="0" borderId="0" xfId="1028" applyNumberFormat="1" applyFont="1" applyFill="1" applyBorder="1" applyAlignment="1" applyProtection="1">
      <alignment horizontal="center"/>
    </xf>
    <xf numFmtId="1" fontId="37" fillId="0" borderId="0" xfId="1028" applyNumberFormat="1" applyFont="1" applyBorder="1" applyAlignment="1" applyProtection="1">
      <alignment horizontal="center"/>
    </xf>
    <xf numFmtId="1" fontId="37" fillId="0" borderId="0" xfId="1028" quotePrefix="1" applyNumberFormat="1" applyFont="1" applyAlignment="1" applyProtection="1"/>
    <xf numFmtId="4" fontId="44" fillId="0" borderId="0" xfId="0" applyNumberFormat="1" applyFont="1" applyProtection="1"/>
    <xf numFmtId="0" fontId="97" fillId="0" borderId="0" xfId="0" applyNumberFormat="1" applyFont="1" applyProtection="1"/>
    <xf numFmtId="0" fontId="97" fillId="0" borderId="0" xfId="1028" quotePrefix="1" applyNumberFormat="1" applyFont="1" applyFill="1" applyBorder="1" applyAlignment="1" applyProtection="1"/>
    <xf numFmtId="43" fontId="37" fillId="0" borderId="0" xfId="17924" applyFont="1" applyBorder="1" applyAlignment="1" applyProtection="1">
      <alignment horizontal="right"/>
    </xf>
    <xf numFmtId="1" fontId="37" fillId="0" borderId="0" xfId="1028" applyNumberFormat="1" applyFont="1" applyFill="1" applyAlignment="1" applyProtection="1"/>
    <xf numFmtId="4" fontId="44" fillId="35" borderId="97" xfId="0" applyNumberFormat="1" applyFont="1" applyFill="1" applyBorder="1" applyAlignment="1" applyProtection="1">
      <alignment horizontal="center"/>
    </xf>
    <xf numFmtId="4" fontId="44" fillId="0" borderId="0" xfId="0" applyNumberFormat="1" applyFont="1" applyAlignment="1" applyProtection="1">
      <alignment horizontal="center"/>
    </xf>
    <xf numFmtId="43" fontId="0" fillId="0" borderId="0" xfId="0" applyNumberFormat="1" applyAlignment="1" applyProtection="1">
      <alignment horizontal="right"/>
    </xf>
    <xf numFmtId="43" fontId="0" fillId="0" borderId="0" xfId="17924" applyFont="1" applyAlignment="1" applyProtection="1">
      <alignment horizontal="right"/>
    </xf>
    <xf numFmtId="4" fontId="37" fillId="0" borderId="0" xfId="0" applyNumberFormat="1" applyFont="1" applyProtection="1"/>
    <xf numFmtId="4" fontId="37" fillId="0" borderId="0" xfId="0" applyNumberFormat="1" applyFont="1" applyAlignment="1" applyProtection="1">
      <alignment horizontal="center"/>
    </xf>
    <xf numFmtId="4" fontId="37" fillId="0" borderId="0" xfId="1028" applyNumberFormat="1" applyFont="1" applyBorder="1" applyAlignment="1" applyProtection="1">
      <alignment horizontal="left"/>
    </xf>
    <xf numFmtId="4" fontId="37" fillId="0" borderId="0" xfId="1028" applyNumberFormat="1" applyFont="1" applyFill="1" applyBorder="1" applyAlignment="1" applyProtection="1"/>
    <xf numFmtId="4" fontId="37" fillId="0" borderId="0" xfId="1028" applyNumberFormat="1" applyFont="1" applyFill="1" applyBorder="1" applyAlignment="1" applyProtection="1">
      <alignment horizontal="left"/>
    </xf>
    <xf numFmtId="0" fontId="37" fillId="0" borderId="0" xfId="1028" applyNumberFormat="1" applyFont="1" applyBorder="1" applyAlignment="1" applyProtection="1">
      <alignment horizontal="left"/>
    </xf>
    <xf numFmtId="4" fontId="37" fillId="0" borderId="0" xfId="1028" quotePrefix="1" applyNumberFormat="1" applyFont="1" applyFill="1" applyBorder="1" applyAlignment="1" applyProtection="1">
      <alignment horizontal="left"/>
    </xf>
    <xf numFmtId="1" fontId="37" fillId="0" borderId="0" xfId="1028" quotePrefix="1" applyNumberFormat="1" applyFont="1" applyAlignment="1" applyProtection="1">
      <alignment horizontal="center"/>
    </xf>
    <xf numFmtId="0" fontId="97" fillId="0" borderId="0" xfId="1028" quotePrefix="1" applyNumberFormat="1" applyFont="1" applyAlignment="1" applyProtection="1"/>
    <xf numFmtId="4" fontId="37" fillId="0" borderId="0" xfId="1028" quotePrefix="1" applyNumberFormat="1" applyFont="1" applyBorder="1" applyAlignment="1" applyProtection="1">
      <alignment horizontal="right"/>
    </xf>
    <xf numFmtId="4" fontId="37" fillId="0" borderId="0" xfId="1028" applyNumberFormat="1" applyFont="1" applyFill="1" applyAlignment="1" applyProtection="1">
      <alignment horizontal="center"/>
    </xf>
    <xf numFmtId="1" fontId="37" fillId="0" borderId="0" xfId="0" applyNumberFormat="1" applyFont="1" applyAlignment="1" applyProtection="1">
      <alignment horizontal="center"/>
    </xf>
    <xf numFmtId="164" fontId="97" fillId="0" borderId="0" xfId="0" applyFont="1" applyProtection="1"/>
    <xf numFmtId="1" fontId="37" fillId="0" borderId="0" xfId="1028" quotePrefix="1" applyNumberFormat="1" applyFont="1" applyFill="1" applyBorder="1" applyAlignment="1" applyProtection="1">
      <alignment horizontal="center"/>
    </xf>
    <xf numFmtId="4" fontId="37" fillId="0" borderId="0" xfId="1028" quotePrefix="1" applyNumberFormat="1" applyFont="1" applyFill="1" applyBorder="1" applyAlignment="1" applyProtection="1">
      <alignment horizontal="center"/>
    </xf>
    <xf numFmtId="4" fontId="37" fillId="0" borderId="0" xfId="1028" quotePrefix="1" applyNumberFormat="1" applyFont="1" applyFill="1" applyAlignment="1" applyProtection="1">
      <alignment horizontal="center"/>
    </xf>
    <xf numFmtId="0" fontId="37" fillId="0" borderId="0" xfId="1028" quotePrefix="1" applyNumberFormat="1" applyFont="1" applyFill="1" applyBorder="1" applyAlignment="1" applyProtection="1">
      <alignment horizontal="center"/>
    </xf>
    <xf numFmtId="37" fontId="44" fillId="0" borderId="0" xfId="1028" quotePrefix="1" applyNumberFormat="1" applyFont="1" applyFill="1" applyBorder="1" applyAlignment="1" applyProtection="1">
      <alignment horizontal="center"/>
    </xf>
    <xf numFmtId="1" fontId="37" fillId="0" borderId="0" xfId="1028" applyNumberFormat="1" applyFont="1" applyFill="1" applyBorder="1" applyAlignment="1" applyProtection="1"/>
    <xf numFmtId="43" fontId="44" fillId="0" borderId="0" xfId="17924" applyFont="1" applyFill="1" applyAlignment="1" applyProtection="1">
      <alignment horizontal="right"/>
    </xf>
    <xf numFmtId="1" fontId="37" fillId="0" borderId="0" xfId="1028" quotePrefix="1" applyNumberFormat="1" applyFont="1" applyFill="1" applyAlignment="1" applyProtection="1">
      <alignment horizontal="center"/>
    </xf>
    <xf numFmtId="4" fontId="37" fillId="33" borderId="0" xfId="1028" applyNumberFormat="1" applyFont="1" applyFill="1" applyBorder="1" applyAlignment="1" applyProtection="1">
      <alignment horizontal="centerContinuous"/>
    </xf>
    <xf numFmtId="4" fontId="37" fillId="33" borderId="0" xfId="1028" applyNumberFormat="1" applyFont="1" applyFill="1" applyBorder="1" applyAlignment="1" applyProtection="1">
      <alignment horizontal="center"/>
    </xf>
    <xf numFmtId="43" fontId="0" fillId="0" borderId="0" xfId="0" applyNumberFormat="1" applyProtection="1"/>
    <xf numFmtId="1" fontId="37" fillId="0" borderId="0" xfId="1028" applyNumberFormat="1" applyFont="1" applyAlignment="1" applyProtection="1"/>
    <xf numFmtId="43" fontId="44" fillId="0" borderId="87" xfId="0" applyNumberFormat="1" applyFont="1" applyBorder="1" applyAlignment="1" applyProtection="1">
      <alignment horizontal="right"/>
    </xf>
    <xf numFmtId="4" fontId="37" fillId="0" borderId="0" xfId="1028" applyNumberFormat="1" applyFont="1" applyFill="1" applyBorder="1" applyAlignment="1" applyProtection="1">
      <alignment horizontal="right"/>
    </xf>
    <xf numFmtId="43" fontId="37" fillId="0" borderId="0" xfId="17924" applyFont="1" applyAlignment="1" applyProtection="1">
      <alignment horizontal="right"/>
    </xf>
    <xf numFmtId="4" fontId="37" fillId="0" borderId="0" xfId="1028" quotePrefix="1" applyNumberFormat="1" applyFont="1" applyFill="1" applyAlignment="1" applyProtection="1">
      <alignment horizontal="left"/>
    </xf>
    <xf numFmtId="1" fontId="44" fillId="0" borderId="0" xfId="1028" quotePrefix="1" applyNumberFormat="1" applyFont="1" applyAlignment="1" applyProtection="1"/>
    <xf numFmtId="0" fontId="97" fillId="0" borderId="0" xfId="1028" applyNumberFormat="1" applyFont="1" applyBorder="1" applyAlignment="1" applyProtection="1"/>
    <xf numFmtId="0" fontId="44" fillId="0" borderId="0" xfId="1028" applyNumberFormat="1" applyFont="1" applyBorder="1" applyAlignment="1" applyProtection="1">
      <alignment horizontal="center"/>
    </xf>
    <xf numFmtId="4" fontId="44" fillId="35" borderId="57" xfId="1028" applyNumberFormat="1" applyFont="1" applyFill="1" applyBorder="1" applyAlignment="1" applyProtection="1">
      <alignment horizontal="left"/>
    </xf>
    <xf numFmtId="0" fontId="101" fillId="0" borderId="0" xfId="0" applyNumberFormat="1" applyFont="1" applyAlignment="1" applyProtection="1"/>
    <xf numFmtId="164" fontId="37" fillId="0" borderId="0" xfId="1028" applyNumberFormat="1" applyFont="1" applyFill="1" applyBorder="1" applyAlignment="1" applyProtection="1"/>
    <xf numFmtId="4" fontId="44" fillId="0" borderId="0" xfId="1028" applyNumberFormat="1" applyFont="1" applyFill="1" applyBorder="1" applyAlignment="1" applyProtection="1">
      <alignment horizontal="left"/>
    </xf>
    <xf numFmtId="4" fontId="44" fillId="0" borderId="0" xfId="0" applyNumberFormat="1" applyFont="1" applyFill="1" applyAlignment="1" applyProtection="1">
      <alignment horizontal="left"/>
    </xf>
    <xf numFmtId="164" fontId="37" fillId="0" borderId="0" xfId="0" applyFont="1" applyFill="1" applyBorder="1" applyProtection="1"/>
    <xf numFmtId="164" fontId="37" fillId="0" borderId="0" xfId="0" applyFont="1" applyBorder="1" applyProtection="1"/>
    <xf numFmtId="0" fontId="115" fillId="0" borderId="0" xfId="1028" quotePrefix="1" applyNumberFormat="1" applyFont="1" applyAlignment="1" applyProtection="1"/>
    <xf numFmtId="164" fontId="37" fillId="0" borderId="0" xfId="1028" quotePrefix="1" applyNumberFormat="1" applyFont="1" applyBorder="1" applyAlignment="1" applyProtection="1"/>
    <xf numFmtId="4" fontId="44" fillId="0" borderId="0" xfId="0" applyNumberFormat="1" applyFont="1" applyAlignment="1" applyProtection="1">
      <alignment horizontal="left"/>
    </xf>
    <xf numFmtId="164" fontId="37" fillId="0" borderId="0" xfId="1028" applyNumberFormat="1" applyFont="1" applyBorder="1" applyAlignment="1" applyProtection="1"/>
    <xf numFmtId="164" fontId="97" fillId="0" borderId="0" xfId="0" applyFont="1" applyBorder="1" applyProtection="1"/>
    <xf numFmtId="7" fontId="44" fillId="0" borderId="0" xfId="1767" applyNumberFormat="1" applyFont="1" applyFill="1" applyAlignment="1" applyProtection="1">
      <alignment horizontal="right"/>
    </xf>
    <xf numFmtId="7" fontId="44" fillId="0" borderId="0" xfId="0" applyNumberFormat="1" applyFont="1" applyAlignment="1" applyProtection="1">
      <alignment horizontal="right"/>
    </xf>
    <xf numFmtId="4" fontId="44" fillId="0" borderId="0" xfId="1028" quotePrefix="1" applyNumberFormat="1" applyFont="1" applyAlignment="1" applyProtection="1">
      <alignment horizontal="left"/>
    </xf>
    <xf numFmtId="164" fontId="37" fillId="0" borderId="0" xfId="1028" quotePrefix="1" applyNumberFormat="1" applyFont="1" applyAlignment="1" applyProtection="1"/>
    <xf numFmtId="37" fontId="44" fillId="0" borderId="0" xfId="1028" applyNumberFormat="1" applyFont="1" applyAlignment="1" applyProtection="1">
      <alignment horizontal="right"/>
    </xf>
    <xf numFmtId="4" fontId="44" fillId="0" borderId="0" xfId="0" applyNumberFormat="1" applyFont="1" applyAlignment="1" applyProtection="1">
      <alignment horizontal="left" vertical="top"/>
    </xf>
    <xf numFmtId="37" fontId="44" fillId="0" borderId="0" xfId="0" applyNumberFormat="1" applyFont="1" applyBorder="1" applyAlignment="1" applyProtection="1">
      <alignment horizontal="right" vertical="top"/>
    </xf>
    <xf numFmtId="4" fontId="44" fillId="0" borderId="0" xfId="0" applyNumberFormat="1" applyFont="1" applyBorder="1" applyAlignment="1" applyProtection="1">
      <alignment horizontal="left" vertical="top"/>
    </xf>
    <xf numFmtId="164" fontId="97" fillId="0" borderId="0" xfId="0" applyNumberFormat="1" applyFont="1" applyProtection="1"/>
    <xf numFmtId="164" fontId="97" fillId="0" borderId="0" xfId="0" applyNumberFormat="1" applyFont="1" applyBorder="1" applyProtection="1"/>
    <xf numFmtId="37" fontId="101" fillId="0" borderId="0" xfId="0" applyNumberFormat="1" applyFont="1" applyAlignment="1" applyProtection="1">
      <alignment horizontal="right" vertical="top"/>
    </xf>
    <xf numFmtId="37" fontId="44" fillId="0" borderId="0" xfId="841" applyNumberFormat="1" applyFont="1" applyAlignment="1" applyProtection="1">
      <alignment horizontal="right"/>
    </xf>
    <xf numFmtId="164" fontId="37" fillId="0" borderId="0" xfId="0" applyNumberFormat="1" applyFont="1" applyAlignment="1" applyProtection="1"/>
    <xf numFmtId="37" fontId="44" fillId="0" borderId="0" xfId="0" applyNumberFormat="1" applyFont="1" applyAlignment="1" applyProtection="1">
      <alignment horizontal="right"/>
    </xf>
    <xf numFmtId="4" fontId="44" fillId="0" borderId="0" xfId="1028" applyNumberFormat="1" applyFont="1" applyAlignment="1" applyProtection="1">
      <alignment horizontal="left"/>
    </xf>
    <xf numFmtId="4" fontId="44" fillId="0" borderId="0" xfId="1028" quotePrefix="1" applyNumberFormat="1" applyFont="1" applyBorder="1" applyAlignment="1" applyProtection="1">
      <alignment horizontal="left"/>
    </xf>
    <xf numFmtId="43" fontId="97" fillId="0" borderId="0" xfId="0" applyNumberFormat="1" applyFont="1" applyProtection="1"/>
    <xf numFmtId="7" fontId="44" fillId="0" borderId="0" xfId="1028" applyNumberFormat="1" applyFont="1" applyBorder="1" applyAlignment="1" applyProtection="1">
      <alignment horizontal="right"/>
    </xf>
    <xf numFmtId="37" fontId="44" fillId="0" borderId="0" xfId="1028" applyNumberFormat="1" applyFont="1" applyFill="1" applyBorder="1" applyAlignment="1" applyProtection="1">
      <alignment horizontal="right"/>
    </xf>
    <xf numFmtId="4" fontId="44" fillId="0" borderId="0" xfId="0" applyNumberFormat="1" applyFont="1" applyBorder="1" applyAlignment="1" applyProtection="1">
      <alignment horizontal="left"/>
    </xf>
    <xf numFmtId="37" fontId="44" fillId="0" borderId="0" xfId="1028" quotePrefix="1" applyNumberFormat="1" applyFont="1" applyFill="1" applyBorder="1" applyAlignment="1" applyProtection="1">
      <alignment horizontal="right"/>
    </xf>
    <xf numFmtId="39" fontId="37" fillId="0" borderId="0" xfId="1028" applyNumberFormat="1" applyFont="1" applyFill="1" applyAlignment="1" applyProtection="1"/>
    <xf numFmtId="39" fontId="37" fillId="0" borderId="0" xfId="1028" applyNumberFormat="1" applyFont="1" applyFill="1" applyBorder="1" applyAlignment="1" applyProtection="1"/>
    <xf numFmtId="0" fontId="14" fillId="0" borderId="0" xfId="841" applyFont="1" applyBorder="1" applyProtection="1"/>
    <xf numFmtId="0" fontId="136" fillId="0" borderId="0" xfId="841" applyFont="1" applyBorder="1" applyProtection="1"/>
    <xf numFmtId="0" fontId="1" fillId="0" borderId="0" xfId="841" applyFont="1" applyProtection="1"/>
    <xf numFmtId="4" fontId="42" fillId="0" borderId="0" xfId="1767" applyNumberFormat="1" applyFont="1" applyFill="1" applyBorder="1" applyAlignment="1" applyProtection="1">
      <alignment horizontal="right"/>
    </xf>
    <xf numFmtId="4" fontId="42" fillId="0" borderId="0" xfId="1767" applyNumberFormat="1" applyFont="1" applyFill="1" applyAlignment="1" applyProtection="1">
      <alignment horizontal="right"/>
    </xf>
    <xf numFmtId="42" fontId="37" fillId="0" borderId="0" xfId="739" applyNumberFormat="1" applyFont="1" applyBorder="1" applyAlignment="1" applyProtection="1"/>
    <xf numFmtId="41" fontId="44" fillId="0" borderId="107" xfId="739" applyNumberFormat="1" applyFont="1" applyBorder="1" applyAlignment="1" applyProtection="1"/>
    <xf numFmtId="42" fontId="44" fillId="0" borderId="17" xfId="840" applyNumberFormat="1" applyFont="1" applyFill="1" applyBorder="1" applyAlignment="1"/>
    <xf numFmtId="165" fontId="37" fillId="0" borderId="0" xfId="740" applyNumberFormat="1" applyFont="1" applyFill="1" applyProtection="1">
      <protection locked="0"/>
    </xf>
    <xf numFmtId="177" fontId="66" fillId="0" borderId="0" xfId="740" applyNumberFormat="1" applyFont="1" applyFill="1" applyAlignment="1"/>
    <xf numFmtId="177" fontId="66" fillId="0" borderId="0" xfId="740" quotePrefix="1" applyNumberFormat="1" applyFont="1" applyFill="1" applyAlignment="1">
      <alignment horizontal="right"/>
    </xf>
    <xf numFmtId="177" fontId="42" fillId="0" borderId="0" xfId="740" applyNumberFormat="1" applyFont="1" applyFill="1" applyBorder="1" applyAlignment="1"/>
    <xf numFmtId="177" fontId="44" fillId="0" borderId="0" xfId="740" quotePrefix="1" applyNumberFormat="1" applyFont="1" applyFill="1" applyBorder="1" applyAlignment="1">
      <alignment horizontal="right"/>
    </xf>
    <xf numFmtId="0" fontId="84" fillId="0" borderId="0" xfId="740" applyFont="1" applyFill="1" applyAlignment="1">
      <alignment horizontal="right"/>
    </xf>
    <xf numFmtId="0" fontId="84" fillId="0" borderId="0" xfId="740" applyFont="1" applyFill="1" applyBorder="1" applyAlignment="1">
      <alignment horizontal="right"/>
    </xf>
    <xf numFmtId="177" fontId="66" fillId="0" borderId="0" xfId="740" quotePrefix="1" applyNumberFormat="1" applyFont="1" applyFill="1" applyAlignment="1">
      <alignment horizontal="left"/>
    </xf>
    <xf numFmtId="165" fontId="99" fillId="0" borderId="0" xfId="740" applyNumberFormat="1" applyFont="1" applyFill="1" applyBorder="1" applyAlignment="1"/>
    <xf numFmtId="177" fontId="37" fillId="0" borderId="0" xfId="740" applyNumberFormat="1" applyFont="1" applyFill="1" applyAlignment="1">
      <alignment horizontal="fill"/>
    </xf>
    <xf numFmtId="179" fontId="44" fillId="0" borderId="10" xfId="740" quotePrefix="1" applyNumberFormat="1" applyFont="1" applyFill="1" applyBorder="1" applyAlignment="1">
      <alignment horizontal="center"/>
    </xf>
    <xf numFmtId="179" fontId="44" fillId="0" borderId="0" xfId="740" quotePrefix="1" applyNumberFormat="1" applyFont="1" applyFill="1" applyBorder="1" applyAlignment="1">
      <alignment horizontal="center"/>
    </xf>
    <xf numFmtId="177" fontId="44" fillId="0" borderId="0" xfId="740" applyNumberFormat="1" applyFont="1" applyFill="1" applyBorder="1" applyAlignment="1">
      <alignment horizontal="right"/>
    </xf>
    <xf numFmtId="173" fontId="37" fillId="0" borderId="0" xfId="740" applyNumberFormat="1" applyFont="1" applyFill="1" applyAlignment="1"/>
    <xf numFmtId="177" fontId="97" fillId="0" borderId="0" xfId="740" applyNumberFormat="1" applyFont="1" applyFill="1" applyBorder="1" applyAlignment="1">
      <alignment horizontal="left"/>
    </xf>
    <xf numFmtId="177" fontId="101" fillId="0" borderId="0" xfId="740" applyNumberFormat="1" applyFont="1" applyFill="1" applyBorder="1"/>
    <xf numFmtId="182" fontId="97" fillId="0" borderId="0" xfId="740" applyNumberFormat="1" applyFont="1" applyFill="1"/>
    <xf numFmtId="177" fontId="44" fillId="0" borderId="0" xfId="740" applyNumberFormat="1" applyFont="1" applyFill="1" applyAlignment="1">
      <alignment horizontal="left"/>
    </xf>
    <xf numFmtId="43" fontId="37" fillId="0" borderId="0" xfId="741" applyFont="1" applyFill="1" applyAlignment="1"/>
    <xf numFmtId="177" fontId="44" fillId="0" borderId="0" xfId="740" applyNumberFormat="1" applyFont="1" applyFill="1"/>
    <xf numFmtId="181" fontId="37" fillId="0" borderId="0" xfId="740" applyNumberFormat="1" applyFont="1" applyFill="1" applyAlignment="1">
      <alignment horizontal="right"/>
    </xf>
    <xf numFmtId="177" fontId="70" fillId="0" borderId="0" xfId="740" applyNumberFormat="1" applyFont="1" applyFill="1" applyAlignment="1">
      <alignment horizontal="left"/>
    </xf>
    <xf numFmtId="0" fontId="101" fillId="0" borderId="0" xfId="740" applyFont="1" applyFill="1"/>
    <xf numFmtId="41" fontId="0" fillId="0" borderId="0" xfId="0" applyNumberFormat="1"/>
    <xf numFmtId="41" fontId="43" fillId="0" borderId="0" xfId="0" applyNumberFormat="1" applyFont="1" applyAlignment="1">
      <alignment horizontal="center" wrapText="1"/>
    </xf>
    <xf numFmtId="199" fontId="0" fillId="0" borderId="0" xfId="0" applyNumberFormat="1"/>
    <xf numFmtId="41" fontId="110" fillId="0" borderId="0" xfId="0" applyNumberFormat="1" applyFont="1" applyFill="1"/>
    <xf numFmtId="41" fontId="167" fillId="0" borderId="0" xfId="0" applyNumberFormat="1" applyFont="1" applyFill="1" applyAlignment="1">
      <alignment horizontal="center" vertical="top"/>
    </xf>
    <xf numFmtId="170" fontId="39" fillId="0" borderId="46" xfId="2" applyNumberFormat="1" applyFont="1" applyBorder="1" applyAlignment="1"/>
    <xf numFmtId="170" fontId="66" fillId="0" borderId="98" xfId="2" quotePrefix="1" applyNumberFormat="1" applyFont="1" applyBorder="1" applyAlignment="1">
      <alignment horizontal="right"/>
    </xf>
    <xf numFmtId="177" fontId="61" fillId="0" borderId="0" xfId="740" applyNumberFormat="1" applyFont="1" applyFill="1" applyAlignment="1">
      <alignment horizontal="right"/>
    </xf>
    <xf numFmtId="185" fontId="66" fillId="0" borderId="0" xfId="836" applyNumberFormat="1" applyFont="1" applyFill="1" applyAlignment="1"/>
    <xf numFmtId="185" fontId="61" fillId="0" borderId="0" xfId="836" applyNumberFormat="1" applyFont="1" applyFill="1" applyAlignment="1">
      <alignment horizontal="right"/>
    </xf>
    <xf numFmtId="194" fontId="169" fillId="0" borderId="66" xfId="2" applyNumberFormat="1" applyFont="1" applyFill="1" applyBorder="1" applyAlignment="1"/>
    <xf numFmtId="172" fontId="169" fillId="0" borderId="66" xfId="1940" applyNumberFormat="1" applyFont="1" applyFill="1" applyBorder="1" applyAlignment="1"/>
    <xf numFmtId="170" fontId="37" fillId="0" borderId="66" xfId="2" quotePrefix="1" applyNumberFormat="1" applyFont="1" applyFill="1" applyBorder="1" applyAlignment="1">
      <alignment horizontal="center"/>
    </xf>
    <xf numFmtId="170" fontId="37" fillId="0" borderId="31" xfId="2" applyNumberFormat="1" applyFont="1" applyFill="1" applyBorder="1" applyAlignment="1"/>
    <xf numFmtId="170" fontId="37" fillId="0" borderId="15" xfId="2" quotePrefix="1" applyNumberFormat="1" applyFont="1" applyFill="1" applyBorder="1" applyAlignment="1"/>
    <xf numFmtId="194" fontId="37" fillId="0" borderId="10" xfId="0" applyNumberFormat="1" applyFont="1" applyFill="1" applyBorder="1" applyProtection="1"/>
    <xf numFmtId="164" fontId="37" fillId="0" borderId="0" xfId="1940" applyNumberFormat="1" applyFont="1" applyFill="1" applyAlignment="1"/>
    <xf numFmtId="0" fontId="39" fillId="0" borderId="0" xfId="2" quotePrefix="1" applyFont="1" applyFill="1" applyBorder="1" applyAlignment="1">
      <alignment horizontal="center"/>
    </xf>
    <xf numFmtId="165" fontId="63" fillId="0" borderId="0" xfId="2" applyNumberFormat="1" applyFont="1" applyFill="1" applyAlignment="1" applyProtection="1">
      <protection locked="0"/>
    </xf>
    <xf numFmtId="177" fontId="61" fillId="0" borderId="0" xfId="836" applyNumberFormat="1" applyFont="1" applyFill="1" applyAlignment="1">
      <alignment horizontal="fill"/>
    </xf>
    <xf numFmtId="165" fontId="39" fillId="0" borderId="20" xfId="2" applyNumberFormat="1" applyFont="1" applyFill="1" applyBorder="1" applyAlignment="1" applyProtection="1"/>
    <xf numFmtId="168" fontId="39" fillId="0" borderId="36" xfId="2" applyNumberFormat="1" applyFont="1" applyFill="1" applyBorder="1" applyAlignment="1" applyProtection="1"/>
    <xf numFmtId="168" fontId="39" fillId="0" borderId="0" xfId="2" applyNumberFormat="1" applyFont="1" applyFill="1" applyBorder="1" applyAlignment="1" applyProtection="1"/>
    <xf numFmtId="165" fontId="37" fillId="0" borderId="0" xfId="836" applyNumberFormat="1" applyFont="1" applyFill="1" applyAlignment="1" applyProtection="1">
      <protection locked="0"/>
    </xf>
    <xf numFmtId="0" fontId="52" fillId="0" borderId="0" xfId="836" applyNumberFormat="1" applyFont="1" applyFill="1" applyAlignment="1"/>
    <xf numFmtId="181" fontId="66" fillId="0" borderId="0" xfId="836" applyNumberFormat="1" applyFont="1" applyFill="1" applyAlignment="1"/>
    <xf numFmtId="185" fontId="61" fillId="0" borderId="0" xfId="836" applyNumberFormat="1" applyFont="1" applyFill="1" applyBorder="1" applyAlignment="1">
      <alignment horizontal="right"/>
    </xf>
    <xf numFmtId="0" fontId="39" fillId="0" borderId="0" xfId="836" quotePrefix="1" applyNumberFormat="1" applyFont="1" applyFill="1" applyAlignment="1">
      <alignment horizontal="left"/>
    </xf>
    <xf numFmtId="181" fontId="78" fillId="0" borderId="0" xfId="836" applyNumberFormat="1" applyFont="1" applyFill="1" applyAlignment="1"/>
    <xf numFmtId="181" fontId="78" fillId="0" borderId="0" xfId="836" applyNumberFormat="1" applyFont="1" applyFill="1" applyAlignment="1">
      <alignment horizontal="left"/>
    </xf>
    <xf numFmtId="182" fontId="78" fillId="0" borderId="0" xfId="836" applyNumberFormat="1" applyFont="1" applyFill="1" applyAlignment="1"/>
    <xf numFmtId="185" fontId="61" fillId="0" borderId="0" xfId="836" quotePrefix="1" applyNumberFormat="1" applyFont="1" applyFill="1" applyAlignment="1">
      <alignment horizontal="center"/>
    </xf>
    <xf numFmtId="176" fontId="78" fillId="0" borderId="0" xfId="836" applyNumberFormat="1" applyFont="1" applyFill="1" applyAlignment="1"/>
    <xf numFmtId="0" fontId="113" fillId="0" borderId="0" xfId="2" applyFont="1"/>
    <xf numFmtId="165" fontId="42" fillId="0" borderId="0" xfId="0" applyNumberFormat="1" applyFont="1" applyAlignment="1" applyProtection="1">
      <protection locked="0"/>
    </xf>
    <xf numFmtId="165" fontId="167" fillId="0" borderId="0" xfId="0" applyNumberFormat="1" applyFont="1" applyProtection="1">
      <protection locked="0"/>
    </xf>
    <xf numFmtId="170" fontId="44" fillId="0" borderId="0" xfId="2" applyNumberFormat="1" applyFont="1"/>
    <xf numFmtId="164" fontId="39" fillId="0" borderId="0" xfId="0" applyFont="1" applyFill="1" applyProtection="1"/>
    <xf numFmtId="174" fontId="44" fillId="0" borderId="15" xfId="0" applyNumberFormat="1" applyFont="1" applyFill="1" applyBorder="1" applyAlignment="1" applyProtection="1"/>
    <xf numFmtId="165" fontId="47" fillId="0" borderId="0" xfId="0" applyNumberFormat="1" applyFont="1" applyFill="1" applyAlignment="1" applyProtection="1"/>
    <xf numFmtId="164" fontId="44" fillId="0" borderId="17" xfId="0" applyNumberFormat="1" applyFont="1" applyFill="1" applyBorder="1" applyAlignment="1" applyProtection="1"/>
    <xf numFmtId="165" fontId="44" fillId="0" borderId="0" xfId="0" applyNumberFormat="1" applyFont="1" applyFill="1" applyAlignment="1" applyProtection="1"/>
    <xf numFmtId="168" fontId="47" fillId="0" borderId="0" xfId="0" applyNumberFormat="1" applyFont="1" applyFill="1" applyAlignment="1" applyProtection="1"/>
    <xf numFmtId="166" fontId="47" fillId="0" borderId="0" xfId="0" applyNumberFormat="1" applyFont="1" applyFill="1" applyBorder="1" applyAlignment="1" applyProtection="1"/>
    <xf numFmtId="165" fontId="50" fillId="0" borderId="0" xfId="0" applyNumberFormat="1" applyFont="1" applyFill="1" applyBorder="1" applyAlignment="1" applyProtection="1"/>
    <xf numFmtId="165" fontId="39" fillId="0" borderId="0" xfId="0" applyNumberFormat="1" applyFont="1" applyFill="1" applyBorder="1" applyAlignment="1" applyProtection="1"/>
    <xf numFmtId="165" fontId="39" fillId="0" borderId="0" xfId="0" applyNumberFormat="1" applyFont="1" applyFill="1" applyAlignment="1" applyProtection="1"/>
    <xf numFmtId="170" fontId="39" fillId="0" borderId="15" xfId="0" applyNumberFormat="1" applyFont="1" applyFill="1" applyBorder="1" applyAlignment="1" applyProtection="1"/>
    <xf numFmtId="170" fontId="44" fillId="0" borderId="15" xfId="0" applyNumberFormat="1" applyFont="1" applyFill="1" applyBorder="1" applyAlignment="1" applyProtection="1"/>
    <xf numFmtId="164" fontId="44" fillId="0" borderId="10" xfId="0" applyNumberFormat="1" applyFont="1" applyFill="1" applyBorder="1" applyAlignment="1" applyProtection="1"/>
    <xf numFmtId="165" fontId="42" fillId="0" borderId="0" xfId="2" applyNumberFormat="1" applyFont="1" applyFill="1" applyAlignment="1" applyProtection="1">
      <alignment horizontal="centerContinuous"/>
    </xf>
    <xf numFmtId="166" fontId="58" fillId="0" borderId="0" xfId="2" applyNumberFormat="1" applyFont="1" applyFill="1" applyAlignment="1" applyProtection="1"/>
    <xf numFmtId="181" fontId="61" fillId="0" borderId="0" xfId="1776" applyNumberFormat="1" applyFont="1" applyFill="1" applyAlignment="1"/>
    <xf numFmtId="181" fontId="66" fillId="0" borderId="0" xfId="1776" applyNumberFormat="1" applyFont="1" applyFill="1" applyAlignment="1"/>
    <xf numFmtId="181" fontId="66" fillId="0" borderId="0" xfId="1776" applyNumberFormat="1" applyFont="1" applyFill="1" applyAlignment="1">
      <alignment horizontal="center"/>
    </xf>
    <xf numFmtId="181" fontId="61" fillId="0" borderId="0" xfId="1776" applyNumberFormat="1" applyFont="1" applyFill="1" applyBorder="1" applyAlignment="1"/>
    <xf numFmtId="37" fontId="44" fillId="0" borderId="0" xfId="1028" applyNumberFormat="1" applyFont="1" applyFill="1" applyBorder="1" applyAlignment="1" applyProtection="1">
      <alignment horizontal="center"/>
    </xf>
    <xf numFmtId="44" fontId="115" fillId="0" borderId="0" xfId="841" applyNumberFormat="1" applyFont="1" applyFill="1" applyProtection="1"/>
    <xf numFmtId="0" fontId="115" fillId="0" borderId="0" xfId="841" applyFont="1" applyFill="1" applyProtection="1"/>
    <xf numFmtId="4" fontId="37" fillId="0" borderId="0" xfId="0" applyNumberFormat="1" applyFont="1" applyFill="1" applyAlignment="1" applyProtection="1">
      <alignment horizontal="left"/>
    </xf>
    <xf numFmtId="1" fontId="37" fillId="0" borderId="0" xfId="0" applyNumberFormat="1" applyFont="1" applyFill="1" applyAlignment="1" applyProtection="1">
      <alignment horizontal="center"/>
    </xf>
    <xf numFmtId="164" fontId="97" fillId="0" borderId="0" xfId="0" applyFont="1" applyFill="1" applyProtection="1"/>
    <xf numFmtId="174" fontId="37" fillId="0" borderId="0" xfId="17" applyNumberFormat="1" applyFont="1" applyFill="1" applyAlignment="1"/>
    <xf numFmtId="189" fontId="0" fillId="0" borderId="0" xfId="17" applyNumberFormat="1" applyFont="1" applyFill="1"/>
    <xf numFmtId="180" fontId="37" fillId="0" borderId="0" xfId="17" applyNumberFormat="1" applyFont="1" applyFill="1" applyAlignment="1"/>
    <xf numFmtId="181" fontId="61" fillId="0" borderId="0" xfId="1776" applyNumberFormat="1" applyFont="1" applyFill="1" applyAlignment="1">
      <alignment horizontal="left"/>
    </xf>
    <xf numFmtId="180" fontId="66" fillId="0" borderId="0" xfId="1776" applyNumberFormat="1" applyFont="1" applyFill="1" applyAlignment="1">
      <alignment horizontal="right"/>
    </xf>
    <xf numFmtId="166" fontId="59" fillId="0" borderId="0" xfId="2" applyNumberFormat="1" applyFont="1" applyFill="1" applyAlignment="1" applyProtection="1"/>
    <xf numFmtId="164" fontId="190" fillId="0" borderId="0" xfId="0" applyFont="1" applyFill="1"/>
    <xf numFmtId="0" fontId="37" fillId="0" borderId="0" xfId="1028" quotePrefix="1" applyNumberFormat="1" applyFont="1" applyBorder="1" applyAlignment="1" applyProtection="1">
      <alignment horizontal="left"/>
    </xf>
    <xf numFmtId="194" fontId="37" fillId="0" borderId="0" xfId="2" quotePrefix="1" applyNumberFormat="1" applyFont="1" applyFill="1" applyAlignment="1">
      <alignment horizontal="center"/>
    </xf>
    <xf numFmtId="0" fontId="0" fillId="0" borderId="0" xfId="2" applyFont="1" applyFill="1" applyBorder="1" applyAlignment="1"/>
    <xf numFmtId="37" fontId="39" fillId="0" borderId="0" xfId="0" quotePrefix="1" applyNumberFormat="1" applyFont="1" applyFill="1" applyAlignment="1" applyProtection="1">
      <alignment horizontal="left"/>
    </xf>
    <xf numFmtId="165" fontId="39" fillId="0" borderId="0" xfId="2" applyNumberFormat="1" applyFont="1" applyFill="1" applyProtection="1"/>
    <xf numFmtId="0" fontId="66" fillId="0" borderId="0" xfId="2" applyNumberFormat="1" applyFont="1" applyFill="1" applyAlignment="1" applyProtection="1"/>
    <xf numFmtId="0" fontId="39" fillId="0" borderId="0" xfId="2" applyFont="1" applyFill="1" applyBorder="1" applyAlignment="1" applyProtection="1"/>
    <xf numFmtId="0" fontId="66" fillId="0" borderId="0" xfId="2" applyNumberFormat="1" applyFont="1" applyFill="1" applyAlignment="1" applyProtection="1">
      <alignment horizontal="right"/>
    </xf>
    <xf numFmtId="165" fontId="37" fillId="0" borderId="0" xfId="2" applyNumberFormat="1" applyFont="1" applyFill="1" applyAlignment="1" applyProtection="1"/>
    <xf numFmtId="165" fontId="38" fillId="0" borderId="0" xfId="2" applyNumberFormat="1" applyFont="1" applyFill="1" applyAlignment="1" applyProtection="1">
      <alignment horizontal="right"/>
    </xf>
    <xf numFmtId="43" fontId="0" fillId="0" borderId="0" xfId="0" applyNumberFormat="1" applyFill="1" applyAlignment="1" applyProtection="1">
      <alignment horizontal="right"/>
    </xf>
    <xf numFmtId="4" fontId="37" fillId="0" borderId="0" xfId="1028" applyNumberFormat="1" applyFont="1" applyFill="1" applyBorder="1" applyAlignment="1" applyProtection="1">
      <alignment horizontal="centerContinuous"/>
    </xf>
    <xf numFmtId="0" fontId="37" fillId="0" borderId="0" xfId="17" applyNumberFormat="1" applyFont="1" applyFill="1" applyBorder="1" applyAlignment="1" applyProtection="1">
      <protection locked="0"/>
    </xf>
    <xf numFmtId="0" fontId="65" fillId="0" borderId="0" xfId="1776" applyNumberFormat="1" applyFont="1" applyFill="1" applyAlignment="1" applyProtection="1"/>
    <xf numFmtId="165" fontId="42" fillId="0" borderId="0" xfId="0" applyNumberFormat="1" applyFont="1" applyFill="1" applyAlignment="1" applyProtection="1">
      <alignment horizontal="centerContinuous"/>
    </xf>
    <xf numFmtId="165" fontId="44" fillId="0" borderId="0" xfId="0" applyNumberFormat="1" applyFont="1" applyFill="1" applyAlignment="1" applyProtection="1">
      <alignment horizontal="centerContinuous"/>
    </xf>
    <xf numFmtId="165" fontId="44" fillId="0" borderId="0" xfId="0" applyNumberFormat="1" applyFont="1" applyFill="1" applyAlignment="1" applyProtection="1">
      <alignment horizontal="right"/>
    </xf>
    <xf numFmtId="165" fontId="44" fillId="0" borderId="0" xfId="0" applyNumberFormat="1" applyFont="1" applyFill="1" applyBorder="1" applyAlignment="1" applyProtection="1">
      <alignment horizontal="centerContinuous"/>
    </xf>
    <xf numFmtId="0" fontId="44" fillId="0" borderId="0" xfId="0" quotePrefix="1" applyNumberFormat="1" applyFont="1" applyFill="1" applyBorder="1" applyAlignment="1" applyProtection="1">
      <alignment horizontal="center"/>
    </xf>
    <xf numFmtId="165" fontId="37" fillId="0" borderId="0" xfId="0" applyNumberFormat="1" applyFont="1" applyFill="1" applyBorder="1" applyAlignment="1" applyProtection="1"/>
    <xf numFmtId="166" fontId="59" fillId="0" borderId="0" xfId="2" applyNumberFormat="1" applyFont="1" applyFill="1" applyAlignment="1"/>
    <xf numFmtId="166" fontId="58" fillId="0" borderId="0" xfId="2" applyNumberFormat="1" applyFont="1" applyFill="1" applyAlignment="1"/>
    <xf numFmtId="166" fontId="58" fillId="0" borderId="0" xfId="2" applyNumberFormat="1" applyFont="1" applyFill="1" applyBorder="1" applyAlignment="1"/>
    <xf numFmtId="171" fontId="58" fillId="0" borderId="0" xfId="2" quotePrefix="1" applyNumberFormat="1" applyFont="1" applyFill="1" applyAlignment="1">
      <alignment horizontal="center"/>
    </xf>
    <xf numFmtId="166" fontId="59" fillId="0" borderId="20" xfId="2" applyNumberFormat="1" applyFont="1" applyFill="1" applyBorder="1" applyAlignment="1"/>
    <xf numFmtId="170" fontId="58" fillId="0" borderId="16" xfId="2" applyNumberFormat="1" applyFont="1" applyFill="1" applyBorder="1" applyAlignment="1"/>
    <xf numFmtId="170" fontId="44" fillId="0" borderId="40" xfId="0" applyNumberFormat="1" applyFont="1" applyFill="1" applyBorder="1" applyAlignment="1"/>
    <xf numFmtId="166" fontId="59" fillId="0" borderId="0" xfId="2" applyNumberFormat="1" applyFont="1" applyFill="1" applyBorder="1" applyAlignment="1"/>
    <xf numFmtId="170" fontId="58" fillId="0" borderId="0" xfId="2" applyNumberFormat="1" applyFont="1" applyFill="1" applyAlignment="1"/>
    <xf numFmtId="170" fontId="58" fillId="0" borderId="0" xfId="2" applyNumberFormat="1" applyFont="1" applyFill="1" applyBorder="1" applyAlignment="1"/>
    <xf numFmtId="170" fontId="59" fillId="0" borderId="10" xfId="2" applyNumberFormat="1" applyFont="1" applyFill="1" applyBorder="1" applyAlignment="1"/>
    <xf numFmtId="170" fontId="63" fillId="0" borderId="0" xfId="2" applyNumberFormat="1" applyFont="1" applyFill="1" applyBorder="1" applyAlignment="1"/>
    <xf numFmtId="170" fontId="59" fillId="0" borderId="13" xfId="2" applyNumberFormat="1" applyFont="1" applyFill="1" applyBorder="1" applyAlignment="1"/>
    <xf numFmtId="170" fontId="59" fillId="0" borderId="24" xfId="2" applyNumberFormat="1" applyFont="1" applyFill="1" applyBorder="1" applyAlignment="1"/>
    <xf numFmtId="170" fontId="58" fillId="0" borderId="24" xfId="2" applyNumberFormat="1" applyFont="1" applyFill="1" applyBorder="1" applyAlignment="1"/>
    <xf numFmtId="170" fontId="64" fillId="0" borderId="0" xfId="2" applyNumberFormat="1" applyFont="1" applyFill="1" applyAlignment="1"/>
    <xf numFmtId="170" fontId="58" fillId="0" borderId="0" xfId="2" applyNumberFormat="1" applyFont="1" applyFill="1" applyAlignment="1">
      <alignment horizontal="right"/>
    </xf>
    <xf numFmtId="174" fontId="58" fillId="0" borderId="17" xfId="2" applyNumberFormat="1" applyFont="1" applyFill="1" applyBorder="1" applyAlignment="1"/>
    <xf numFmtId="174" fontId="64" fillId="0" borderId="0" xfId="2" applyNumberFormat="1" applyFont="1" applyFill="1" applyAlignment="1"/>
    <xf numFmtId="166" fontId="58" fillId="0" borderId="0" xfId="2" applyNumberFormat="1" applyFont="1" applyFill="1" applyBorder="1" applyAlignment="1" applyProtection="1"/>
    <xf numFmtId="170" fontId="59" fillId="0" borderId="0" xfId="2" applyNumberFormat="1" applyFont="1" applyFill="1" applyAlignment="1" applyProtection="1"/>
    <xf numFmtId="170" fontId="58" fillId="0" borderId="0" xfId="2" applyNumberFormat="1" applyFont="1" applyFill="1" applyBorder="1" applyAlignment="1" applyProtection="1"/>
    <xf numFmtId="170" fontId="59" fillId="0" borderId="0" xfId="2" applyNumberFormat="1" applyFont="1" applyFill="1" applyBorder="1" applyAlignment="1" applyProtection="1"/>
    <xf numFmtId="170" fontId="59" fillId="0" borderId="66" xfId="2" applyNumberFormat="1" applyFont="1" applyFill="1" applyBorder="1" applyAlignment="1" applyProtection="1"/>
    <xf numFmtId="170" fontId="58" fillId="0" borderId="66" xfId="2" applyNumberFormat="1" applyFont="1" applyFill="1" applyBorder="1" applyAlignment="1" applyProtection="1">
      <alignment horizontal="right"/>
    </xf>
    <xf numFmtId="174" fontId="58" fillId="0" borderId="17" xfId="2" applyNumberFormat="1" applyFont="1" applyFill="1" applyBorder="1" applyAlignment="1" applyProtection="1"/>
    <xf numFmtId="165" fontId="66" fillId="0" borderId="0" xfId="2" applyNumberFormat="1" applyFont="1" applyFill="1" applyAlignment="1" applyProtection="1">
      <alignment horizontal="right"/>
    </xf>
    <xf numFmtId="165" fontId="43" fillId="0" borderId="0" xfId="2" applyNumberFormat="1" applyFont="1" applyFill="1" applyAlignment="1" applyProtection="1">
      <alignment horizontal="right"/>
    </xf>
    <xf numFmtId="1" fontId="44" fillId="0" borderId="10" xfId="2" quotePrefix="1" applyNumberFormat="1" applyFont="1" applyFill="1" applyBorder="1" applyAlignment="1" applyProtection="1">
      <alignment horizontal="center"/>
    </xf>
    <xf numFmtId="169" fontId="44" fillId="0" borderId="21" xfId="2" applyNumberFormat="1" applyFont="1" applyFill="1" applyBorder="1" applyAlignment="1" applyProtection="1"/>
    <xf numFmtId="0" fontId="39" fillId="0" borderId="21" xfId="2" applyNumberFormat="1" applyFont="1" applyFill="1" applyBorder="1" applyAlignment="1" applyProtection="1"/>
    <xf numFmtId="170" fontId="44" fillId="0" borderId="107" xfId="2" applyNumberFormat="1" applyFont="1" applyFill="1" applyBorder="1" applyAlignment="1" applyProtection="1"/>
    <xf numFmtId="0" fontId="37" fillId="0" borderId="21" xfId="2" applyNumberFormat="1" applyFont="1" applyFill="1" applyBorder="1" applyAlignment="1" applyProtection="1"/>
    <xf numFmtId="170" fontId="44" fillId="0" borderId="10" xfId="1046" applyNumberFormat="1" applyFont="1" applyFill="1" applyBorder="1" applyProtection="1"/>
    <xf numFmtId="170" fontId="65" fillId="0" borderId="0" xfId="2" applyNumberFormat="1" applyFont="1" applyFill="1" applyBorder="1" applyProtection="1"/>
    <xf numFmtId="170" fontId="44" fillId="0" borderId="18" xfId="2" applyNumberFormat="1" applyFont="1" applyFill="1" applyBorder="1" applyAlignment="1" applyProtection="1"/>
    <xf numFmtId="170" fontId="37" fillId="0" borderId="102" xfId="2" applyNumberFormat="1" applyFont="1" applyFill="1" applyBorder="1" applyAlignment="1" applyProtection="1"/>
    <xf numFmtId="170" fontId="37" fillId="0" borderId="0" xfId="2" quotePrefix="1" applyNumberFormat="1" applyFont="1" applyFill="1" applyBorder="1" applyAlignment="1" applyProtection="1">
      <alignment horizontal="right"/>
    </xf>
    <xf numFmtId="0" fontId="42" fillId="0" borderId="0" xfId="2" applyNumberFormat="1" applyFont="1" applyFill="1" applyAlignment="1"/>
    <xf numFmtId="165" fontId="44" fillId="0" borderId="0" xfId="2" applyNumberFormat="1" applyFont="1" applyFill="1" applyBorder="1" applyAlignment="1"/>
    <xf numFmtId="0" fontId="44" fillId="0" borderId="66" xfId="2" quotePrefix="1" applyNumberFormat="1" applyFont="1" applyFill="1" applyBorder="1" applyAlignment="1">
      <alignment horizontal="center"/>
    </xf>
    <xf numFmtId="0" fontId="44" fillId="0" borderId="0" xfId="2" quotePrefix="1" applyNumberFormat="1" applyFont="1" applyFill="1" applyBorder="1" applyAlignment="1">
      <alignment horizontal="center"/>
    </xf>
    <xf numFmtId="174" fontId="44" fillId="0" borderId="0" xfId="2" quotePrefix="1" applyNumberFormat="1" applyFont="1" applyFill="1" applyBorder="1" applyAlignment="1">
      <alignment horizontal="center"/>
    </xf>
    <xf numFmtId="170" fontId="0" fillId="0" borderId="0" xfId="2" applyNumberFormat="1" applyFont="1" applyFill="1" applyAlignment="1" applyProtection="1"/>
    <xf numFmtId="170" fontId="44" fillId="0" borderId="96" xfId="2" applyNumberFormat="1" applyFont="1" applyFill="1" applyBorder="1" applyAlignment="1"/>
    <xf numFmtId="0" fontId="44" fillId="0" borderId="28" xfId="2" applyNumberFormat="1" applyFont="1" applyFill="1" applyBorder="1" applyAlignment="1">
      <alignment horizontal="center"/>
    </xf>
    <xf numFmtId="165" fontId="39" fillId="0" borderId="28" xfId="2" applyNumberFormat="1" applyFont="1" applyFill="1" applyBorder="1" applyAlignment="1"/>
    <xf numFmtId="165" fontId="39" fillId="0" borderId="18" xfId="2" applyNumberFormat="1" applyFont="1" applyFill="1" applyBorder="1" applyAlignment="1"/>
    <xf numFmtId="174" fontId="37" fillId="0" borderId="28" xfId="2" applyNumberFormat="1" applyFont="1" applyFill="1" applyBorder="1" applyAlignment="1" applyProtection="1">
      <alignment horizontal="right"/>
    </xf>
    <xf numFmtId="174" fontId="37" fillId="0" borderId="18" xfId="2" applyNumberFormat="1" applyFont="1" applyFill="1" applyBorder="1" applyAlignment="1" applyProtection="1">
      <alignment horizontal="right"/>
    </xf>
    <xf numFmtId="170" fontId="39" fillId="0" borderId="28" xfId="2" applyNumberFormat="1" applyFont="1" applyFill="1" applyBorder="1" applyAlignment="1" applyProtection="1"/>
    <xf numFmtId="170" fontId="37" fillId="0" borderId="28" xfId="2" applyNumberFormat="1" applyFont="1" applyFill="1" applyBorder="1" applyAlignment="1" applyProtection="1">
      <alignment horizontal="right"/>
    </xf>
    <xf numFmtId="170" fontId="44" fillId="0" borderId="28" xfId="2" applyNumberFormat="1" applyFont="1" applyFill="1" applyBorder="1" applyAlignment="1" applyProtection="1"/>
    <xf numFmtId="170" fontId="37" fillId="0" borderId="18" xfId="2" applyNumberFormat="1" applyFont="1" applyFill="1" applyBorder="1" applyAlignment="1" applyProtection="1">
      <alignment horizontal="right"/>
    </xf>
    <xf numFmtId="170" fontId="44" fillId="0" borderId="18" xfId="2" applyNumberFormat="1" applyFont="1" applyFill="1" applyBorder="1" applyAlignment="1"/>
    <xf numFmtId="166" fontId="39" fillId="0" borderId="28" xfId="2" applyNumberFormat="1" applyFont="1" applyFill="1" applyBorder="1" applyAlignment="1"/>
    <xf numFmtId="165" fontId="39" fillId="0" borderId="20" xfId="2" applyNumberFormat="1" applyFont="1" applyFill="1" applyBorder="1" applyAlignment="1"/>
    <xf numFmtId="166" fontId="39" fillId="0" borderId="0" xfId="2" applyNumberFormat="1" applyFont="1" applyFill="1" applyAlignment="1">
      <alignment horizontal="center"/>
    </xf>
    <xf numFmtId="170" fontId="39" fillId="0" borderId="71" xfId="2" applyNumberFormat="1" applyFont="1" applyFill="1" applyBorder="1" applyAlignment="1" applyProtection="1"/>
    <xf numFmtId="170" fontId="39" fillId="0" borderId="12" xfId="2" applyNumberFormat="1" applyFont="1" applyFill="1" applyBorder="1" applyAlignment="1" applyProtection="1"/>
    <xf numFmtId="166" fontId="39" fillId="0" borderId="18" xfId="2" applyNumberFormat="1" applyFont="1" applyFill="1" applyBorder="1" applyAlignment="1"/>
    <xf numFmtId="166" fontId="39" fillId="0" borderId="18" xfId="2" applyNumberFormat="1" applyFont="1" applyFill="1" applyBorder="1" applyAlignment="1" applyProtection="1"/>
    <xf numFmtId="170" fontId="0" fillId="0" borderId="28" xfId="2" applyNumberFormat="1" applyFont="1" applyFill="1" applyBorder="1" applyAlignment="1" applyProtection="1"/>
    <xf numFmtId="165" fontId="90" fillId="0" borderId="0" xfId="2" applyNumberFormat="1" applyFont="1" applyFill="1" applyAlignment="1" applyProtection="1">
      <alignment horizontal="centerContinuous"/>
    </xf>
    <xf numFmtId="166" fontId="39" fillId="0" borderId="13" xfId="2" applyNumberFormat="1" applyFont="1" applyFill="1" applyBorder="1" applyAlignment="1" applyProtection="1"/>
    <xf numFmtId="166" fontId="39" fillId="0" borderId="75" xfId="2" applyNumberFormat="1" applyFont="1" applyFill="1" applyBorder="1" applyAlignment="1" applyProtection="1"/>
    <xf numFmtId="170" fontId="0" fillId="0" borderId="0" xfId="2" applyNumberFormat="1" applyFont="1" applyFill="1" applyProtection="1"/>
    <xf numFmtId="170" fontId="39" fillId="0" borderId="13" xfId="2" applyNumberFormat="1" applyFont="1" applyFill="1" applyBorder="1" applyAlignment="1" applyProtection="1"/>
    <xf numFmtId="170" fontId="37" fillId="0" borderId="13" xfId="1" applyNumberFormat="1" applyFont="1" applyFill="1" applyBorder="1" applyAlignment="1" applyProtection="1"/>
    <xf numFmtId="170" fontId="37" fillId="0" borderId="0" xfId="1" applyNumberFormat="1" applyFont="1" applyFill="1" applyBorder="1" applyAlignment="1" applyProtection="1"/>
    <xf numFmtId="170" fontId="39" fillId="0" borderId="75" xfId="2" applyNumberFormat="1" applyFont="1" applyFill="1" applyBorder="1" applyAlignment="1" applyProtection="1"/>
    <xf numFmtId="170" fontId="39" fillId="0" borderId="13" xfId="2" applyNumberFormat="1" applyFont="1" applyFill="1" applyBorder="1" applyAlignment="1" applyProtection="1">
      <alignment horizontal="center"/>
    </xf>
    <xf numFmtId="170" fontId="39" fillId="0" borderId="0" xfId="2" applyNumberFormat="1" applyFont="1" applyFill="1" applyBorder="1" applyAlignment="1" applyProtection="1">
      <alignment horizontal="center"/>
    </xf>
    <xf numFmtId="170" fontId="39" fillId="0" borderId="75" xfId="2" applyNumberFormat="1" applyFont="1" applyFill="1" applyBorder="1" applyAlignment="1" applyProtection="1">
      <alignment horizontal="center"/>
    </xf>
    <xf numFmtId="170" fontId="44" fillId="0" borderId="75" xfId="2" applyNumberFormat="1" applyFont="1" applyFill="1" applyBorder="1" applyAlignment="1" applyProtection="1">
      <alignment horizontal="center"/>
    </xf>
    <xf numFmtId="170" fontId="44" fillId="0" borderId="0" xfId="2" applyNumberFormat="1" applyFont="1" applyFill="1" applyBorder="1" applyAlignment="1" applyProtection="1">
      <alignment horizontal="center"/>
    </xf>
    <xf numFmtId="170" fontId="39" fillId="0" borderId="83" xfId="2" applyNumberFormat="1" applyFont="1" applyFill="1" applyBorder="1" applyAlignment="1" applyProtection="1"/>
    <xf numFmtId="170" fontId="37" fillId="0" borderId="83" xfId="2" applyNumberFormat="1" applyFont="1" applyFill="1" applyBorder="1" applyAlignment="1" applyProtection="1"/>
    <xf numFmtId="170" fontId="39" fillId="0" borderId="93" xfId="2" applyNumberFormat="1" applyFont="1" applyFill="1" applyBorder="1" applyAlignment="1" applyProtection="1"/>
    <xf numFmtId="170" fontId="44" fillId="0" borderId="13" xfId="2" applyNumberFormat="1" applyFont="1" applyFill="1" applyBorder="1" applyAlignment="1" applyProtection="1"/>
    <xf numFmtId="170" fontId="44" fillId="0" borderId="75" xfId="2" applyNumberFormat="1" applyFont="1" applyFill="1" applyBorder="1" applyAlignment="1" applyProtection="1"/>
    <xf numFmtId="170" fontId="37" fillId="0" borderId="66" xfId="2" applyNumberFormat="1" applyFont="1" applyFill="1" applyBorder="1" applyAlignment="1" applyProtection="1"/>
    <xf numFmtId="170" fontId="44" fillId="0" borderId="13" xfId="6" applyNumberFormat="1" applyFont="1" applyFill="1" applyBorder="1" applyAlignment="1" applyProtection="1"/>
    <xf numFmtId="165" fontId="90" fillId="0" borderId="0" xfId="2" applyNumberFormat="1" applyFont="1" applyFill="1" applyAlignment="1">
      <alignment horizontal="centerContinuous"/>
    </xf>
    <xf numFmtId="194" fontId="39" fillId="0" borderId="0" xfId="2" applyNumberFormat="1" applyFont="1" applyFill="1" applyAlignment="1">
      <alignment horizontal="right"/>
    </xf>
    <xf numFmtId="170" fontId="37" fillId="0" borderId="75" xfId="2" applyNumberFormat="1" applyFont="1" applyFill="1" applyBorder="1" applyAlignment="1"/>
    <xf numFmtId="170" fontId="37" fillId="0" borderId="66" xfId="2" quotePrefix="1" applyNumberFormat="1" applyFont="1" applyFill="1" applyBorder="1" applyAlignment="1"/>
    <xf numFmtId="170" fontId="165" fillId="0" borderId="96" xfId="2" applyNumberFormat="1" applyFont="1" applyFill="1" applyBorder="1" applyAlignment="1"/>
    <xf numFmtId="174" fontId="165" fillId="0" borderId="0" xfId="2" applyNumberFormat="1" applyFont="1" applyFill="1" applyBorder="1" applyAlignment="1"/>
    <xf numFmtId="170" fontId="0" fillId="0" borderId="0" xfId="2" applyNumberFormat="1" applyFont="1" applyFill="1"/>
    <xf numFmtId="170" fontId="165" fillId="0" borderId="18" xfId="2" applyNumberFormat="1" applyFont="1" applyFill="1" applyBorder="1" applyAlignment="1"/>
    <xf numFmtId="174" fontId="165" fillId="0" borderId="18" xfId="2" applyNumberFormat="1" applyFont="1" applyFill="1" applyBorder="1" applyAlignment="1"/>
    <xf numFmtId="166" fontId="79" fillId="0" borderId="0" xfId="2" applyNumberFormat="1" applyFont="1" applyFill="1" applyBorder="1" applyAlignment="1"/>
    <xf numFmtId="0" fontId="79" fillId="0" borderId="0" xfId="2" quotePrefix="1" applyNumberFormat="1" applyFont="1" applyFill="1" applyAlignment="1">
      <alignment horizontal="center"/>
    </xf>
    <xf numFmtId="166" fontId="76" fillId="0" borderId="20" xfId="2" applyNumberFormat="1" applyFont="1" applyFill="1" applyBorder="1" applyAlignment="1"/>
    <xf numFmtId="174" fontId="79" fillId="0" borderId="0" xfId="2" applyNumberFormat="1" applyFont="1" applyFill="1" applyAlignment="1"/>
    <xf numFmtId="170" fontId="76" fillId="0" borderId="20" xfId="2" applyNumberFormat="1" applyFont="1" applyFill="1" applyBorder="1" applyAlignment="1"/>
    <xf numFmtId="170" fontId="79" fillId="0" borderId="0" xfId="2" applyNumberFormat="1" applyFont="1" applyFill="1" applyAlignment="1">
      <alignment horizontal="right"/>
    </xf>
    <xf numFmtId="170" fontId="79" fillId="0" borderId="13" xfId="2" applyNumberFormat="1" applyFont="1" applyFill="1" applyBorder="1" applyAlignment="1"/>
    <xf numFmtId="170" fontId="76" fillId="0" borderId="24" xfId="2" applyNumberFormat="1" applyFont="1" applyFill="1" applyBorder="1" applyAlignment="1"/>
    <xf numFmtId="170" fontId="66" fillId="0" borderId="66" xfId="2" applyNumberFormat="1" applyFont="1" applyFill="1" applyBorder="1" applyAlignment="1"/>
    <xf numFmtId="166" fontId="79" fillId="0" borderId="20" xfId="2" applyNumberFormat="1" applyFont="1" applyFill="1" applyBorder="1" applyAlignment="1"/>
    <xf numFmtId="166" fontId="78" fillId="0" borderId="36" xfId="2" applyNumberFormat="1" applyFont="1" applyFill="1" applyBorder="1" applyAlignment="1"/>
    <xf numFmtId="166" fontId="78" fillId="0" borderId="0" xfId="2" applyNumberFormat="1" applyFont="1" applyFill="1" applyAlignment="1"/>
    <xf numFmtId="0" fontId="169" fillId="0" borderId="0" xfId="2" applyNumberFormat="1" applyFont="1" applyFill="1" applyAlignment="1"/>
    <xf numFmtId="0" fontId="52" fillId="0" borderId="0" xfId="2" applyNumberFormat="1" applyFont="1" applyFill="1" applyAlignment="1">
      <alignment horizontal="right"/>
    </xf>
    <xf numFmtId="165" fontId="169" fillId="0" borderId="0" xfId="2" applyNumberFormat="1" applyFont="1" applyFill="1" applyAlignment="1"/>
    <xf numFmtId="166" fontId="169" fillId="0" borderId="0" xfId="2" applyNumberFormat="1" applyFont="1" applyFill="1" applyAlignment="1"/>
    <xf numFmtId="0" fontId="66" fillId="0" borderId="0" xfId="2" quotePrefix="1" applyNumberFormat="1" applyFont="1" applyFill="1" applyBorder="1" applyAlignment="1">
      <alignment horizontal="left"/>
    </xf>
    <xf numFmtId="0" fontId="168" fillId="0" borderId="0" xfId="2" applyNumberFormat="1" applyFont="1" applyFill="1" applyBorder="1" applyAlignment="1"/>
    <xf numFmtId="174" fontId="66" fillId="0" borderId="0" xfId="2" quotePrefix="1" applyNumberFormat="1" applyFont="1" applyFill="1" applyBorder="1" applyAlignment="1">
      <alignment horizontal="right"/>
    </xf>
    <xf numFmtId="169" fontId="168" fillId="0" borderId="0" xfId="2" applyNumberFormat="1" applyFont="1" applyFill="1" applyBorder="1" applyAlignment="1" applyProtection="1">
      <alignment horizontal="right"/>
      <protection locked="0"/>
    </xf>
    <xf numFmtId="165" fontId="168" fillId="0" borderId="0" xfId="2" applyNumberFormat="1" applyFont="1" applyFill="1" applyAlignment="1">
      <alignment horizontal="center"/>
    </xf>
    <xf numFmtId="0" fontId="61" fillId="0" borderId="0" xfId="2" applyFont="1" applyFill="1" applyAlignment="1"/>
    <xf numFmtId="0" fontId="169" fillId="0" borderId="0" xfId="2" applyFont="1" applyFill="1" applyBorder="1" applyAlignment="1" applyProtection="1">
      <protection locked="0"/>
    </xf>
    <xf numFmtId="165" fontId="168" fillId="0" borderId="10" xfId="2" applyNumberFormat="1" applyFont="1" applyFill="1" applyBorder="1" applyAlignment="1">
      <alignment horizontal="center"/>
    </xf>
    <xf numFmtId="174" fontId="79" fillId="0" borderId="21" xfId="2" applyNumberFormat="1" applyFont="1" applyFill="1" applyBorder="1" applyAlignment="1"/>
    <xf numFmtId="166" fontId="76" fillId="0" borderId="21" xfId="2" applyNumberFormat="1" applyFont="1" applyFill="1" applyBorder="1" applyAlignment="1"/>
    <xf numFmtId="0" fontId="169" fillId="0" borderId="0" xfId="2" applyFont="1" applyFill="1" applyBorder="1" applyAlignment="1"/>
    <xf numFmtId="170" fontId="169" fillId="0" borderId="0" xfId="1" applyNumberFormat="1" applyFont="1" applyFill="1" applyAlignment="1">
      <alignment horizontal="center"/>
    </xf>
    <xf numFmtId="170" fontId="169" fillId="0" borderId="66" xfId="1" applyNumberFormat="1" applyFont="1" applyFill="1" applyBorder="1" applyAlignment="1">
      <alignment horizontal="center"/>
    </xf>
    <xf numFmtId="170" fontId="79" fillId="0" borderId="0" xfId="2" applyNumberFormat="1" applyFont="1" applyFill="1" applyAlignment="1"/>
    <xf numFmtId="170" fontId="168" fillId="0" borderId="66" xfId="2" applyNumberFormat="1" applyFont="1" applyFill="1" applyBorder="1" applyAlignment="1"/>
    <xf numFmtId="170" fontId="61" fillId="0" borderId="66" xfId="2" applyNumberFormat="1" applyFont="1" applyFill="1" applyBorder="1" applyAlignment="1"/>
    <xf numFmtId="166" fontId="79" fillId="0" borderId="21" xfId="2" applyNumberFormat="1" applyFont="1" applyFill="1" applyBorder="1" applyAlignment="1"/>
    <xf numFmtId="174" fontId="168" fillId="0" borderId="17" xfId="2" applyNumberFormat="1" applyFont="1" applyFill="1" applyBorder="1" applyAlignment="1"/>
    <xf numFmtId="165" fontId="78" fillId="0" borderId="0" xfId="2" applyNumberFormat="1" applyFont="1" applyFill="1" applyAlignment="1"/>
    <xf numFmtId="0" fontId="38" fillId="0" borderId="0" xfId="2" applyNumberFormat="1" applyFont="1" applyFill="1" applyAlignment="1">
      <alignment horizontal="right"/>
    </xf>
    <xf numFmtId="165" fontId="75" fillId="0" borderId="0" xfId="2" applyNumberFormat="1" applyFont="1" applyFill="1" applyAlignment="1"/>
    <xf numFmtId="165" fontId="66" fillId="0" borderId="0" xfId="2" applyNumberFormat="1" applyFont="1" applyFill="1" applyAlignment="1"/>
    <xf numFmtId="0" fontId="66" fillId="0" borderId="0" xfId="2" applyNumberFormat="1" applyFont="1" applyFill="1" applyBorder="1" applyAlignment="1"/>
    <xf numFmtId="0" fontId="66" fillId="0" borderId="0" xfId="2" quotePrefix="1" applyNumberFormat="1" applyFont="1" applyFill="1" applyAlignment="1">
      <alignment horizontal="center"/>
    </xf>
    <xf numFmtId="0" fontId="66" fillId="0" borderId="0" xfId="2" applyNumberFormat="1" applyFont="1" applyFill="1" applyAlignment="1">
      <alignment horizontal="center"/>
    </xf>
    <xf numFmtId="165" fontId="61" fillId="0" borderId="20" xfId="2" applyNumberFormat="1" applyFont="1" applyFill="1" applyBorder="1" applyAlignment="1"/>
    <xf numFmtId="165" fontId="61" fillId="0" borderId="0" xfId="2" applyNumberFormat="1" applyFont="1" applyFill="1" applyAlignment="1"/>
    <xf numFmtId="174" fontId="66" fillId="0" borderId="21" xfId="2" applyNumberFormat="1" applyFont="1" applyFill="1" applyBorder="1" applyAlignment="1"/>
    <xf numFmtId="174" fontId="66" fillId="0" borderId="13" xfId="2" applyNumberFormat="1" applyFont="1" applyFill="1" applyBorder="1" applyAlignment="1"/>
    <xf numFmtId="0" fontId="61" fillId="0" borderId="21" xfId="2" applyFont="1" applyFill="1" applyBorder="1" applyAlignment="1"/>
    <xf numFmtId="0" fontId="61" fillId="0" borderId="13" xfId="2" applyFont="1" applyFill="1" applyBorder="1" applyAlignment="1"/>
    <xf numFmtId="0" fontId="61" fillId="0" borderId="0" xfId="2" applyFont="1" applyFill="1" applyBorder="1" applyAlignment="1"/>
    <xf numFmtId="170" fontId="61" fillId="0" borderId="66" xfId="2" quotePrefix="1" applyNumberFormat="1" applyFont="1" applyFill="1" applyBorder="1" applyAlignment="1"/>
    <xf numFmtId="170" fontId="61" fillId="0" borderId="13" xfId="2" applyNumberFormat="1" applyFont="1" applyFill="1" applyBorder="1" applyAlignment="1"/>
    <xf numFmtId="170" fontId="66" fillId="0" borderId="13" xfId="2" applyNumberFormat="1" applyFont="1" applyFill="1" applyBorder="1" applyAlignment="1"/>
    <xf numFmtId="170" fontId="66" fillId="0" borderId="0" xfId="2" applyNumberFormat="1" applyFont="1" applyFill="1" applyBorder="1" applyAlignment="1"/>
    <xf numFmtId="170" fontId="61" fillId="0" borderId="20" xfId="2" applyNumberFormat="1" applyFont="1" applyFill="1" applyBorder="1" applyAlignment="1">
      <alignment horizontal="center"/>
    </xf>
    <xf numFmtId="0" fontId="61" fillId="0" borderId="20" xfId="2" applyFont="1" applyFill="1" applyBorder="1" applyAlignment="1"/>
    <xf numFmtId="0" fontId="61" fillId="0" borderId="36" xfId="2" applyFont="1" applyFill="1" applyBorder="1" applyAlignment="1"/>
    <xf numFmtId="0" fontId="66" fillId="0" borderId="0" xfId="2" applyNumberFormat="1" applyFont="1" applyFill="1" applyBorder="1" applyAlignment="1">
      <alignment horizontal="center"/>
    </xf>
    <xf numFmtId="0" fontId="168" fillId="0" borderId="0" xfId="2" applyNumberFormat="1" applyFont="1" applyFill="1" applyBorder="1" applyAlignment="1">
      <alignment horizontal="center"/>
    </xf>
    <xf numFmtId="0" fontId="169" fillId="0" borderId="15" xfId="2" applyFont="1" applyFill="1" applyBorder="1" applyAlignment="1" applyProtection="1">
      <protection locked="0"/>
    </xf>
    <xf numFmtId="0" fontId="66" fillId="0" borderId="0" xfId="2" applyNumberFormat="1" applyFont="1" applyFill="1" applyAlignment="1">
      <alignment horizontal="right"/>
    </xf>
    <xf numFmtId="174" fontId="66" fillId="0" borderId="0" xfId="2" applyNumberFormat="1" applyFont="1" applyFill="1" applyBorder="1" applyAlignment="1" applyProtection="1">
      <protection locked="0"/>
    </xf>
    <xf numFmtId="0" fontId="61" fillId="0" borderId="24" xfId="2" applyFont="1" applyFill="1" applyBorder="1" applyAlignment="1" applyProtection="1">
      <protection locked="0"/>
    </xf>
    <xf numFmtId="0" fontId="61" fillId="0" borderId="0" xfId="2" applyFont="1" applyFill="1" applyAlignment="1" applyProtection="1">
      <protection locked="0"/>
    </xf>
    <xf numFmtId="170" fontId="66" fillId="0" borderId="24" xfId="2" applyNumberFormat="1" applyFont="1" applyFill="1" applyBorder="1" applyAlignment="1" applyProtection="1">
      <protection locked="0"/>
    </xf>
    <xf numFmtId="170" fontId="66" fillId="0" borderId="21" xfId="2" applyNumberFormat="1" applyFont="1" applyFill="1" applyBorder="1" applyAlignment="1" applyProtection="1">
      <protection locked="0"/>
    </xf>
    <xf numFmtId="170" fontId="66" fillId="0" borderId="10" xfId="2" quotePrefix="1" applyNumberFormat="1" applyFont="1" applyFill="1" applyBorder="1" applyAlignment="1">
      <alignment horizontal="right"/>
    </xf>
    <xf numFmtId="170" fontId="66" fillId="0" borderId="20" xfId="2" quotePrefix="1" applyNumberFormat="1" applyFont="1" applyFill="1" applyBorder="1" applyAlignment="1">
      <alignment horizontal="center"/>
    </xf>
    <xf numFmtId="174" fontId="66" fillId="0" borderId="20" xfId="2" applyNumberFormat="1" applyFont="1" applyFill="1" applyBorder="1" applyAlignment="1"/>
    <xf numFmtId="166" fontId="61" fillId="0" borderId="36" xfId="2" applyNumberFormat="1" applyFont="1" applyFill="1" applyBorder="1" applyAlignment="1"/>
    <xf numFmtId="0" fontId="153" fillId="0" borderId="0" xfId="2" applyNumberFormat="1" applyFont="1" applyFill="1" applyAlignment="1"/>
    <xf numFmtId="166" fontId="61" fillId="0" borderId="0" xfId="2" applyNumberFormat="1" applyFont="1" applyFill="1" applyAlignment="1"/>
    <xf numFmtId="0" fontId="66" fillId="0" borderId="0" xfId="2" quotePrefix="1" applyNumberFormat="1" applyFont="1" applyFill="1" applyBorder="1" applyAlignment="1" applyProtection="1">
      <alignment horizontal="right"/>
      <protection locked="0"/>
    </xf>
    <xf numFmtId="0" fontId="66" fillId="0" borderId="10" xfId="2" quotePrefix="1" applyNumberFormat="1" applyFont="1" applyFill="1" applyBorder="1" applyAlignment="1">
      <alignment horizontal="center"/>
    </xf>
    <xf numFmtId="0" fontId="168" fillId="0" borderId="0" xfId="2" applyNumberFormat="1" applyFont="1" applyFill="1" applyAlignment="1">
      <alignment horizontal="center"/>
    </xf>
    <xf numFmtId="174" fontId="168" fillId="0" borderId="20" xfId="2" quotePrefix="1" applyNumberFormat="1" applyFont="1" applyFill="1" applyBorder="1" applyAlignment="1">
      <alignment horizontal="right"/>
    </xf>
    <xf numFmtId="174" fontId="168" fillId="0" borderId="24" xfId="2" applyNumberFormat="1" applyFont="1" applyFill="1" applyBorder="1" applyAlignment="1" applyProtection="1">
      <protection locked="0"/>
    </xf>
    <xf numFmtId="174" fontId="168" fillId="0" borderId="0" xfId="2" applyNumberFormat="1" applyFont="1" applyFill="1" applyBorder="1" applyAlignment="1" applyProtection="1">
      <protection locked="0"/>
    </xf>
    <xf numFmtId="0" fontId="61" fillId="0" borderId="21" xfId="2" applyFont="1" applyFill="1" applyBorder="1" applyAlignment="1" applyProtection="1">
      <protection locked="0"/>
    </xf>
    <xf numFmtId="0" fontId="169" fillId="0" borderId="0" xfId="2" applyFont="1" applyFill="1" applyAlignment="1"/>
    <xf numFmtId="0" fontId="169" fillId="0" borderId="24" xfId="2" applyFont="1" applyFill="1" applyBorder="1" applyAlignment="1" applyProtection="1">
      <protection locked="0"/>
    </xf>
    <xf numFmtId="0" fontId="169" fillId="0" borderId="0" xfId="2" applyFont="1" applyFill="1" applyAlignment="1" applyProtection="1">
      <protection locked="0"/>
    </xf>
    <xf numFmtId="170" fontId="66" fillId="0" borderId="85" xfId="2" quotePrefix="1" applyNumberFormat="1" applyFont="1" applyFill="1" applyBorder="1" applyAlignment="1">
      <alignment horizontal="right"/>
    </xf>
    <xf numFmtId="170" fontId="168" fillId="0" borderId="0" xfId="2" quotePrefix="1" applyNumberFormat="1" applyFont="1" applyFill="1" applyAlignment="1">
      <alignment horizontal="right"/>
    </xf>
    <xf numFmtId="170" fontId="61" fillId="0" borderId="20" xfId="2" applyNumberFormat="1" applyFont="1" applyFill="1" applyBorder="1" applyAlignment="1" applyProtection="1">
      <protection locked="0"/>
    </xf>
    <xf numFmtId="170" fontId="169" fillId="0" borderId="0" xfId="2" applyNumberFormat="1" applyFont="1" applyFill="1" applyAlignment="1"/>
    <xf numFmtId="170" fontId="66" fillId="0" borderId="33" xfId="2" quotePrefix="1" applyNumberFormat="1" applyFont="1" applyFill="1" applyBorder="1" applyAlignment="1">
      <alignment horizontal="center"/>
    </xf>
    <xf numFmtId="170" fontId="168" fillId="0" borderId="0" xfId="2" quotePrefix="1" applyNumberFormat="1" applyFont="1" applyFill="1" applyAlignment="1">
      <alignment horizontal="center"/>
    </xf>
    <xf numFmtId="170" fontId="168" fillId="0" borderId="0" xfId="2" quotePrefix="1" applyNumberFormat="1" applyFont="1" applyFill="1" applyBorder="1" applyAlignment="1">
      <alignment horizontal="right"/>
    </xf>
    <xf numFmtId="170" fontId="168" fillId="0" borderId="0" xfId="2" applyNumberFormat="1" applyFont="1" applyFill="1" applyBorder="1" applyAlignment="1"/>
    <xf numFmtId="166" fontId="169" fillId="0" borderId="36" xfId="2" applyNumberFormat="1" applyFont="1" applyFill="1" applyBorder="1" applyAlignment="1"/>
    <xf numFmtId="166" fontId="169" fillId="0" borderId="0" xfId="2" applyNumberFormat="1" applyFont="1" applyFill="1" applyBorder="1" applyAlignment="1"/>
    <xf numFmtId="0" fontId="94" fillId="0" borderId="0" xfId="2" applyNumberFormat="1" applyFont="1" applyFill="1" applyBorder="1" applyAlignment="1"/>
    <xf numFmtId="0" fontId="95" fillId="0" borderId="0" xfId="2" applyNumberFormat="1" applyFont="1" applyFill="1" applyBorder="1" applyAlignment="1"/>
    <xf numFmtId="0" fontId="168" fillId="0" borderId="0" xfId="2" quotePrefix="1" applyNumberFormat="1" applyFont="1" applyFill="1" applyBorder="1" applyAlignment="1">
      <alignment horizontal="left"/>
    </xf>
    <xf numFmtId="170" fontId="168" fillId="0" borderId="70" xfId="2" applyNumberFormat="1" applyFont="1" applyFill="1" applyBorder="1" applyAlignment="1"/>
    <xf numFmtId="170" fontId="168" fillId="0" borderId="0" xfId="2" quotePrefix="1" applyNumberFormat="1" applyFont="1" applyFill="1" applyBorder="1" applyAlignment="1">
      <alignment horizontal="center"/>
    </xf>
    <xf numFmtId="170" fontId="168" fillId="0" borderId="0" xfId="2" applyNumberFormat="1" applyFont="1" applyFill="1" applyAlignment="1">
      <alignment horizontal="right"/>
    </xf>
    <xf numFmtId="174" fontId="168" fillId="0" borderId="35" xfId="2" applyNumberFormat="1" applyFont="1" applyFill="1" applyBorder="1" applyAlignment="1"/>
    <xf numFmtId="0" fontId="95" fillId="0" borderId="0" xfId="2" applyFont="1" applyFill="1" applyBorder="1" applyAlignment="1"/>
    <xf numFmtId="0" fontId="94" fillId="0" borderId="0" xfId="2" applyFont="1" applyFill="1" applyBorder="1" applyAlignment="1"/>
    <xf numFmtId="166" fontId="44" fillId="0" borderId="0" xfId="2" applyNumberFormat="1" applyFont="1" applyFill="1" applyBorder="1" applyAlignment="1">
      <alignment horizontal="center"/>
    </xf>
    <xf numFmtId="166" fontId="44" fillId="0" borderId="10" xfId="2" applyNumberFormat="1" applyFont="1" applyFill="1" applyBorder="1" applyAlignment="1">
      <alignment horizontal="center"/>
    </xf>
    <xf numFmtId="170" fontId="44" fillId="0" borderId="16" xfId="2" quotePrefix="1" applyNumberFormat="1" applyFont="1" applyFill="1" applyBorder="1" applyAlignment="1"/>
    <xf numFmtId="174" fontId="44" fillId="0" borderId="35" xfId="2" quotePrefix="1" applyNumberFormat="1" applyFont="1" applyFill="1" applyBorder="1" applyAlignment="1"/>
    <xf numFmtId="166" fontId="58" fillId="0" borderId="0" xfId="2" applyNumberFormat="1" applyFont="1" applyFill="1" applyAlignment="1">
      <alignment horizontal="center"/>
    </xf>
    <xf numFmtId="166" fontId="58" fillId="0" borderId="0" xfId="2" quotePrefix="1" applyNumberFormat="1" applyFont="1" applyFill="1" applyAlignment="1">
      <alignment horizontal="center"/>
    </xf>
    <xf numFmtId="166" fontId="58" fillId="0" borderId="10" xfId="2" applyNumberFormat="1" applyFont="1" applyFill="1" applyBorder="1" applyAlignment="1">
      <alignment horizontal="center"/>
    </xf>
    <xf numFmtId="174" fontId="58" fillId="0" borderId="21" xfId="2" applyNumberFormat="1" applyFont="1" applyFill="1" applyBorder="1" applyAlignment="1"/>
    <xf numFmtId="164" fontId="44" fillId="0" borderId="0" xfId="2" applyNumberFormat="1" applyFont="1" applyFill="1" applyAlignment="1"/>
    <xf numFmtId="166" fontId="64" fillId="0" borderId="0" xfId="2" applyNumberFormat="1" applyFont="1" applyFill="1" applyAlignment="1"/>
    <xf numFmtId="166" fontId="59" fillId="0" borderId="21" xfId="2" applyNumberFormat="1" applyFont="1" applyFill="1" applyBorder="1" applyAlignment="1"/>
    <xf numFmtId="170" fontId="59" fillId="0" borderId="0" xfId="2" applyNumberFormat="1" applyFont="1" applyFill="1" applyAlignment="1">
      <alignment horizontal="right"/>
    </xf>
    <xf numFmtId="165" fontId="42" fillId="0" borderId="0" xfId="2" applyNumberFormat="1" applyFont="1" applyFill="1" applyBorder="1" applyAlignment="1"/>
    <xf numFmtId="166" fontId="59" fillId="0" borderId="0" xfId="2" applyNumberFormat="1" applyFont="1" applyFill="1" applyAlignment="1">
      <alignment horizontal="right"/>
    </xf>
    <xf numFmtId="164" fontId="44" fillId="0" borderId="0" xfId="2" applyNumberFormat="1" applyFont="1" applyFill="1" applyBorder="1" applyAlignment="1"/>
    <xf numFmtId="172" fontId="37" fillId="0" borderId="0" xfId="0" applyNumberFormat="1" applyFont="1" applyFill="1" applyBorder="1" applyAlignment="1" applyProtection="1">
      <protection locked="0"/>
    </xf>
    <xf numFmtId="164" fontId="44" fillId="0" borderId="16" xfId="0" applyNumberFormat="1" applyFont="1" applyFill="1" applyBorder="1" applyAlignment="1" applyProtection="1">
      <protection locked="0"/>
    </xf>
    <xf numFmtId="170" fontId="65" fillId="0" borderId="0" xfId="2" applyNumberFormat="1" applyFont="1" applyFill="1" applyBorder="1"/>
    <xf numFmtId="164" fontId="44" fillId="0" borderId="66" xfId="0" applyNumberFormat="1" applyFont="1" applyFill="1" applyBorder="1" applyAlignment="1" applyProtection="1">
      <protection locked="0"/>
    </xf>
    <xf numFmtId="170" fontId="59" fillId="0" borderId="21" xfId="2" applyNumberFormat="1" applyFont="1" applyFill="1" applyBorder="1" applyAlignment="1"/>
    <xf numFmtId="164" fontId="37" fillId="0" borderId="0" xfId="2" applyNumberFormat="1" applyFont="1" applyFill="1" applyAlignment="1"/>
    <xf numFmtId="170" fontId="75" fillId="0" borderId="0" xfId="2" applyNumberFormat="1" applyFont="1" applyFill="1" applyBorder="1"/>
    <xf numFmtId="170" fontId="58" fillId="0" borderId="18" xfId="2" applyNumberFormat="1" applyFont="1" applyFill="1" applyBorder="1" applyAlignment="1"/>
    <xf numFmtId="164" fontId="37" fillId="0" borderId="66" xfId="0" applyNumberFormat="1" applyFont="1" applyFill="1" applyBorder="1" applyAlignment="1" applyProtection="1">
      <protection locked="0"/>
    </xf>
    <xf numFmtId="166" fontId="59" fillId="0" borderId="19" xfId="2" applyNumberFormat="1" applyFont="1" applyFill="1" applyBorder="1" applyAlignment="1"/>
    <xf numFmtId="166" fontId="63" fillId="0" borderId="0" xfId="2" applyNumberFormat="1" applyFont="1" applyFill="1" applyBorder="1" applyAlignment="1"/>
    <xf numFmtId="170" fontId="58" fillId="0" borderId="21" xfId="2" applyNumberFormat="1" applyFont="1" applyFill="1" applyBorder="1" applyAlignment="1"/>
    <xf numFmtId="164" fontId="37" fillId="0" borderId="0" xfId="2" applyNumberFormat="1" applyFont="1" applyFill="1" applyBorder="1" applyAlignment="1"/>
    <xf numFmtId="170" fontId="58" fillId="0" borderId="10" xfId="2" applyNumberFormat="1" applyFont="1" applyFill="1" applyBorder="1" applyAlignment="1"/>
    <xf numFmtId="172" fontId="44" fillId="0" borderId="66" xfId="0" applyNumberFormat="1" applyFont="1" applyFill="1" applyBorder="1" applyAlignment="1" applyProtection="1">
      <protection locked="0"/>
    </xf>
    <xf numFmtId="166" fontId="59" fillId="0" borderId="0" xfId="2" applyNumberFormat="1" applyFont="1" applyFill="1" applyAlignment="1">
      <alignment horizontal="center"/>
    </xf>
    <xf numFmtId="170" fontId="63" fillId="0" borderId="18" xfId="2" applyNumberFormat="1" applyFont="1" applyFill="1" applyBorder="1" applyAlignment="1"/>
    <xf numFmtId="197" fontId="63" fillId="0" borderId="0" xfId="2" applyNumberFormat="1" applyFont="1" applyFill="1" applyAlignment="1"/>
    <xf numFmtId="170" fontId="64" fillId="0" borderId="18" xfId="2" applyNumberFormat="1" applyFont="1" applyFill="1" applyBorder="1" applyAlignment="1"/>
    <xf numFmtId="166" fontId="63" fillId="0" borderId="18" xfId="2" applyNumberFormat="1" applyFont="1" applyFill="1" applyBorder="1" applyAlignment="1"/>
    <xf numFmtId="174" fontId="64" fillId="0" borderId="18" xfId="2" applyNumberFormat="1" applyFont="1" applyFill="1" applyBorder="1" applyAlignment="1"/>
    <xf numFmtId="164" fontId="44" fillId="0" borderId="17" xfId="0" applyNumberFormat="1" applyFont="1" applyFill="1" applyBorder="1" applyAlignment="1" applyProtection="1">
      <protection locked="0"/>
    </xf>
    <xf numFmtId="166" fontId="58" fillId="0" borderId="0" xfId="2" applyNumberFormat="1" applyFont="1" applyFill="1" applyAlignment="1" applyProtection="1">
      <alignment horizontal="center"/>
    </xf>
    <xf numFmtId="166" fontId="58" fillId="0" borderId="0" xfId="2" quotePrefix="1" applyNumberFormat="1" applyFont="1" applyFill="1" applyAlignment="1" applyProtection="1">
      <alignment horizontal="center"/>
    </xf>
    <xf numFmtId="166" fontId="58" fillId="0" borderId="66" xfId="2" applyNumberFormat="1" applyFont="1" applyFill="1" applyBorder="1" applyAlignment="1" applyProtection="1">
      <alignment horizontal="center"/>
    </xf>
    <xf numFmtId="166" fontId="59" fillId="0" borderId="0" xfId="2" applyNumberFormat="1" applyFont="1" applyFill="1" applyBorder="1" applyAlignment="1" applyProtection="1"/>
    <xf numFmtId="174" fontId="58" fillId="0" borderId="0" xfId="2" applyNumberFormat="1" applyFont="1" applyFill="1" applyBorder="1" applyAlignment="1" applyProtection="1"/>
    <xf numFmtId="166" fontId="37" fillId="0" borderId="0" xfId="2" applyNumberFormat="1" applyFont="1" applyFill="1" applyAlignment="1" applyProtection="1"/>
    <xf numFmtId="165" fontId="43" fillId="0" borderId="0" xfId="2" applyNumberFormat="1" applyFont="1" applyFill="1" applyBorder="1" applyAlignment="1" applyProtection="1"/>
    <xf numFmtId="164" fontId="44" fillId="0" borderId="10" xfId="2" applyNumberFormat="1" applyFont="1" applyFill="1" applyBorder="1" applyAlignment="1" applyProtection="1"/>
    <xf numFmtId="170" fontId="75" fillId="0" borderId="0" xfId="2" applyNumberFormat="1" applyFont="1" applyFill="1" applyBorder="1" applyProtection="1"/>
    <xf numFmtId="172" fontId="0" fillId="0" borderId="0" xfId="0" applyNumberFormat="1" applyFill="1" applyProtection="1"/>
    <xf numFmtId="166" fontId="59" fillId="0" borderId="19" xfId="2" applyNumberFormat="1" applyFont="1" applyFill="1" applyBorder="1" applyAlignment="1" applyProtection="1"/>
    <xf numFmtId="170" fontId="58" fillId="0" borderId="66" xfId="2" applyNumberFormat="1" applyFont="1" applyFill="1" applyBorder="1" applyAlignment="1" applyProtection="1"/>
    <xf numFmtId="164" fontId="37" fillId="0" borderId="66" xfId="2" applyNumberFormat="1" applyFont="1" applyFill="1" applyBorder="1" applyAlignment="1" applyProtection="1"/>
    <xf numFmtId="170" fontId="64" fillId="0" borderId="0" xfId="2" applyNumberFormat="1" applyFont="1" applyFill="1" applyBorder="1" applyAlignment="1" applyProtection="1"/>
    <xf numFmtId="166" fontId="63" fillId="0" borderId="0" xfId="2" applyNumberFormat="1" applyFont="1" applyFill="1" applyBorder="1" applyAlignment="1" applyProtection="1"/>
    <xf numFmtId="174" fontId="64" fillId="0" borderId="0" xfId="2" applyNumberFormat="1" applyFont="1" applyFill="1" applyBorder="1" applyAlignment="1" applyProtection="1"/>
    <xf numFmtId="174" fontId="64" fillId="0" borderId="18" xfId="2" applyNumberFormat="1" applyFont="1" applyFill="1" applyBorder="1" applyAlignment="1" applyProtection="1"/>
    <xf numFmtId="164" fontId="44" fillId="0" borderId="17" xfId="2" applyNumberFormat="1" applyFont="1" applyFill="1" applyBorder="1" applyAlignment="1" applyProtection="1"/>
    <xf numFmtId="165" fontId="37" fillId="0" borderId="0" xfId="0" applyNumberFormat="1" applyFont="1" applyFill="1" applyAlignment="1" applyProtection="1">
      <alignment horizontal="centerContinuous"/>
    </xf>
    <xf numFmtId="165" fontId="63" fillId="0" borderId="0" xfId="0" applyNumberFormat="1" applyFont="1" applyFill="1" applyAlignment="1" applyProtection="1">
      <alignment horizontal="centerContinuous"/>
    </xf>
    <xf numFmtId="165" fontId="44" fillId="0" borderId="66" xfId="0" quotePrefix="1" applyNumberFormat="1" applyFont="1" applyFill="1" applyBorder="1" applyAlignment="1" applyProtection="1"/>
    <xf numFmtId="165" fontId="37" fillId="0" borderId="66" xfId="0" applyNumberFormat="1" applyFont="1" applyFill="1" applyBorder="1" applyAlignment="1" applyProtection="1"/>
    <xf numFmtId="165" fontId="44" fillId="0" borderId="0" xfId="0" applyNumberFormat="1" applyFont="1" applyFill="1" applyBorder="1" applyAlignment="1" applyProtection="1"/>
    <xf numFmtId="165" fontId="44" fillId="0" borderId="66" xfId="0" applyNumberFormat="1" applyFont="1" applyFill="1" applyBorder="1" applyAlignment="1" applyProtection="1">
      <alignment horizontal="centerContinuous"/>
    </xf>
    <xf numFmtId="165" fontId="44" fillId="0" borderId="0" xfId="0" applyNumberFormat="1" applyFont="1" applyFill="1" applyBorder="1" applyAlignment="1" applyProtection="1">
      <alignment horizontal="center"/>
    </xf>
    <xf numFmtId="165" fontId="44" fillId="0" borderId="84" xfId="0" applyNumberFormat="1" applyFont="1" applyFill="1" applyBorder="1" applyAlignment="1" applyProtection="1">
      <alignment horizontal="center"/>
    </xf>
    <xf numFmtId="165" fontId="44" fillId="0" borderId="82" xfId="0" quotePrefix="1" applyNumberFormat="1" applyFont="1" applyFill="1" applyBorder="1" applyAlignment="1" applyProtection="1">
      <alignment horizontal="center"/>
    </xf>
    <xf numFmtId="165" fontId="44" fillId="0" borderId="0" xfId="0" applyNumberFormat="1" applyFont="1" applyFill="1" applyAlignment="1" applyProtection="1">
      <alignment horizontal="center"/>
    </xf>
    <xf numFmtId="0" fontId="44" fillId="0" borderId="0" xfId="0" applyNumberFormat="1" applyFont="1" applyFill="1" applyBorder="1" applyAlignment="1" applyProtection="1">
      <alignment horizontal="center"/>
    </xf>
    <xf numFmtId="0" fontId="44" fillId="0" borderId="66" xfId="0" quotePrefix="1" applyNumberFormat="1" applyFont="1" applyFill="1" applyBorder="1" applyAlignment="1" applyProtection="1">
      <alignment horizontal="center"/>
    </xf>
    <xf numFmtId="170" fontId="44" fillId="0" borderId="86" xfId="0" quotePrefix="1" applyNumberFormat="1" applyFont="1" applyFill="1" applyBorder="1" applyAlignment="1" applyProtection="1"/>
    <xf numFmtId="166" fontId="44" fillId="0" borderId="84" xfId="0" applyNumberFormat="1" applyFont="1" applyFill="1" applyBorder="1" applyAlignment="1" applyProtection="1"/>
    <xf numFmtId="181" fontId="66" fillId="0" borderId="0" xfId="1776" quotePrefix="1" applyNumberFormat="1" applyFont="1" applyFill="1" applyAlignment="1">
      <alignment horizontal="center"/>
    </xf>
    <xf numFmtId="0" fontId="44" fillId="0" borderId="0" xfId="2" applyNumberFormat="1" applyFont="1" applyFill="1" applyAlignment="1" applyProtection="1">
      <alignment horizontal="center"/>
    </xf>
    <xf numFmtId="164" fontId="39" fillId="0" borderId="0" xfId="0" applyFont="1" applyFill="1" applyBorder="1" applyAlignment="1" applyProtection="1">
      <alignment horizontal="left"/>
    </xf>
    <xf numFmtId="167" fontId="39" fillId="0" borderId="0" xfId="0" applyNumberFormat="1" applyFont="1" applyFill="1" applyAlignment="1" applyProtection="1"/>
    <xf numFmtId="170" fontId="39" fillId="0" borderId="0" xfId="0" applyNumberFormat="1" applyFont="1" applyFill="1" applyAlignment="1" applyProtection="1">
      <alignment horizontal="right"/>
    </xf>
    <xf numFmtId="170" fontId="48" fillId="0" borderId="0" xfId="0" applyNumberFormat="1" applyFont="1" applyFill="1" applyAlignment="1" applyProtection="1"/>
    <xf numFmtId="166" fontId="40" fillId="0" borderId="0" xfId="0" applyNumberFormat="1" applyFont="1" applyFill="1" applyAlignment="1" applyProtection="1"/>
    <xf numFmtId="171" fontId="58" fillId="0" borderId="0" xfId="2" quotePrefix="1" applyNumberFormat="1" applyFont="1" applyFill="1" applyAlignment="1" applyProtection="1">
      <alignment horizontal="center"/>
    </xf>
    <xf numFmtId="166" fontId="59" fillId="0" borderId="20" xfId="2" applyNumberFormat="1" applyFont="1" applyFill="1" applyBorder="1" applyAlignment="1" applyProtection="1"/>
    <xf numFmtId="174" fontId="58" fillId="0" borderId="21" xfId="2" applyNumberFormat="1" applyFont="1" applyFill="1" applyBorder="1" applyAlignment="1" applyProtection="1"/>
    <xf numFmtId="166" fontId="59" fillId="0" borderId="21" xfId="2" applyNumberFormat="1" applyFont="1" applyFill="1" applyBorder="1" applyAlignment="1" applyProtection="1"/>
    <xf numFmtId="170" fontId="59" fillId="0" borderId="21" xfId="2" applyNumberFormat="1" applyFont="1" applyFill="1" applyBorder="1" applyAlignment="1" applyProtection="1"/>
    <xf numFmtId="170" fontId="58" fillId="0" borderId="10" xfId="2" applyNumberFormat="1" applyFont="1" applyFill="1" applyBorder="1" applyAlignment="1" applyProtection="1"/>
    <xf numFmtId="170" fontId="59" fillId="0" borderId="18" xfId="2" applyNumberFormat="1" applyFont="1" applyFill="1" applyBorder="1" applyAlignment="1" applyProtection="1"/>
    <xf numFmtId="170" fontId="59" fillId="0" borderId="73" xfId="2" applyNumberFormat="1" applyFont="1" applyFill="1" applyBorder="1" applyAlignment="1" applyProtection="1"/>
    <xf numFmtId="170" fontId="59" fillId="0" borderId="74" xfId="2" applyNumberFormat="1" applyFont="1" applyFill="1" applyBorder="1" applyAlignment="1" applyProtection="1"/>
    <xf numFmtId="170" fontId="58" fillId="0" borderId="16" xfId="2" applyNumberFormat="1" applyFont="1" applyFill="1" applyBorder="1" applyAlignment="1" applyProtection="1"/>
    <xf numFmtId="170" fontId="58" fillId="0" borderId="74" xfId="2" applyNumberFormat="1" applyFont="1" applyFill="1" applyBorder="1" applyAlignment="1" applyProtection="1"/>
    <xf numFmtId="170" fontId="58" fillId="0" borderId="21" xfId="2" applyNumberFormat="1" applyFont="1" applyFill="1" applyBorder="1" applyAlignment="1" applyProtection="1"/>
    <xf numFmtId="170" fontId="58" fillId="0" borderId="0" xfId="2" applyNumberFormat="1" applyFont="1" applyFill="1" applyAlignment="1" applyProtection="1"/>
    <xf numFmtId="170" fontId="59" fillId="0" borderId="75" xfId="2" applyNumberFormat="1" applyFont="1" applyFill="1" applyBorder="1" applyAlignment="1" applyProtection="1"/>
    <xf numFmtId="170" fontId="63" fillId="0" borderId="18" xfId="2" applyNumberFormat="1" applyFont="1" applyFill="1" applyBorder="1" applyAlignment="1" applyProtection="1"/>
    <xf numFmtId="170" fontId="64" fillId="0" borderId="18" xfId="2" applyNumberFormat="1" applyFont="1" applyFill="1" applyBorder="1" applyAlignment="1" applyProtection="1"/>
    <xf numFmtId="170" fontId="58" fillId="0" borderId="0" xfId="2" applyNumberFormat="1" applyFont="1" applyFill="1" applyAlignment="1" applyProtection="1">
      <alignment horizontal="right"/>
    </xf>
    <xf numFmtId="166" fontId="63" fillId="0" borderId="18" xfId="2" applyNumberFormat="1" applyFont="1" applyFill="1" applyBorder="1" applyAlignment="1" applyProtection="1"/>
    <xf numFmtId="174" fontId="64" fillId="0" borderId="0" xfId="2" applyNumberFormat="1" applyFont="1" applyFill="1" applyAlignment="1" applyProtection="1"/>
    <xf numFmtId="170" fontId="37" fillId="0" borderId="0" xfId="0" applyNumberFormat="1" applyFont="1" applyFill="1" applyAlignment="1"/>
    <xf numFmtId="170" fontId="44" fillId="0" borderId="0" xfId="0" applyNumberFormat="1" applyFont="1" applyFill="1" applyBorder="1" applyAlignment="1"/>
    <xf numFmtId="170" fontId="44" fillId="0" borderId="10" xfId="0" applyNumberFormat="1" applyFont="1" applyFill="1" applyBorder="1" applyAlignment="1"/>
    <xf numFmtId="170" fontId="137" fillId="0" borderId="0" xfId="2" applyNumberFormat="1" applyFont="1" applyFill="1" applyBorder="1" applyAlignment="1"/>
    <xf numFmtId="0" fontId="61" fillId="0" borderId="0" xfId="836" quotePrefix="1" applyNumberFormat="1" applyFont="1" applyFill="1" applyAlignment="1">
      <alignment horizontal="left"/>
    </xf>
    <xf numFmtId="165" fontId="65" fillId="0" borderId="0" xfId="840" quotePrefix="1" applyNumberFormat="1" applyFont="1" applyAlignment="1"/>
    <xf numFmtId="44" fontId="154" fillId="0" borderId="0" xfId="5458" applyNumberFormat="1" applyFont="1" applyFill="1"/>
    <xf numFmtId="44" fontId="42" fillId="0" borderId="0" xfId="5508" applyNumberFormat="1" applyFont="1" applyFill="1" applyBorder="1"/>
    <xf numFmtId="41" fontId="43" fillId="0" borderId="0" xfId="1773" applyNumberFormat="1" applyFont="1" applyFill="1" applyAlignment="1">
      <alignment horizontal="right"/>
    </xf>
    <xf numFmtId="174" fontId="37" fillId="0" borderId="0" xfId="17" applyNumberFormat="1" applyFont="1" applyFill="1" applyAlignment="1">
      <alignment horizontal="right"/>
    </xf>
    <xf numFmtId="189" fontId="0" fillId="0" borderId="0" xfId="17" applyNumberFormat="1" applyFont="1" applyFill="1" applyAlignment="1">
      <alignment horizontal="right"/>
    </xf>
    <xf numFmtId="177" fontId="0" fillId="0" borderId="0" xfId="17" applyNumberFormat="1" applyFont="1" applyFill="1"/>
    <xf numFmtId="180" fontId="37" fillId="0" borderId="0" xfId="17" applyNumberFormat="1" applyFont="1" applyFill="1" applyAlignment="1">
      <alignment horizontal="right"/>
    </xf>
    <xf numFmtId="170" fontId="44" fillId="0" borderId="16" xfId="2" applyNumberFormat="1" applyFont="1" applyFill="1" applyBorder="1" applyAlignment="1"/>
    <xf numFmtId="170" fontId="37" fillId="0" borderId="10" xfId="0" quotePrefix="1" applyNumberFormat="1" applyFont="1" applyFill="1" applyBorder="1" applyAlignment="1" applyProtection="1">
      <alignment horizontal="right"/>
    </xf>
    <xf numFmtId="166" fontId="44" fillId="0" borderId="10" xfId="0" quotePrefix="1" applyNumberFormat="1" applyFont="1" applyFill="1" applyBorder="1" applyAlignment="1" applyProtection="1">
      <alignment horizontal="center"/>
    </xf>
    <xf numFmtId="170" fontId="44" fillId="0" borderId="16" xfId="0" quotePrefix="1" applyNumberFormat="1" applyFont="1" applyFill="1" applyBorder="1" applyAlignment="1" applyProtection="1">
      <alignment horizontal="center"/>
    </xf>
    <xf numFmtId="165" fontId="143" fillId="0" borderId="0" xfId="0" applyNumberFormat="1" applyFont="1" applyFill="1" applyAlignment="1" applyProtection="1"/>
    <xf numFmtId="166" fontId="133" fillId="0" borderId="0" xfId="0" applyNumberFormat="1" applyFont="1" applyFill="1" applyAlignment="1" applyProtection="1"/>
    <xf numFmtId="166" fontId="130" fillId="0" borderId="0" xfId="0" applyNumberFormat="1" applyFont="1" applyFill="1" applyBorder="1" applyAlignment="1" applyProtection="1"/>
    <xf numFmtId="174" fontId="37" fillId="0" borderId="0" xfId="2" applyNumberFormat="1" applyFont="1" applyFill="1" applyBorder="1" applyAlignment="1" applyProtection="1"/>
    <xf numFmtId="165" fontId="133" fillId="0" borderId="0" xfId="0" applyNumberFormat="1" applyFont="1" applyFill="1" applyBorder="1" applyAlignment="1" applyProtection="1"/>
    <xf numFmtId="174" fontId="44" fillId="0" borderId="87" xfId="17" applyNumberFormat="1" applyFont="1" applyFill="1" applyBorder="1" applyAlignment="1"/>
    <xf numFmtId="177" fontId="37" fillId="0" borderId="0" xfId="740" quotePrefix="1" applyNumberFormat="1" applyFont="1" applyFill="1" applyAlignment="1"/>
    <xf numFmtId="182" fontId="37" fillId="0" borderId="0" xfId="740" applyNumberFormat="1" applyFont="1" applyFill="1" applyAlignment="1"/>
    <xf numFmtId="170" fontId="39" fillId="0" borderId="0" xfId="5" applyNumberFormat="1" applyFont="1" applyFill="1"/>
    <xf numFmtId="170" fontId="37" fillId="0" borderId="100" xfId="0" quotePrefix="1" applyNumberFormat="1" applyFont="1" applyFill="1" applyBorder="1" applyAlignment="1" applyProtection="1">
      <alignment horizontal="right"/>
    </xf>
    <xf numFmtId="166" fontId="44" fillId="0" borderId="0" xfId="0" applyNumberFormat="1" applyFont="1" applyFill="1" applyBorder="1" applyAlignment="1" applyProtection="1">
      <alignment horizontal="center"/>
    </xf>
    <xf numFmtId="164" fontId="41" fillId="0" borderId="0" xfId="0" applyFont="1" applyFill="1" applyBorder="1" applyAlignment="1" applyProtection="1">
      <alignment horizontal="left"/>
    </xf>
    <xf numFmtId="181" fontId="66" fillId="0" borderId="102" xfId="1776" applyNumberFormat="1" applyFont="1" applyFill="1" applyBorder="1" applyAlignment="1">
      <alignment horizontal="center"/>
    </xf>
    <xf numFmtId="180" fontId="61" fillId="0" borderId="66" xfId="1767" applyNumberFormat="1" applyFont="1" applyFill="1" applyBorder="1" applyAlignment="1">
      <alignment horizontal="left"/>
    </xf>
    <xf numFmtId="185" fontId="78" fillId="0" borderId="0" xfId="836" applyNumberFormat="1" applyFont="1" applyFill="1" applyAlignment="1"/>
    <xf numFmtId="184" fontId="66" fillId="0" borderId="0" xfId="836" quotePrefix="1" applyNumberFormat="1" applyFont="1" applyFill="1" applyAlignment="1">
      <alignment horizontal="center"/>
    </xf>
    <xf numFmtId="0" fontId="62" fillId="0" borderId="20" xfId="836" applyNumberFormat="1" applyFont="1" applyFill="1" applyBorder="1" applyAlignment="1"/>
    <xf numFmtId="185" fontId="61" fillId="0" borderId="20" xfId="836" applyNumberFormat="1" applyFont="1" applyFill="1" applyBorder="1" applyAlignment="1">
      <alignment horizontal="right"/>
    </xf>
    <xf numFmtId="177" fontId="44" fillId="0" borderId="66" xfId="740" quotePrefix="1" applyNumberFormat="1" applyFont="1" applyFill="1" applyBorder="1" applyAlignment="1">
      <alignment horizontal="center"/>
    </xf>
    <xf numFmtId="177" fontId="37" fillId="0" borderId="0" xfId="0" applyNumberFormat="1" applyFont="1" applyFill="1" applyAlignment="1">
      <alignment horizontal="center"/>
    </xf>
    <xf numFmtId="177" fontId="0" fillId="0" borderId="0" xfId="0" applyNumberFormat="1" applyFill="1"/>
    <xf numFmtId="165" fontId="37" fillId="0" borderId="0" xfId="840" applyNumberFormat="1" applyFont="1" applyFill="1" applyAlignment="1" applyProtection="1">
      <protection locked="0"/>
    </xf>
    <xf numFmtId="165" fontId="44" fillId="0" borderId="0" xfId="840" applyNumberFormat="1" applyFont="1" applyFill="1" applyAlignment="1">
      <alignment horizontal="right"/>
    </xf>
    <xf numFmtId="165" fontId="44" fillId="0" borderId="0" xfId="840" applyNumberFormat="1" applyFont="1" applyFill="1" applyAlignment="1"/>
    <xf numFmtId="170" fontId="59" fillId="0" borderId="18" xfId="2" applyNumberFormat="1" applyFont="1" applyFill="1" applyBorder="1" applyAlignment="1"/>
    <xf numFmtId="0" fontId="0" fillId="0" borderId="0" xfId="2" applyFont="1" applyFill="1" applyBorder="1" applyAlignment="1"/>
    <xf numFmtId="0" fontId="0" fillId="0" borderId="0" xfId="2" applyFont="1" applyFill="1" applyBorder="1" applyAlignment="1"/>
    <xf numFmtId="174" fontId="44" fillId="0" borderId="21" xfId="2" applyNumberFormat="1" applyFont="1" applyFill="1" applyBorder="1" applyAlignment="1" applyProtection="1"/>
    <xf numFmtId="165" fontId="39" fillId="0" borderId="21" xfId="2" applyNumberFormat="1" applyFont="1" applyFill="1" applyBorder="1" applyAlignment="1" applyProtection="1"/>
    <xf numFmtId="174" fontId="37" fillId="0" borderId="21" xfId="2" applyNumberFormat="1" applyFont="1" applyFill="1" applyBorder="1" applyAlignment="1" applyProtection="1"/>
    <xf numFmtId="170" fontId="48" fillId="0" borderId="0" xfId="2" applyNumberFormat="1" applyFont="1" applyFill="1" applyBorder="1" applyAlignment="1" applyProtection="1"/>
    <xf numFmtId="170" fontId="48" fillId="0" borderId="21" xfId="2" applyNumberFormat="1" applyFont="1" applyFill="1" applyBorder="1" applyAlignment="1" applyProtection="1"/>
    <xf numFmtId="0" fontId="168" fillId="0" borderId="10" xfId="2" applyNumberFormat="1" applyFont="1" applyFill="1" applyBorder="1" applyAlignment="1">
      <alignment horizontal="center"/>
    </xf>
    <xf numFmtId="0" fontId="66" fillId="0" borderId="10" xfId="2" applyNumberFormat="1" applyFont="1" applyFill="1" applyBorder="1" applyAlignment="1">
      <alignment horizontal="center"/>
    </xf>
    <xf numFmtId="167" fontId="44" fillId="0" borderId="0" xfId="2" applyNumberFormat="1" applyFont="1" applyFill="1" applyAlignment="1" applyProtection="1"/>
    <xf numFmtId="174" fontId="0" fillId="0" borderId="0" xfId="2" applyNumberFormat="1" applyFont="1" applyFill="1" applyProtection="1"/>
    <xf numFmtId="174" fontId="44" fillId="0" borderId="0" xfId="5517" applyNumberFormat="1" applyFont="1" applyFill="1"/>
    <xf numFmtId="170" fontId="39" fillId="0" borderId="0" xfId="4" applyNumberFormat="1" applyFont="1" applyFill="1"/>
    <xf numFmtId="170" fontId="39" fillId="0" borderId="0" xfId="1" quotePrefix="1" applyNumberFormat="1" applyFont="1" applyFill="1" applyAlignment="1"/>
    <xf numFmtId="170" fontId="37" fillId="0" borderId="0" xfId="1" quotePrefix="1" applyNumberFormat="1" applyFont="1" applyFill="1" applyAlignment="1"/>
    <xf numFmtId="170" fontId="0" fillId="0" borderId="0" xfId="0" applyNumberFormat="1" applyFill="1"/>
    <xf numFmtId="170" fontId="37" fillId="0" borderId="66" xfId="2" applyNumberFormat="1" applyFont="1" applyFill="1" applyBorder="1" applyAlignment="1">
      <alignment horizontal="center"/>
    </xf>
    <xf numFmtId="170" fontId="44" fillId="0" borderId="0" xfId="2" applyNumberFormat="1" applyFont="1" applyFill="1" applyBorder="1"/>
    <xf numFmtId="169" fontId="0" fillId="0" borderId="0" xfId="2" applyNumberFormat="1" applyFont="1" applyFill="1"/>
    <xf numFmtId="174" fontId="44" fillId="0" borderId="0" xfId="5517" applyNumberFormat="1" applyFont="1" applyFill="1" applyProtection="1"/>
    <xf numFmtId="170" fontId="44" fillId="0" borderId="46" xfId="2" applyNumberFormat="1" applyFont="1" applyFill="1" applyBorder="1" applyAlignment="1" applyProtection="1"/>
    <xf numFmtId="166" fontId="37" fillId="0" borderId="0" xfId="5517" applyNumberFormat="1" applyFont="1" applyFill="1" applyProtection="1"/>
    <xf numFmtId="174" fontId="44" fillId="0" borderId="0" xfId="2" applyNumberFormat="1" applyFont="1" applyFill="1" applyBorder="1" applyAlignment="1" applyProtection="1"/>
    <xf numFmtId="166" fontId="44" fillId="0" borderId="0" xfId="0" applyNumberFormat="1" applyFont="1" applyFill="1" applyBorder="1" applyAlignment="1" applyProtection="1">
      <alignment horizontal="center"/>
    </xf>
    <xf numFmtId="164" fontId="41" fillId="0" borderId="0" xfId="0" applyFont="1" applyFill="1" applyBorder="1" applyAlignment="1" applyProtection="1">
      <alignment horizontal="left"/>
    </xf>
    <xf numFmtId="0" fontId="39" fillId="0" borderId="0" xfId="2" applyFont="1" applyFill="1" applyBorder="1" applyAlignment="1"/>
    <xf numFmtId="0" fontId="44" fillId="0" borderId="0" xfId="2" quotePrefix="1" applyNumberFormat="1" applyFont="1" applyFill="1" applyBorder="1" applyAlignment="1" applyProtection="1">
      <alignment horizontal="center"/>
    </xf>
    <xf numFmtId="174" fontId="44" fillId="0" borderId="47" xfId="2" applyNumberFormat="1" applyFont="1" applyFill="1" applyBorder="1" applyAlignment="1" applyProtection="1"/>
    <xf numFmtId="165" fontId="39" fillId="0" borderId="47" xfId="2" applyNumberFormat="1" applyFont="1" applyFill="1" applyBorder="1" applyAlignment="1" applyProtection="1"/>
    <xf numFmtId="170" fontId="39" fillId="0" borderId="47" xfId="2" applyNumberFormat="1" applyFont="1" applyFill="1" applyBorder="1" applyAlignment="1" applyProtection="1"/>
    <xf numFmtId="170" fontId="37" fillId="0" borderId="47" xfId="2" applyNumberFormat="1" applyFont="1" applyFill="1" applyBorder="1" applyAlignment="1" applyProtection="1"/>
    <xf numFmtId="174" fontId="37" fillId="0" borderId="47" xfId="2" applyNumberFormat="1" applyFont="1" applyFill="1" applyBorder="1" applyAlignment="1" applyProtection="1"/>
    <xf numFmtId="170" fontId="44" fillId="0" borderId="47" xfId="2" applyNumberFormat="1" applyFont="1" applyFill="1" applyBorder="1" applyAlignment="1" applyProtection="1"/>
    <xf numFmtId="170" fontId="39" fillId="0" borderId="47" xfId="2" applyNumberFormat="1" applyFont="1" applyFill="1" applyBorder="1" applyAlignment="1" applyProtection="1">
      <alignment horizontal="center"/>
    </xf>
    <xf numFmtId="170" fontId="0" fillId="0" borderId="47" xfId="2" applyNumberFormat="1" applyFont="1" applyFill="1" applyBorder="1" applyAlignment="1" applyProtection="1"/>
    <xf numFmtId="165" fontId="66" fillId="0" borderId="0" xfId="2" applyNumberFormat="1" applyFont="1" applyFill="1" applyBorder="1" applyAlignment="1" applyProtection="1">
      <alignment horizontal="right"/>
    </xf>
    <xf numFmtId="170" fontId="44" fillId="0" borderId="99" xfId="2" applyNumberFormat="1" applyFont="1" applyFill="1" applyBorder="1" applyAlignment="1" applyProtection="1"/>
    <xf numFmtId="170" fontId="39" fillId="0" borderId="0" xfId="2" quotePrefix="1" applyNumberFormat="1" applyFont="1" applyFill="1" applyBorder="1" applyAlignment="1" applyProtection="1">
      <alignment horizontal="right"/>
    </xf>
    <xf numFmtId="165" fontId="44" fillId="0" borderId="0" xfId="0" quotePrefix="1" applyNumberFormat="1" applyFont="1" applyFill="1" applyAlignment="1" applyProtection="1">
      <alignment horizontal="centerContinuous"/>
    </xf>
    <xf numFmtId="165" fontId="44" fillId="0" borderId="82" xfId="0" applyNumberFormat="1" applyFont="1" applyFill="1" applyBorder="1" applyAlignment="1" applyProtection="1">
      <alignment horizontal="center"/>
    </xf>
    <xf numFmtId="0" fontId="44" fillId="0" borderId="0" xfId="0" quotePrefix="1" applyNumberFormat="1" applyFont="1" applyFill="1" applyAlignment="1" applyProtection="1">
      <alignment horizontal="center"/>
    </xf>
    <xf numFmtId="165" fontId="37" fillId="0" borderId="82" xfId="0" applyNumberFormat="1" applyFont="1" applyFill="1" applyBorder="1" applyAlignment="1" applyProtection="1"/>
    <xf numFmtId="174" fontId="37" fillId="0" borderId="0" xfId="0" quotePrefix="1" applyNumberFormat="1" applyFont="1" applyFill="1" applyAlignment="1" applyProtection="1">
      <alignment horizontal="right"/>
    </xf>
    <xf numFmtId="170" fontId="44" fillId="0" borderId="98" xfId="0" quotePrefix="1" applyNumberFormat="1" applyFont="1" applyFill="1" applyBorder="1" applyAlignment="1" applyProtection="1"/>
    <xf numFmtId="170" fontId="37" fillId="0" borderId="0" xfId="0" applyNumberFormat="1" applyFont="1" applyFill="1" applyAlignment="1" applyProtection="1">
      <alignment horizontal="right"/>
    </xf>
    <xf numFmtId="166" fontId="44" fillId="0" borderId="82" xfId="0" applyNumberFormat="1" applyFont="1" applyFill="1" applyBorder="1" applyAlignment="1" applyProtection="1"/>
    <xf numFmtId="174" fontId="44" fillId="0" borderId="41" xfId="0" applyNumberFormat="1" applyFont="1" applyFill="1" applyBorder="1" applyAlignment="1" applyProtection="1"/>
    <xf numFmtId="165" fontId="135" fillId="0" borderId="0" xfId="2" applyNumberFormat="1" applyFont="1" applyFill="1" applyAlignment="1"/>
    <xf numFmtId="0" fontId="44" fillId="0" borderId="10" xfId="2" quotePrefix="1" applyNumberFormat="1" applyFont="1" applyFill="1" applyBorder="1" applyAlignment="1">
      <alignment horizontal="center"/>
    </xf>
    <xf numFmtId="174" fontId="37" fillId="0" borderId="0" xfId="2" applyNumberFormat="1" applyFont="1" applyFill="1" applyBorder="1" applyAlignment="1">
      <alignment horizontal="right"/>
    </xf>
    <xf numFmtId="170" fontId="37" fillId="0" borderId="0" xfId="2" applyNumberFormat="1" applyFont="1" applyFill="1" applyBorder="1" applyAlignment="1">
      <alignment horizontal="center"/>
    </xf>
    <xf numFmtId="0" fontId="39" fillId="0" borderId="20" xfId="2" applyNumberFormat="1" applyFont="1" applyFill="1" applyBorder="1" applyAlignment="1"/>
    <xf numFmtId="0" fontId="39" fillId="0" borderId="0" xfId="2" applyFont="1" applyFill="1" applyAlignment="1"/>
    <xf numFmtId="170" fontId="44" fillId="0" borderId="95" xfId="2" quotePrefix="1" applyNumberFormat="1" applyFont="1" applyFill="1" applyBorder="1" applyAlignment="1"/>
    <xf numFmtId="0" fontId="63" fillId="0" borderId="0" xfId="2" applyNumberFormat="1" applyFont="1" applyFill="1" applyAlignment="1"/>
    <xf numFmtId="174" fontId="63" fillId="0" borderId="0" xfId="2" applyNumberFormat="1" applyFont="1" applyFill="1" applyAlignment="1"/>
    <xf numFmtId="194" fontId="44" fillId="0" borderId="0" xfId="2" applyNumberFormat="1" applyFont="1" applyFill="1" applyAlignment="1"/>
    <xf numFmtId="42" fontId="156" fillId="0" borderId="0" xfId="5488" applyNumberFormat="1" applyFont="1" applyFill="1" applyAlignment="1">
      <alignment horizontal="right"/>
    </xf>
    <xf numFmtId="42" fontId="154" fillId="0" borderId="0" xfId="5458" applyNumberFormat="1" applyFont="1" applyFill="1" applyBorder="1" applyAlignment="1">
      <alignment horizontal="right"/>
    </xf>
    <xf numFmtId="41" fontId="156" fillId="0" borderId="0" xfId="5488" applyNumberFormat="1" applyFont="1" applyFill="1" applyAlignment="1">
      <alignment horizontal="right"/>
    </xf>
    <xf numFmtId="166" fontId="39" fillId="0" borderId="0" xfId="0" quotePrefix="1" applyNumberFormat="1" applyFont="1" applyFill="1" applyAlignment="1" applyProtection="1"/>
    <xf numFmtId="170" fontId="39" fillId="0" borderId="0" xfId="0" quotePrefix="1" applyNumberFormat="1" applyFont="1" applyFill="1" applyAlignment="1" applyProtection="1">
      <alignment horizontal="right"/>
    </xf>
    <xf numFmtId="49" fontId="37" fillId="0" borderId="0" xfId="17" applyNumberFormat="1" applyFont="1" applyFill="1" applyBorder="1" applyAlignment="1">
      <alignment horizontal="center"/>
    </xf>
    <xf numFmtId="0" fontId="37" fillId="0" borderId="66" xfId="17" applyNumberFormat="1" applyFont="1" applyFill="1" applyBorder="1" applyAlignment="1">
      <alignment horizontal="center"/>
    </xf>
    <xf numFmtId="164" fontId="63" fillId="0" borderId="0" xfId="0" quotePrefix="1" applyNumberFormat="1" applyFont="1" applyFill="1" applyBorder="1" applyAlignment="1" applyProtection="1"/>
    <xf numFmtId="164" fontId="64" fillId="0" borderId="107" xfId="0" applyNumberFormat="1" applyFont="1" applyFill="1" applyBorder="1" applyAlignment="1" applyProtection="1"/>
    <xf numFmtId="4" fontId="44" fillId="0" borderId="0" xfId="0" applyNumberFormat="1" applyFont="1" applyFill="1" applyProtection="1"/>
    <xf numFmtId="4" fontId="44" fillId="0" borderId="0" xfId="0" applyNumberFormat="1" applyFont="1" applyFill="1" applyAlignment="1" applyProtection="1">
      <alignment horizontal="center"/>
    </xf>
    <xf numFmtId="43" fontId="44" fillId="0" borderId="0" xfId="0" applyNumberFormat="1" applyFont="1" applyFill="1" applyAlignment="1" applyProtection="1">
      <alignment horizontal="right"/>
    </xf>
    <xf numFmtId="0" fontId="97" fillId="0" borderId="0" xfId="0" applyNumberFormat="1" applyFont="1" applyFill="1" applyAlignment="1" applyProtection="1"/>
    <xf numFmtId="42" fontId="42" fillId="0" borderId="0" xfId="0" applyNumberFormat="1" applyFont="1" applyFill="1" applyAlignment="1"/>
    <xf numFmtId="41" fontId="42" fillId="0" borderId="0" xfId="0" applyNumberFormat="1" applyFont="1" applyFill="1" applyAlignment="1"/>
    <xf numFmtId="41" fontId="42" fillId="0" borderId="0" xfId="0" applyNumberFormat="1" applyFont="1" applyFill="1" applyAlignment="1">
      <alignment horizontal="right"/>
    </xf>
    <xf numFmtId="41" fontId="42" fillId="0" borderId="0" xfId="0" quotePrefix="1" applyNumberFormat="1" applyFont="1" applyFill="1" applyAlignment="1">
      <alignment horizontal="right"/>
    </xf>
    <xf numFmtId="3" fontId="42" fillId="0" borderId="0" xfId="0" applyNumberFormat="1" applyFont="1" applyFill="1" applyBorder="1" applyAlignment="1"/>
    <xf numFmtId="42" fontId="43" fillId="0" borderId="87" xfId="0" applyNumberFormat="1" applyFont="1" applyFill="1" applyBorder="1" applyAlignment="1">
      <alignment horizontal="right"/>
    </xf>
    <xf numFmtId="43" fontId="183" fillId="0" borderId="0" xfId="9967" applyNumberFormat="1"/>
    <xf numFmtId="43" fontId="43" fillId="0" borderId="66" xfId="9967" quotePrefix="1" applyNumberFormat="1" applyFont="1" applyFill="1" applyBorder="1" applyAlignment="1">
      <alignment horizontal="center"/>
    </xf>
    <xf numFmtId="43" fontId="42" fillId="0" borderId="0" xfId="0" applyNumberFormat="1" applyFont="1" applyFill="1" applyBorder="1" applyAlignment="1"/>
    <xf numFmtId="43" fontId="43" fillId="0" borderId="0" xfId="0" applyNumberFormat="1" applyFont="1" applyFill="1" applyBorder="1"/>
    <xf numFmtId="43" fontId="42" fillId="0" borderId="0" xfId="0" quotePrefix="1" applyNumberFormat="1" applyFont="1" applyFill="1" applyAlignment="1"/>
    <xf numFmtId="43" fontId="42" fillId="0" borderId="0" xfId="0" applyNumberFormat="1" applyFont="1" applyFill="1" applyAlignment="1">
      <alignment horizontal="left" vertical="top"/>
    </xf>
    <xf numFmtId="170" fontId="59" fillId="0" borderId="46" xfId="2" applyNumberFormat="1" applyFont="1" applyBorder="1" applyAlignment="1" applyProtection="1"/>
    <xf numFmtId="170" fontId="59" fillId="0" borderId="46" xfId="2" applyNumberFormat="1" applyFont="1" applyFill="1" applyBorder="1" applyAlignment="1" applyProtection="1"/>
    <xf numFmtId="164" fontId="37" fillId="0" borderId="46" xfId="2" applyNumberFormat="1" applyFont="1" applyFill="1" applyBorder="1" applyAlignment="1" applyProtection="1"/>
    <xf numFmtId="170" fontId="59" fillId="0" borderId="10" xfId="2" applyNumberFormat="1" applyFont="1" applyFill="1" applyBorder="1" applyAlignment="1">
      <alignment horizontal="center"/>
    </xf>
    <xf numFmtId="170" fontId="44" fillId="0" borderId="10" xfId="1046" applyNumberFormat="1" applyFont="1" applyFill="1" applyBorder="1"/>
    <xf numFmtId="164" fontId="44" fillId="0" borderId="10" xfId="1046" applyNumberFormat="1" applyFont="1" applyFill="1" applyBorder="1"/>
    <xf numFmtId="165" fontId="37" fillId="58" borderId="0" xfId="0" applyNumberFormat="1" applyFont="1" applyFill="1" applyAlignment="1" applyProtection="1"/>
    <xf numFmtId="170" fontId="37" fillId="58" borderId="0" xfId="0" applyNumberFormat="1" applyFont="1" applyFill="1" applyAlignment="1" applyProtection="1"/>
    <xf numFmtId="170" fontId="44" fillId="58" borderId="0" xfId="0" applyNumberFormat="1" applyFont="1" applyFill="1" applyAlignment="1" applyProtection="1"/>
    <xf numFmtId="165" fontId="44" fillId="58" borderId="0" xfId="0" applyNumberFormat="1" applyFont="1" applyFill="1" applyAlignment="1" applyProtection="1"/>
    <xf numFmtId="174" fontId="44" fillId="58" borderId="0" xfId="0" applyNumberFormat="1" applyFont="1" applyFill="1" applyAlignment="1" applyProtection="1"/>
    <xf numFmtId="41" fontId="154" fillId="0" borderId="0" xfId="5458" applyNumberFormat="1" applyFont="1" applyFill="1" applyAlignment="1">
      <alignment horizontal="center"/>
    </xf>
    <xf numFmtId="181" fontId="42" fillId="0" borderId="0" xfId="1776" applyNumberFormat="1" applyFont="1" applyFill="1" applyAlignment="1"/>
    <xf numFmtId="172" fontId="44" fillId="0" borderId="80" xfId="2" applyNumberFormat="1" applyFont="1" applyBorder="1" applyAlignment="1" applyProtection="1"/>
    <xf numFmtId="166" fontId="170" fillId="0" borderId="0" xfId="2" applyNumberFormat="1" applyFont="1" applyAlignment="1"/>
    <xf numFmtId="166" fontId="170" fillId="0" borderId="0" xfId="2" quotePrefix="1" applyNumberFormat="1" applyFont="1" applyAlignment="1">
      <alignment horizontal="left"/>
    </xf>
    <xf numFmtId="0" fontId="170" fillId="0" borderId="0" xfId="2" applyNumberFormat="1" applyFont="1" applyAlignment="1"/>
    <xf numFmtId="0" fontId="170" fillId="0" borderId="0" xfId="2" quotePrefix="1" applyNumberFormat="1" applyFont="1" applyAlignment="1">
      <alignment horizontal="left"/>
    </xf>
    <xf numFmtId="0" fontId="38" fillId="0" borderId="0" xfId="2" applyNumberFormat="1" applyFont="1" applyAlignment="1"/>
    <xf numFmtId="165" fontId="82" fillId="0" borderId="0" xfId="0" applyNumberFormat="1" applyFont="1" applyAlignment="1" applyProtection="1">
      <protection locked="0"/>
    </xf>
    <xf numFmtId="170" fontId="39" fillId="0" borderId="28" xfId="0" applyNumberFormat="1" applyFont="1" applyBorder="1" applyAlignment="1" applyProtection="1"/>
    <xf numFmtId="170" fontId="39" fillId="0" borderId="72" xfId="0" applyNumberFormat="1" applyFont="1" applyFill="1" applyBorder="1" applyAlignment="1" applyProtection="1"/>
    <xf numFmtId="0" fontId="37" fillId="0" borderId="106" xfId="4" applyFont="1" applyFill="1" applyBorder="1" applyProtection="1"/>
    <xf numFmtId="166" fontId="37" fillId="0" borderId="106" xfId="4" applyNumberFormat="1" applyFont="1" applyFill="1" applyBorder="1" applyProtection="1"/>
    <xf numFmtId="166" fontId="37" fillId="0" borderId="0" xfId="4" applyNumberFormat="1" applyFont="1" applyFill="1" applyProtection="1"/>
    <xf numFmtId="0" fontId="37" fillId="0" borderId="0" xfId="4" applyNumberFormat="1" applyFont="1" applyFill="1" applyBorder="1" applyAlignment="1" applyProtection="1">
      <alignment horizontal="center"/>
    </xf>
    <xf numFmtId="166" fontId="37" fillId="0" borderId="15" xfId="4" applyNumberFormat="1" applyFont="1" applyFill="1" applyBorder="1" applyProtection="1"/>
    <xf numFmtId="170" fontId="44" fillId="0" borderId="107" xfId="0" quotePrefix="1" applyNumberFormat="1" applyFont="1" applyFill="1" applyBorder="1" applyAlignment="1" applyProtection="1"/>
    <xf numFmtId="164" fontId="65" fillId="0" borderId="0" xfId="2" applyNumberFormat="1" applyFont="1" applyAlignment="1"/>
    <xf numFmtId="170" fontId="191" fillId="0" borderId="0" xfId="2" applyNumberFormat="1" applyFont="1" applyBorder="1" applyAlignment="1"/>
    <xf numFmtId="172" fontId="44" fillId="0" borderId="10" xfId="2" applyNumberFormat="1" applyFont="1" applyFill="1" applyBorder="1" applyAlignment="1" applyProtection="1">
      <alignment horizontal="right"/>
    </xf>
    <xf numFmtId="164" fontId="169" fillId="0" borderId="10" xfId="1940" applyNumberFormat="1" applyFont="1" applyBorder="1" applyAlignment="1"/>
    <xf numFmtId="164" fontId="110" fillId="0" borderId="10" xfId="0" applyFont="1" applyFill="1" applyBorder="1" applyAlignment="1">
      <alignment horizontal="center"/>
    </xf>
    <xf numFmtId="164" fontId="110" fillId="0" borderId="10" xfId="0" applyFont="1" applyFill="1" applyBorder="1" applyAlignment="1">
      <alignment horizontal="center" wrapText="1"/>
    </xf>
    <xf numFmtId="43" fontId="167" fillId="0" borderId="0" xfId="0" applyNumberFormat="1" applyFont="1"/>
    <xf numFmtId="49" fontId="110" fillId="0" borderId="0" xfId="0" applyNumberFormat="1" applyFont="1"/>
    <xf numFmtId="0" fontId="167" fillId="0" borderId="0" xfId="0" applyNumberFormat="1" applyFont="1" applyFill="1" applyAlignment="1">
      <alignment horizontal="left"/>
    </xf>
    <xf numFmtId="0" fontId="167" fillId="0" borderId="0" xfId="0" applyNumberFormat="1" applyFont="1" applyFill="1" applyAlignment="1">
      <alignment vertical="top"/>
    </xf>
    <xf numFmtId="0" fontId="42" fillId="0" borderId="0" xfId="0" applyNumberFormat="1" applyFont="1" applyBorder="1" applyAlignment="1">
      <alignment horizontal="left"/>
    </xf>
    <xf numFmtId="43" fontId="167" fillId="0" borderId="0" xfId="17924" applyFont="1"/>
    <xf numFmtId="164" fontId="42" fillId="0" borderId="0" xfId="0" applyFont="1" applyBorder="1" applyAlignment="1">
      <alignment horizontal="left" indent="1"/>
    </xf>
    <xf numFmtId="43" fontId="42" fillId="0" borderId="0" xfId="0" applyNumberFormat="1" applyFont="1" applyBorder="1"/>
    <xf numFmtId="0" fontId="43" fillId="0" borderId="0" xfId="9967" applyFont="1" applyBorder="1" applyAlignment="1">
      <alignment horizontal="centerContinuous" vertical="top"/>
    </xf>
    <xf numFmtId="0" fontId="43" fillId="0" borderId="0" xfId="9967" applyNumberFormat="1" applyFont="1" applyFill="1" applyBorder="1" applyAlignment="1">
      <alignment horizontal="center"/>
    </xf>
    <xf numFmtId="0" fontId="43" fillId="0" borderId="0" xfId="9967" applyNumberFormat="1" applyFont="1" applyFill="1" applyBorder="1" applyAlignment="1" applyProtection="1">
      <alignment horizontal="centerContinuous"/>
    </xf>
    <xf numFmtId="0" fontId="43" fillId="0" borderId="0" xfId="9967" applyNumberFormat="1" applyFont="1" applyFill="1" applyBorder="1" applyAlignment="1">
      <alignment horizontal="centerContinuous"/>
    </xf>
    <xf numFmtId="0" fontId="43" fillId="0" borderId="0" xfId="9967" applyNumberFormat="1" applyFont="1" applyBorder="1" applyAlignment="1">
      <alignment horizontal="centerContinuous"/>
    </xf>
    <xf numFmtId="0" fontId="43" fillId="0" borderId="10" xfId="9967" applyNumberFormat="1" applyFont="1" applyFill="1" applyBorder="1" applyAlignment="1">
      <alignment horizontal="centerContinuous"/>
    </xf>
    <xf numFmtId="0" fontId="43" fillId="0" borderId="10" xfId="9967" applyNumberFormat="1" applyFont="1" applyBorder="1" applyAlignment="1">
      <alignment horizontal="centerContinuous"/>
    </xf>
    <xf numFmtId="170" fontId="37" fillId="0" borderId="10" xfId="2" quotePrefix="1" applyNumberFormat="1" applyFont="1" applyBorder="1" applyAlignment="1"/>
    <xf numFmtId="170" fontId="39" fillId="0" borderId="46" xfId="2" applyNumberFormat="1" applyFont="1" applyFill="1" applyBorder="1" applyAlignment="1" applyProtection="1"/>
    <xf numFmtId="49" fontId="167" fillId="0" borderId="0" xfId="0" applyNumberFormat="1" applyFont="1" applyBorder="1" applyAlignment="1">
      <alignment vertical="top" wrapText="1"/>
    </xf>
    <xf numFmtId="43" fontId="167" fillId="0" borderId="0" xfId="0" applyNumberFormat="1" applyFont="1" applyBorder="1"/>
    <xf numFmtId="172" fontId="186" fillId="0" borderId="66" xfId="2" applyNumberFormat="1" applyFont="1" applyBorder="1" applyAlignment="1" applyProtection="1"/>
    <xf numFmtId="0" fontId="43" fillId="0" borderId="0" xfId="9967" applyNumberFormat="1" applyFont="1" applyFill="1" applyAlignment="1">
      <alignment horizontal="centerContinuous"/>
    </xf>
    <xf numFmtId="49" fontId="43" fillId="0" borderId="10" xfId="9967" applyNumberFormat="1" applyFont="1" applyFill="1" applyBorder="1" applyAlignment="1">
      <alignment horizontal="center"/>
    </xf>
    <xf numFmtId="169" fontId="49" fillId="0" borderId="0" xfId="8" applyNumberFormat="1" applyFont="1" applyFill="1" applyAlignment="1">
      <alignment horizontal="right" vertical="top"/>
    </xf>
    <xf numFmtId="0" fontId="192" fillId="0" borderId="0" xfId="8" applyFont="1" applyAlignment="1">
      <alignment horizontal="left"/>
    </xf>
    <xf numFmtId="0" fontId="192" fillId="0" borderId="0" xfId="8" applyFont="1"/>
    <xf numFmtId="170" fontId="37" fillId="0" borderId="0" xfId="0" applyNumberFormat="1" applyFont="1" applyAlignment="1">
      <alignment horizontal="right"/>
    </xf>
    <xf numFmtId="0" fontId="193" fillId="0" borderId="0" xfId="25863" applyFill="1"/>
    <xf numFmtId="0" fontId="195" fillId="0" borderId="0" xfId="25863" applyFont="1" applyFill="1" applyAlignment="1">
      <alignment horizontal="left"/>
    </xf>
    <xf numFmtId="0" fontId="195" fillId="0" borderId="0" xfId="25863" applyFont="1" applyFill="1" applyBorder="1" applyAlignment="1">
      <alignment horizontal="left"/>
    </xf>
    <xf numFmtId="7" fontId="193" fillId="0" borderId="0" xfId="25863" applyNumberFormat="1" applyFill="1"/>
    <xf numFmtId="0" fontId="199" fillId="0" borderId="0" xfId="25863" applyFont="1" applyFill="1" applyBorder="1" applyAlignment="1">
      <alignment horizontal="center" wrapText="1"/>
    </xf>
    <xf numFmtId="0" fontId="66" fillId="0" borderId="0" xfId="25863" applyFont="1" applyFill="1"/>
    <xf numFmtId="0" fontId="66" fillId="0" borderId="0" xfId="25863" applyFont="1" applyFill="1" applyAlignment="1">
      <alignment horizontal="right"/>
    </xf>
    <xf numFmtId="0" fontId="37" fillId="0" borderId="0" xfId="25866" applyFont="1" applyFill="1" applyBorder="1" applyAlignment="1">
      <alignment horizontal="left"/>
    </xf>
    <xf numFmtId="37" fontId="37" fillId="0" borderId="0" xfId="2" applyNumberFormat="1" applyFont="1" applyFill="1" applyAlignment="1">
      <alignment horizontal="center"/>
    </xf>
    <xf numFmtId="44" fontId="110" fillId="0" borderId="87" xfId="25862" applyFont="1" applyBorder="1"/>
    <xf numFmtId="166" fontId="192" fillId="0" borderId="0" xfId="8" applyNumberFormat="1" applyFont="1" applyFill="1" applyAlignment="1">
      <alignment horizontal="right" vertical="top"/>
    </xf>
    <xf numFmtId="43" fontId="165" fillId="0" borderId="0" xfId="25873" applyNumberFormat="1" applyFont="1" applyFill="1" applyBorder="1"/>
    <xf numFmtId="43" fontId="165" fillId="0" borderId="0" xfId="25876" applyNumberFormat="1" applyFont="1" applyFill="1" applyAlignment="1">
      <alignment horizontal="right"/>
    </xf>
    <xf numFmtId="43" fontId="165" fillId="0" borderId="0" xfId="25876" applyNumberFormat="1" applyFont="1" applyFill="1" applyBorder="1" applyAlignment="1"/>
    <xf numFmtId="43" fontId="165" fillId="0" borderId="0" xfId="4579" applyNumberFormat="1" applyFont="1" applyFill="1" applyAlignment="1">
      <alignment wrapText="1"/>
    </xf>
    <xf numFmtId="0" fontId="42" fillId="0" borderId="0" xfId="25863" applyFont="1" applyFill="1"/>
    <xf numFmtId="170" fontId="37" fillId="0" borderId="0" xfId="0" applyNumberFormat="1" applyFont="1" applyFill="1" applyBorder="1" applyAlignment="1" applyProtection="1">
      <alignment horizontal="right"/>
    </xf>
    <xf numFmtId="43" fontId="37" fillId="0" borderId="0" xfId="9049" applyFont="1" applyFill="1" applyAlignment="1" applyProtection="1">
      <alignment horizontal="right"/>
    </xf>
    <xf numFmtId="170" fontId="61" fillId="0" borderId="0" xfId="2" applyNumberFormat="1" applyFont="1" applyFill="1" applyAlignment="1">
      <alignment horizontal="right"/>
    </xf>
    <xf numFmtId="43" fontId="44" fillId="0" borderId="0" xfId="25870" applyNumberFormat="1" applyFont="1" applyFill="1" applyBorder="1"/>
    <xf numFmtId="164" fontId="110" fillId="0" borderId="0" xfId="0" applyFont="1" applyBorder="1" applyAlignment="1">
      <alignment horizontal="left"/>
    </xf>
    <xf numFmtId="43" fontId="110" fillId="0" borderId="0" xfId="0" applyNumberFormat="1" applyFont="1" applyBorder="1"/>
    <xf numFmtId="37" fontId="37" fillId="0" borderId="0" xfId="25864" applyNumberFormat="1" applyFont="1" applyFill="1" applyBorder="1">
      <alignment horizontal="right"/>
    </xf>
    <xf numFmtId="44" fontId="37" fillId="0" borderId="0" xfId="25868" applyFont="1" applyFill="1" applyBorder="1"/>
    <xf numFmtId="43" fontId="37" fillId="0" borderId="0" xfId="25870" applyNumberFormat="1" applyFont="1" applyFill="1" applyBorder="1"/>
    <xf numFmtId="43" fontId="44" fillId="0" borderId="103" xfId="25874" applyNumberFormat="1" applyFont="1" applyFill="1" applyBorder="1" applyAlignment="1">
      <alignment horizontal="right"/>
    </xf>
    <xf numFmtId="44" fontId="148" fillId="0" borderId="0" xfId="25863" applyNumberFormat="1" applyFont="1" applyFill="1" applyBorder="1" applyAlignment="1">
      <alignment horizontal="left"/>
    </xf>
    <xf numFmtId="44" fontId="37" fillId="0" borderId="0" xfId="25863" applyNumberFormat="1" applyFont="1" applyFill="1"/>
    <xf numFmtId="0" fontId="14" fillId="0" borderId="0" xfId="841" applyFont="1" applyFill="1" applyProtection="1"/>
    <xf numFmtId="0" fontId="84" fillId="0" borderId="0" xfId="841" applyFont="1" applyFill="1" applyAlignment="1" applyProtection="1">
      <alignment horizontal="right"/>
    </xf>
    <xf numFmtId="0" fontId="82" fillId="0" borderId="0" xfId="1028" applyFont="1" applyFill="1" applyAlignment="1" applyProtection="1">
      <alignment horizontal="right"/>
    </xf>
    <xf numFmtId="39" fontId="43" fillId="0" borderId="0" xfId="1028" applyNumberFormat="1" applyFont="1" applyFill="1" applyAlignment="1" applyProtection="1"/>
    <xf numFmtId="186" fontId="44" fillId="0" borderId="50" xfId="1767" quotePrefix="1" applyNumberFormat="1" applyFont="1" applyFill="1" applyBorder="1" applyAlignment="1" applyProtection="1">
      <alignment horizontal="center"/>
    </xf>
    <xf numFmtId="39" fontId="44" fillId="0" borderId="0" xfId="0" applyNumberFormat="1" applyFont="1" applyFill="1" applyAlignment="1" applyProtection="1">
      <alignment horizontal="center"/>
    </xf>
    <xf numFmtId="43" fontId="44" fillId="0" borderId="35" xfId="1028" applyNumberFormat="1" applyFont="1" applyFill="1" applyBorder="1" applyAlignment="1" applyProtection="1">
      <alignment horizontal="right"/>
    </xf>
    <xf numFmtId="43" fontId="44" fillId="0" borderId="0" xfId="1028" applyNumberFormat="1" applyFont="1" applyFill="1" applyBorder="1" applyAlignment="1" applyProtection="1">
      <alignment horizontal="right"/>
    </xf>
    <xf numFmtId="164" fontId="44" fillId="0" borderId="0" xfId="0" applyFont="1" applyFill="1" applyAlignment="1" applyProtection="1">
      <alignment horizontal="right"/>
    </xf>
    <xf numFmtId="43" fontId="37" fillId="0" borderId="0" xfId="17924" applyFont="1" applyFill="1" applyBorder="1" applyAlignment="1" applyProtection="1">
      <alignment horizontal="right"/>
    </xf>
    <xf numFmtId="43" fontId="0" fillId="0" borderId="0" xfId="17924" applyFont="1" applyFill="1" applyAlignment="1" applyProtection="1">
      <alignment horizontal="right"/>
    </xf>
    <xf numFmtId="43" fontId="44" fillId="0" borderId="87" xfId="0" applyNumberFormat="1" applyFont="1" applyFill="1" applyBorder="1" applyAlignment="1" applyProtection="1">
      <alignment horizontal="right"/>
    </xf>
    <xf numFmtId="4" fontId="44" fillId="0" borderId="0" xfId="0" applyNumberFormat="1" applyFont="1" applyFill="1" applyAlignment="1" applyProtection="1">
      <alignment horizontal="left" vertical="top"/>
    </xf>
    <xf numFmtId="0" fontId="0" fillId="0" borderId="0" xfId="0" applyNumberFormat="1" applyFill="1" applyProtection="1"/>
    <xf numFmtId="43" fontId="97" fillId="0" borderId="0" xfId="0" applyNumberFormat="1" applyFont="1" applyFill="1" applyProtection="1"/>
    <xf numFmtId="164" fontId="37" fillId="0" borderId="0" xfId="0" applyFont="1" applyFill="1" applyProtection="1"/>
    <xf numFmtId="177" fontId="207" fillId="0" borderId="0" xfId="1767" applyNumberFormat="1" applyFont="1" applyFill="1" applyAlignment="1">
      <alignment horizontal="left"/>
    </xf>
    <xf numFmtId="10" fontId="169" fillId="0" borderId="0" xfId="2" applyNumberFormat="1" applyFont="1" applyBorder="1" applyAlignment="1"/>
    <xf numFmtId="10" fontId="169" fillId="0" borderId="0" xfId="1940" applyNumberFormat="1" applyFont="1" applyBorder="1" applyAlignment="1"/>
    <xf numFmtId="10" fontId="169" fillId="0" borderId="0" xfId="1940" applyNumberFormat="1" applyFont="1" applyFill="1" applyBorder="1" applyAlignment="1"/>
    <xf numFmtId="10" fontId="169" fillId="0" borderId="0" xfId="2" applyNumberFormat="1" applyFont="1" applyAlignment="1" applyProtection="1"/>
    <xf numFmtId="10" fontId="169" fillId="0" borderId="0" xfId="2" applyNumberFormat="1" applyFont="1" applyAlignment="1"/>
    <xf numFmtId="200" fontId="168" fillId="0" borderId="66" xfId="1940" applyNumberFormat="1" applyFont="1" applyBorder="1" applyAlignment="1"/>
    <xf numFmtId="200" fontId="169" fillId="0" borderId="66" xfId="1940" applyNumberFormat="1" applyFont="1" applyBorder="1" applyAlignment="1"/>
    <xf numFmtId="200" fontId="61" fillId="0" borderId="0" xfId="0" applyNumberFormat="1" applyFont="1" applyBorder="1" applyAlignment="1" applyProtection="1"/>
    <xf numFmtId="43" fontId="37" fillId="0" borderId="0" xfId="25863" applyNumberFormat="1" applyFont="1" applyFill="1"/>
    <xf numFmtId="44" fontId="37" fillId="0" borderId="0" xfId="25872" applyNumberFormat="1" applyFont="1" applyFill="1" applyBorder="1"/>
    <xf numFmtId="0" fontId="37" fillId="0" borderId="0" xfId="25863" applyFont="1" applyFill="1"/>
    <xf numFmtId="0" fontId="199" fillId="0" borderId="0" xfId="25863" applyFont="1" applyFill="1" applyBorder="1" applyAlignment="1">
      <alignment horizontal="center"/>
    </xf>
    <xf numFmtId="44" fontId="44" fillId="0" borderId="87" xfId="25874" applyNumberFormat="1" applyFont="1" applyFill="1" applyBorder="1"/>
    <xf numFmtId="171" fontId="42" fillId="0" borderId="0" xfId="25863" applyNumberFormat="1" applyFont="1" applyFill="1"/>
    <xf numFmtId="44" fontId="165" fillId="0" borderId="0" xfId="25872" applyNumberFormat="1" applyFont="1" applyFill="1" applyBorder="1"/>
    <xf numFmtId="44" fontId="110" fillId="0" borderId="0" xfId="0" applyNumberFormat="1" applyFont="1" applyBorder="1"/>
    <xf numFmtId="172" fontId="37" fillId="0" borderId="0" xfId="2" applyNumberFormat="1" applyFont="1" applyAlignment="1" applyProtection="1"/>
    <xf numFmtId="172" fontId="44" fillId="0" borderId="16" xfId="2" applyNumberFormat="1" applyFont="1" applyBorder="1" applyAlignment="1" applyProtection="1"/>
    <xf numFmtId="0" fontId="148" fillId="0" borderId="0" xfId="1028" quotePrefix="1" applyNumberFormat="1" applyFont="1" applyFill="1" applyAlignment="1" applyProtection="1">
      <alignment horizontal="right"/>
    </xf>
    <xf numFmtId="165" fontId="37" fillId="0" borderId="0" xfId="2" applyNumberFormat="1" applyFont="1" applyFill="1" applyProtection="1"/>
    <xf numFmtId="165" fontId="87" fillId="0" borderId="0" xfId="2" applyNumberFormat="1" applyFont="1" applyFill="1" applyAlignment="1" applyProtection="1">
      <alignment horizontal="left"/>
    </xf>
    <xf numFmtId="0" fontId="38" fillId="0" borderId="0" xfId="2" applyNumberFormat="1" applyFont="1" applyFill="1" applyAlignment="1" applyProtection="1">
      <alignment horizontal="right"/>
    </xf>
    <xf numFmtId="0" fontId="91" fillId="0" borderId="0" xfId="2" applyNumberFormat="1" applyFont="1" applyFill="1" applyAlignment="1" applyProtection="1">
      <alignment horizontal="left"/>
    </xf>
    <xf numFmtId="165" fontId="92" fillId="0" borderId="0" xfId="2" applyNumberFormat="1" applyFont="1" applyFill="1" applyAlignment="1" applyProtection="1"/>
    <xf numFmtId="165" fontId="44" fillId="0" borderId="0" xfId="2" quotePrefix="1" applyNumberFormat="1" applyFont="1" applyFill="1" applyAlignment="1" applyProtection="1">
      <alignment horizontal="center"/>
    </xf>
    <xf numFmtId="0" fontId="160" fillId="0" borderId="0" xfId="2" applyFont="1" applyFill="1" applyProtection="1"/>
    <xf numFmtId="165" fontId="44" fillId="0" borderId="0" xfId="2" applyNumberFormat="1" applyFont="1" applyFill="1" applyBorder="1" applyAlignment="1" applyProtection="1">
      <alignment horizontal="center"/>
    </xf>
    <xf numFmtId="170" fontId="87" fillId="0" borderId="0" xfId="2" applyNumberFormat="1" applyFont="1" applyFill="1" applyAlignment="1" applyProtection="1"/>
    <xf numFmtId="164" fontId="39" fillId="0" borderId="16" xfId="0" applyNumberFormat="1" applyFont="1" applyFill="1" applyBorder="1" applyAlignment="1" applyProtection="1"/>
    <xf numFmtId="166" fontId="44" fillId="0" borderId="0" xfId="2" applyNumberFormat="1" applyFont="1" applyFill="1" applyBorder="1" applyAlignment="1" applyProtection="1">
      <alignment horizontal="center"/>
    </xf>
    <xf numFmtId="172" fontId="39" fillId="0" borderId="0" xfId="1940" applyNumberFormat="1" applyFont="1" applyFill="1" applyBorder="1" applyAlignment="1" applyProtection="1"/>
    <xf numFmtId="0" fontId="165" fillId="0" borderId="0" xfId="2" applyNumberFormat="1" applyFont="1" applyFill="1" applyAlignment="1" applyProtection="1"/>
    <xf numFmtId="0" fontId="39" fillId="0" borderId="0" xfId="2" quotePrefix="1" applyNumberFormat="1" applyFont="1" applyFill="1" applyAlignment="1" applyProtection="1">
      <alignment horizontal="left"/>
    </xf>
    <xf numFmtId="172" fontId="44" fillId="0" borderId="66" xfId="0" applyNumberFormat="1" applyFont="1" applyFill="1" applyBorder="1" applyAlignment="1" applyProtection="1"/>
    <xf numFmtId="166" fontId="44" fillId="0" borderId="0" xfId="2" applyNumberFormat="1" applyFont="1" applyFill="1" applyProtection="1"/>
    <xf numFmtId="178" fontId="0" fillId="0" borderId="0" xfId="2" applyNumberFormat="1" applyFont="1" applyFill="1" applyProtection="1"/>
    <xf numFmtId="170" fontId="44" fillId="0" borderId="0" xfId="6" applyNumberFormat="1" applyFont="1" applyFill="1" applyBorder="1" applyAlignment="1" applyProtection="1"/>
    <xf numFmtId="170" fontId="44" fillId="0" borderId="0" xfId="2" applyNumberFormat="1" applyFont="1" applyFill="1" applyProtection="1"/>
    <xf numFmtId="165" fontId="39" fillId="0" borderId="0" xfId="2" quotePrefix="1" applyNumberFormat="1" applyFont="1" applyFill="1" applyAlignment="1" applyProtection="1">
      <alignment horizontal="left"/>
    </xf>
    <xf numFmtId="169" fontId="39" fillId="0" borderId="0" xfId="6" applyNumberFormat="1" applyFont="1" applyFill="1" applyBorder="1" applyAlignment="1" applyProtection="1"/>
    <xf numFmtId="0" fontId="82" fillId="0" borderId="0" xfId="2" applyFont="1" applyFill="1" applyAlignment="1" applyProtection="1"/>
    <xf numFmtId="164" fontId="44" fillId="0" borderId="81" xfId="2" applyNumberFormat="1" applyFont="1" applyFill="1" applyBorder="1" applyProtection="1"/>
    <xf numFmtId="165" fontId="0" fillId="0" borderId="0" xfId="2" quotePrefix="1" applyNumberFormat="1" applyFont="1" applyFill="1" applyAlignment="1" applyProtection="1">
      <alignment horizontal="left"/>
    </xf>
    <xf numFmtId="166" fontId="82" fillId="0" borderId="0" xfId="2" quotePrefix="1" applyNumberFormat="1" applyFont="1" applyFill="1" applyAlignment="1" applyProtection="1">
      <alignment horizontal="left"/>
    </xf>
    <xf numFmtId="166" fontId="82" fillId="0" borderId="0" xfId="2" applyNumberFormat="1" applyFont="1" applyFill="1" applyAlignment="1" applyProtection="1">
      <alignment horizontal="left"/>
    </xf>
    <xf numFmtId="172" fontId="44" fillId="0" borderId="70" xfId="2" applyNumberFormat="1" applyFont="1" applyBorder="1" applyAlignment="1" applyProtection="1"/>
    <xf numFmtId="164" fontId="37" fillId="0" borderId="0" xfId="1940" applyNumberFormat="1" applyFont="1" applyBorder="1" applyAlignment="1"/>
    <xf numFmtId="164" fontId="168" fillId="0" borderId="0" xfId="1940" applyNumberFormat="1" applyFont="1" applyAlignment="1"/>
    <xf numFmtId="164" fontId="169" fillId="0" borderId="0" xfId="0" applyNumberFormat="1" applyFont="1" applyBorder="1" applyAlignment="1" applyProtection="1"/>
    <xf numFmtId="164" fontId="61" fillId="0" borderId="0" xfId="1940" applyNumberFormat="1" applyFont="1" applyFill="1" applyBorder="1" applyAlignment="1"/>
    <xf numFmtId="164" fontId="61" fillId="0" borderId="66" xfId="1940" applyNumberFormat="1" applyFont="1" applyBorder="1" applyAlignment="1"/>
    <xf numFmtId="164" fontId="66" fillId="0" borderId="66" xfId="1940" applyNumberFormat="1" applyFont="1" applyFill="1" applyBorder="1" applyAlignment="1"/>
    <xf numFmtId="164" fontId="44" fillId="0" borderId="107" xfId="2" applyNumberFormat="1" applyFont="1" applyBorder="1" applyAlignment="1" applyProtection="1"/>
    <xf numFmtId="166" fontId="37" fillId="0" borderId="0" xfId="0" applyNumberFormat="1" applyFont="1" applyFill="1" applyAlignment="1" applyProtection="1"/>
    <xf numFmtId="174" fontId="37" fillId="0" borderId="0" xfId="1049" applyNumberFormat="1" applyFont="1" applyFill="1" applyBorder="1" applyAlignment="1">
      <alignment horizontal="center"/>
    </xf>
    <xf numFmtId="170" fontId="37" fillId="0" borderId="0" xfId="17" applyNumberFormat="1" applyFont="1" applyFill="1" applyBorder="1" applyAlignment="1" applyProtection="1">
      <protection locked="0"/>
    </xf>
    <xf numFmtId="170" fontId="37" fillId="0" borderId="0" xfId="17" applyNumberFormat="1" applyFont="1" applyFill="1" applyBorder="1" applyAlignment="1" applyProtection="1">
      <alignment horizontal="right"/>
      <protection locked="0"/>
    </xf>
    <xf numFmtId="170" fontId="44" fillId="0" borderId="10" xfId="2" applyNumberFormat="1" applyFont="1" applyFill="1" applyBorder="1" applyAlignment="1" applyProtection="1">
      <alignment horizontal="right"/>
    </xf>
    <xf numFmtId="0" fontId="39" fillId="0" borderId="28" xfId="2" applyNumberFormat="1" applyFont="1" applyFill="1" applyBorder="1" applyAlignment="1" applyProtection="1"/>
    <xf numFmtId="172" fontId="169" fillId="0" borderId="66" xfId="0" applyNumberFormat="1" applyFont="1" applyBorder="1" applyAlignment="1" applyProtection="1"/>
    <xf numFmtId="165" fontId="37" fillId="0" borderId="0" xfId="2" applyNumberFormat="1" applyFont="1" applyFill="1" applyProtection="1">
      <protection locked="0"/>
    </xf>
    <xf numFmtId="165" fontId="87" fillId="0" borderId="0" xfId="2" applyNumberFormat="1" applyFont="1" applyFill="1" applyAlignment="1">
      <alignment horizontal="left"/>
    </xf>
    <xf numFmtId="165" fontId="89" fillId="0" borderId="0" xfId="2" applyNumberFormat="1" applyFont="1" applyFill="1" applyAlignment="1">
      <alignment horizontal="left"/>
    </xf>
    <xf numFmtId="0" fontId="66" fillId="0" borderId="0" xfId="2" quotePrefix="1" applyNumberFormat="1" applyFont="1" applyFill="1" applyAlignment="1">
      <alignment horizontal="left"/>
    </xf>
    <xf numFmtId="165" fontId="163" fillId="0" borderId="0" xfId="2" applyNumberFormat="1" applyFont="1" applyFill="1" applyAlignment="1"/>
    <xf numFmtId="0" fontId="38" fillId="0" borderId="0" xfId="2" quotePrefix="1" applyNumberFormat="1" applyFont="1" applyFill="1" applyAlignment="1">
      <alignment horizontal="left"/>
    </xf>
    <xf numFmtId="165" fontId="44" fillId="0" borderId="0" xfId="2" quotePrefix="1" applyNumberFormat="1" applyFont="1" applyFill="1" applyAlignment="1">
      <alignment horizontal="center"/>
    </xf>
    <xf numFmtId="0" fontId="160" fillId="0" borderId="0" xfId="2" applyFont="1" applyFill="1"/>
    <xf numFmtId="165" fontId="44" fillId="0" borderId="0" xfId="2" applyNumberFormat="1" applyFont="1" applyFill="1" applyBorder="1" applyAlignment="1">
      <alignment horizontal="center"/>
    </xf>
    <xf numFmtId="164" fontId="44" fillId="0" borderId="0" xfId="2" applyNumberFormat="1" applyFont="1" applyFill="1" applyBorder="1"/>
    <xf numFmtId="166" fontId="44" fillId="0" borderId="0" xfId="2" applyNumberFormat="1" applyFont="1" applyFill="1" applyBorder="1"/>
    <xf numFmtId="0" fontId="44" fillId="0" borderId="0" xfId="2" applyFont="1" applyFill="1"/>
    <xf numFmtId="170" fontId="39" fillId="0" borderId="0" xfId="2" quotePrefix="1" applyNumberFormat="1" applyFont="1" applyFill="1" applyAlignment="1">
      <alignment horizontal="left"/>
    </xf>
    <xf numFmtId="164" fontId="44" fillId="0" borderId="10" xfId="2" applyNumberFormat="1" applyFont="1" applyFill="1" applyBorder="1"/>
    <xf numFmtId="0" fontId="44" fillId="0" borderId="0" xfId="2" applyFont="1" applyFill="1" applyBorder="1"/>
    <xf numFmtId="164" fontId="44" fillId="0" borderId="16" xfId="2" applyNumberFormat="1" applyFont="1" applyFill="1" applyBorder="1"/>
    <xf numFmtId="0" fontId="0" fillId="0" borderId="0" xfId="2" applyFont="1" applyFill="1" applyBorder="1" applyAlignment="1">
      <alignment horizontal="center"/>
    </xf>
    <xf numFmtId="164" fontId="0" fillId="0" borderId="19" xfId="2" applyNumberFormat="1" applyFont="1" applyFill="1" applyBorder="1" applyAlignment="1" applyProtection="1">
      <alignment horizontal="center"/>
    </xf>
    <xf numFmtId="0" fontId="165" fillId="0" borderId="0" xfId="2" applyFont="1" applyFill="1"/>
    <xf numFmtId="172" fontId="44" fillId="0" borderId="0" xfId="0" applyNumberFormat="1" applyFont="1" applyFill="1" applyBorder="1" applyAlignment="1" applyProtection="1"/>
    <xf numFmtId="172" fontId="44" fillId="0" borderId="81" xfId="0" applyNumberFormat="1" applyFont="1" applyFill="1" applyBorder="1"/>
    <xf numFmtId="164" fontId="0" fillId="0" borderId="42" xfId="2" applyNumberFormat="1" applyFont="1" applyFill="1" applyBorder="1"/>
    <xf numFmtId="165" fontId="37" fillId="0" borderId="0" xfId="2" quotePrefix="1" applyNumberFormat="1" applyFont="1" applyFill="1" applyAlignment="1">
      <alignment horizontal="left"/>
    </xf>
    <xf numFmtId="168" fontId="39" fillId="0" borderId="0" xfId="2" applyNumberFormat="1" applyFont="1" applyFill="1" applyBorder="1" applyAlignment="1"/>
    <xf numFmtId="164" fontId="0" fillId="0" borderId="0" xfId="2" applyNumberFormat="1" applyFont="1" applyFill="1"/>
    <xf numFmtId="166" fontId="37" fillId="0" borderId="20" xfId="2" applyNumberFormat="1" applyFont="1" applyFill="1" applyBorder="1" applyAlignment="1"/>
    <xf numFmtId="166" fontId="39" fillId="0" borderId="20" xfId="2" applyNumberFormat="1" applyFont="1" applyFill="1" applyBorder="1" applyAlignment="1"/>
    <xf numFmtId="194" fontId="44" fillId="0" borderId="66" xfId="2" applyNumberFormat="1" applyFont="1" applyFill="1" applyBorder="1" applyAlignment="1"/>
    <xf numFmtId="174" fontId="61" fillId="0" borderId="0" xfId="2" applyNumberFormat="1" applyFont="1" applyFill="1" applyAlignment="1"/>
    <xf numFmtId="170" fontId="61" fillId="0" borderId="43" xfId="2" quotePrefix="1" applyNumberFormat="1" applyFont="1" applyFill="1" applyBorder="1" applyAlignment="1">
      <alignment horizontal="right"/>
    </xf>
    <xf numFmtId="170" fontId="66" fillId="0" borderId="20" xfId="2" applyNumberFormat="1" applyFont="1" applyFill="1" applyBorder="1" applyAlignment="1">
      <alignment horizontal="right"/>
    </xf>
    <xf numFmtId="170" fontId="66" fillId="0" borderId="10" xfId="2" quotePrefix="1" applyNumberFormat="1" applyFont="1" applyFill="1" applyBorder="1" applyAlignment="1"/>
    <xf numFmtId="170" fontId="66" fillId="0" borderId="20" xfId="2" applyNumberFormat="1" applyFont="1" applyFill="1" applyBorder="1" applyAlignment="1">
      <alignment horizontal="center"/>
    </xf>
    <xf numFmtId="170" fontId="66" fillId="0" borderId="85" xfId="2" quotePrefix="1" applyNumberFormat="1" applyFont="1" applyFill="1" applyBorder="1" applyAlignment="1">
      <alignment horizontal="center"/>
    </xf>
    <xf numFmtId="170" fontId="169" fillId="0" borderId="24" xfId="2" applyNumberFormat="1" applyFont="1" applyFill="1" applyBorder="1" applyAlignment="1" applyProtection="1">
      <protection locked="0"/>
    </xf>
    <xf numFmtId="170" fontId="169" fillId="0" borderId="0" xfId="2" applyNumberFormat="1" applyFont="1" applyFill="1" applyAlignment="1" applyProtection="1">
      <protection locked="0"/>
    </xf>
    <xf numFmtId="170" fontId="168" fillId="0" borderId="24" xfId="2" applyNumberFormat="1" applyFont="1" applyFill="1" applyBorder="1" applyAlignment="1" applyProtection="1">
      <protection locked="0"/>
    </xf>
    <xf numFmtId="170" fontId="168" fillId="0" borderId="21" xfId="2" applyNumberFormat="1" applyFont="1" applyFill="1" applyBorder="1" applyAlignment="1" applyProtection="1">
      <protection locked="0"/>
    </xf>
    <xf numFmtId="170" fontId="169" fillId="0" borderId="20" xfId="2" applyNumberFormat="1" applyFont="1" applyFill="1" applyBorder="1" applyAlignment="1"/>
    <xf numFmtId="170" fontId="169" fillId="0" borderId="0" xfId="2" applyNumberFormat="1" applyFont="1" applyFill="1" applyBorder="1" applyAlignment="1" applyProtection="1">
      <protection locked="0"/>
    </xf>
    <xf numFmtId="170" fontId="169" fillId="0" borderId="24" xfId="2" applyNumberFormat="1" applyFont="1" applyFill="1" applyBorder="1" applyAlignment="1" applyProtection="1">
      <alignment horizontal="center"/>
      <protection locked="0"/>
    </xf>
    <xf numFmtId="170" fontId="169" fillId="0" borderId="0" xfId="2" applyNumberFormat="1" applyFont="1" applyFill="1" applyAlignment="1" applyProtection="1">
      <alignment horizontal="center"/>
      <protection locked="0"/>
    </xf>
    <xf numFmtId="170" fontId="61" fillId="0" borderId="10" xfId="2" quotePrefix="1" applyNumberFormat="1" applyFont="1" applyFill="1" applyBorder="1" applyAlignment="1">
      <alignment horizontal="center"/>
    </xf>
    <xf numFmtId="170" fontId="168" fillId="0" borderId="10" xfId="2" quotePrefix="1" applyNumberFormat="1" applyFont="1" applyFill="1" applyBorder="1" applyAlignment="1">
      <alignment horizontal="right"/>
    </xf>
    <xf numFmtId="170" fontId="168" fillId="0" borderId="0" xfId="2" applyNumberFormat="1" applyFont="1" applyFill="1" applyBorder="1" applyAlignment="1" applyProtection="1">
      <protection locked="0"/>
    </xf>
    <xf numFmtId="170" fontId="169" fillId="0" borderId="24" xfId="2" applyNumberFormat="1" applyFont="1" applyFill="1" applyBorder="1" applyAlignment="1">
      <alignment horizontal="center"/>
    </xf>
    <xf numFmtId="170" fontId="169" fillId="0" borderId="0" xfId="2" applyNumberFormat="1" applyFont="1" applyFill="1" applyBorder="1" applyAlignment="1">
      <alignment horizontal="center"/>
    </xf>
    <xf numFmtId="170" fontId="168" fillId="0" borderId="20" xfId="2" quotePrefix="1" applyNumberFormat="1" applyFont="1" applyFill="1" applyBorder="1" applyAlignment="1">
      <alignment horizontal="center"/>
    </xf>
    <xf numFmtId="170" fontId="168" fillId="0" borderId="24" xfId="2" applyNumberFormat="1" applyFont="1" applyFill="1" applyBorder="1" applyAlignment="1" applyProtection="1">
      <alignment horizontal="right"/>
      <protection locked="0"/>
    </xf>
    <xf numFmtId="170" fontId="168" fillId="0" borderId="0" xfId="2" applyNumberFormat="1" applyFont="1" applyFill="1" applyBorder="1" applyAlignment="1" applyProtection="1">
      <alignment horizontal="right"/>
      <protection locked="0"/>
    </xf>
    <xf numFmtId="170" fontId="168" fillId="0" borderId="18" xfId="2" applyNumberFormat="1" applyFont="1" applyFill="1" applyBorder="1" applyAlignment="1"/>
    <xf numFmtId="174" fontId="168" fillId="0" borderId="20" xfId="2" applyNumberFormat="1" applyFont="1" applyFill="1" applyBorder="1" applyAlignment="1"/>
    <xf numFmtId="174" fontId="168" fillId="0" borderId="18" xfId="2" applyNumberFormat="1" applyFont="1" applyFill="1" applyBorder="1" applyAlignment="1"/>
    <xf numFmtId="170" fontId="61" fillId="0" borderId="24" xfId="2" applyNumberFormat="1" applyFont="1" applyFill="1" applyBorder="1" applyAlignment="1" applyProtection="1">
      <alignment horizontal="center"/>
      <protection locked="0"/>
    </xf>
    <xf numFmtId="170" fontId="61" fillId="0" borderId="0" xfId="2" applyNumberFormat="1" applyFont="1" applyFill="1" applyAlignment="1" applyProtection="1">
      <alignment horizontal="center"/>
      <protection locked="0"/>
    </xf>
    <xf numFmtId="170" fontId="61" fillId="0" borderId="66" xfId="2" quotePrefix="1" applyNumberFormat="1" applyFont="1" applyFill="1" applyBorder="1" applyAlignment="1">
      <alignment horizontal="right"/>
    </xf>
    <xf numFmtId="170" fontId="66" fillId="0" borderId="0" xfId="2" applyNumberFormat="1" applyFont="1" applyFill="1" applyBorder="1" applyAlignment="1" applyProtection="1">
      <protection locked="0"/>
    </xf>
    <xf numFmtId="170" fontId="66" fillId="0" borderId="24" xfId="2" applyNumberFormat="1" applyFont="1" applyFill="1" applyBorder="1" applyAlignment="1" applyProtection="1">
      <alignment horizontal="right"/>
      <protection locked="0"/>
    </xf>
    <xf numFmtId="170" fontId="66" fillId="0" borderId="0" xfId="2" applyNumberFormat="1" applyFont="1" applyFill="1" applyBorder="1" applyAlignment="1" applyProtection="1">
      <alignment horizontal="right"/>
      <protection locked="0"/>
    </xf>
    <xf numFmtId="170" fontId="66" fillId="0" borderId="18" xfId="2" applyNumberFormat="1" applyFont="1" applyFill="1" applyBorder="1" applyAlignment="1"/>
    <xf numFmtId="174" fontId="66" fillId="0" borderId="18" xfId="2" applyNumberFormat="1" applyFont="1" applyFill="1" applyBorder="1" applyAlignment="1"/>
    <xf numFmtId="174" fontId="66" fillId="0" borderId="35" xfId="2" applyNumberFormat="1" applyFont="1" applyFill="1" applyBorder="1" applyAlignment="1"/>
    <xf numFmtId="0" fontId="49" fillId="0" borderId="0" xfId="0" applyNumberFormat="1" applyFont="1" applyFill="1" applyBorder="1" applyAlignment="1" applyProtection="1">
      <alignment horizontal="left"/>
    </xf>
    <xf numFmtId="166" fontId="49" fillId="0" borderId="0" xfId="8" applyNumberFormat="1" applyFont="1" applyAlignment="1">
      <alignment horizontal="right" vertical="top"/>
    </xf>
    <xf numFmtId="191" fontId="49" fillId="0" borderId="0" xfId="8" applyNumberFormat="1" applyFont="1" applyAlignment="1">
      <alignment horizontal="right"/>
    </xf>
    <xf numFmtId="7" fontId="44" fillId="0" borderId="0" xfId="25863" applyNumberFormat="1" applyFont="1" applyFill="1" applyBorder="1" applyAlignment="1">
      <alignment horizontal="center"/>
    </xf>
    <xf numFmtId="0" fontId="201" fillId="0" borderId="0" xfId="25863" applyFont="1" applyFill="1" applyBorder="1" applyAlignment="1">
      <alignment horizontal="left"/>
    </xf>
    <xf numFmtId="7" fontId="37" fillId="0" borderId="0" xfId="25863" applyNumberFormat="1" applyFont="1" applyFill="1"/>
    <xf numFmtId="0" fontId="148" fillId="0" borderId="0" xfId="25864" applyFont="1" applyFill="1" applyBorder="1">
      <alignment horizontal="right"/>
    </xf>
    <xf numFmtId="7" fontId="37" fillId="0" borderId="0" xfId="25864" applyNumberFormat="1" applyFont="1" applyFill="1" applyBorder="1">
      <alignment horizontal="right"/>
    </xf>
    <xf numFmtId="0" fontId="37" fillId="0" borderId="0" xfId="25864" applyFont="1" applyFill="1" applyBorder="1">
      <alignment horizontal="right"/>
    </xf>
    <xf numFmtId="44" fontId="37" fillId="0" borderId="0" xfId="25874" applyNumberFormat="1" applyFont="1" applyFill="1" applyBorder="1"/>
    <xf numFmtId="44" fontId="44" fillId="0" borderId="0" xfId="25874" applyNumberFormat="1" applyFont="1" applyFill="1" applyBorder="1"/>
    <xf numFmtId="43" fontId="44" fillId="0" borderId="0" xfId="25874" applyNumberFormat="1" applyFont="1" applyFill="1" applyBorder="1" applyAlignment="1">
      <alignment horizontal="right"/>
    </xf>
    <xf numFmtId="43" fontId="148" fillId="0" borderId="0" xfId="25863" applyNumberFormat="1" applyFont="1" applyFill="1" applyBorder="1" applyAlignment="1">
      <alignment horizontal="left"/>
    </xf>
    <xf numFmtId="0" fontId="35" fillId="0" borderId="0" xfId="25863" applyFont="1" applyFill="1" applyBorder="1" applyAlignment="1">
      <alignment horizontal="left"/>
    </xf>
    <xf numFmtId="177" fontId="37" fillId="0" borderId="0" xfId="1776" applyNumberFormat="1" applyBorder="1" applyAlignment="1"/>
    <xf numFmtId="164" fontId="110" fillId="0" borderId="103" xfId="0" applyFont="1" applyFill="1" applyBorder="1" applyAlignment="1">
      <alignment horizontal="left"/>
    </xf>
    <xf numFmtId="4" fontId="110" fillId="0" borderId="0" xfId="0" applyNumberFormat="1" applyFont="1" applyFill="1" applyBorder="1"/>
    <xf numFmtId="43" fontId="110" fillId="0" borderId="103" xfId="0" applyNumberFormat="1" applyFont="1" applyFill="1" applyBorder="1"/>
    <xf numFmtId="164" fontId="49" fillId="0" borderId="0" xfId="0" applyFont="1" applyAlignment="1">
      <alignment horizontal="left"/>
    </xf>
    <xf numFmtId="0" fontId="49" fillId="0" borderId="0" xfId="0" applyNumberFormat="1" applyFont="1"/>
    <xf numFmtId="168" fontId="37" fillId="0" borderId="0" xfId="2" applyNumberFormat="1" applyFont="1" applyBorder="1" applyAlignment="1" applyProtection="1"/>
    <xf numFmtId="43" fontId="167" fillId="0" borderId="0" xfId="0" applyNumberFormat="1" applyFont="1" applyAlignment="1"/>
    <xf numFmtId="42" fontId="37" fillId="0" borderId="0" xfId="0" quotePrefix="1" applyNumberFormat="1" applyFont="1" applyFill="1" applyBorder="1" applyAlignment="1"/>
    <xf numFmtId="41" fontId="37" fillId="0" borderId="0" xfId="0" quotePrefix="1" applyNumberFormat="1" applyFont="1" applyFill="1" applyBorder="1" applyAlignment="1"/>
    <xf numFmtId="41" fontId="37" fillId="0" borderId="0" xfId="0" quotePrefix="1" applyNumberFormat="1" applyFont="1" applyFill="1" applyBorder="1" applyAlignment="1">
      <alignment horizontal="center"/>
    </xf>
    <xf numFmtId="41" fontId="37" fillId="0" borderId="0" xfId="0" applyNumberFormat="1" applyFont="1" applyFill="1" applyBorder="1" applyAlignment="1">
      <alignment horizontal="center"/>
    </xf>
    <xf numFmtId="41" fontId="44" fillId="0" borderId="107" xfId="739" applyNumberFormat="1" applyFont="1" applyFill="1" applyBorder="1" applyAlignment="1"/>
    <xf numFmtId="164" fontId="61" fillId="0" borderId="0" xfId="0" applyFont="1" applyFill="1"/>
    <xf numFmtId="41" fontId="37" fillId="0" borderId="66" xfId="0" quotePrefix="1" applyNumberFormat="1" applyFont="1" applyFill="1" applyBorder="1" applyAlignment="1">
      <alignment horizontal="center"/>
    </xf>
    <xf numFmtId="39" fontId="208" fillId="0" borderId="0" xfId="0" applyNumberFormat="1" applyFont="1" applyFill="1" applyAlignment="1"/>
    <xf numFmtId="39" fontId="208" fillId="0" borderId="0" xfId="0" applyNumberFormat="1" applyFont="1" applyFill="1" applyBorder="1" applyAlignment="1"/>
    <xf numFmtId="39" fontId="208" fillId="0" borderId="10" xfId="0" applyNumberFormat="1" applyFont="1" applyFill="1" applyBorder="1" applyAlignment="1">
      <alignment horizontal="right"/>
    </xf>
    <xf numFmtId="39" fontId="37" fillId="0" borderId="0" xfId="0" applyNumberFormat="1" applyFont="1" applyFill="1" applyAlignment="1">
      <alignment horizontal="right"/>
    </xf>
    <xf numFmtId="39" fontId="37" fillId="0" borderId="0" xfId="0" applyNumberFormat="1" applyFont="1" applyFill="1" applyAlignment="1"/>
    <xf numFmtId="39" fontId="37" fillId="0" borderId="0" xfId="0" applyNumberFormat="1" applyFont="1" applyFill="1" applyBorder="1" applyAlignment="1"/>
    <xf numFmtId="43" fontId="208" fillId="0" borderId="0" xfId="0" applyNumberFormat="1" applyFont="1" applyFill="1" applyBorder="1" applyAlignment="1"/>
    <xf numFmtId="43" fontId="37" fillId="0" borderId="0" xfId="0" applyNumberFormat="1" applyFont="1" applyFill="1" applyAlignment="1">
      <alignment horizontal="right"/>
    </xf>
    <xf numFmtId="170" fontId="44" fillId="0" borderId="10" xfId="0" applyNumberFormat="1" applyFont="1" applyFill="1" applyBorder="1" applyAlignment="1" applyProtection="1">
      <alignment horizontal="center"/>
    </xf>
    <xf numFmtId="170" fontId="44" fillId="0" borderId="18" xfId="0" applyNumberFormat="1" applyFont="1" applyFill="1" applyBorder="1" applyAlignment="1" applyProtection="1"/>
    <xf numFmtId="41" fontId="167" fillId="0" borderId="0" xfId="0" applyNumberFormat="1" applyFont="1" applyFill="1" applyAlignment="1">
      <alignment horizontal="right"/>
    </xf>
    <xf numFmtId="42" fontId="42" fillId="0" borderId="0" xfId="5508" applyNumberFormat="1" applyFont="1" applyFill="1" applyBorder="1"/>
    <xf numFmtId="200" fontId="37" fillId="0" borderId="0" xfId="0" applyNumberFormat="1" applyFont="1" applyFill="1" applyBorder="1" applyAlignment="1" applyProtection="1"/>
    <xf numFmtId="170" fontId="44" fillId="0" borderId="93" xfId="0" applyNumberFormat="1" applyFont="1" applyFill="1" applyBorder="1" applyAlignment="1" applyProtection="1"/>
    <xf numFmtId="165" fontId="44" fillId="0" borderId="21" xfId="0" applyNumberFormat="1" applyFont="1" applyFill="1" applyBorder="1" applyAlignment="1" applyProtection="1"/>
    <xf numFmtId="165" fontId="44" fillId="0" borderId="14" xfId="0" applyNumberFormat="1" applyFont="1" applyFill="1" applyBorder="1" applyAlignment="1" applyProtection="1"/>
    <xf numFmtId="174" fontId="44" fillId="0" borderId="81" xfId="0" applyNumberFormat="1" applyFont="1" applyFill="1" applyBorder="1" applyAlignment="1" applyProtection="1"/>
    <xf numFmtId="174" fontId="44" fillId="0" borderId="0" xfId="0" applyNumberFormat="1" applyFont="1" applyFill="1" applyAlignment="1" applyProtection="1">
      <alignment horizontal="center"/>
    </xf>
    <xf numFmtId="174" fontId="44" fillId="0" borderId="26" xfId="0" applyNumberFormat="1" applyFont="1" applyFill="1" applyBorder="1" applyAlignment="1" applyProtection="1"/>
    <xf numFmtId="174" fontId="44" fillId="0" borderId="93" xfId="0" applyNumberFormat="1" applyFont="1" applyFill="1" applyBorder="1" applyAlignment="1" applyProtection="1"/>
    <xf numFmtId="0" fontId="194" fillId="0" borderId="0" xfId="25863" applyFont="1" applyFill="1" applyBorder="1" applyAlignment="1">
      <alignment horizontal="left"/>
    </xf>
    <xf numFmtId="0" fontId="194" fillId="0" borderId="0" xfId="25863" applyFont="1" applyFill="1" applyAlignment="1">
      <alignment horizontal="left"/>
    </xf>
    <xf numFmtId="0" fontId="66" fillId="0" borderId="0" xfId="25863" quotePrefix="1" applyNumberFormat="1" applyFont="1" applyFill="1" applyAlignment="1">
      <alignment horizontal="left"/>
    </xf>
    <xf numFmtId="0" fontId="38" fillId="0" borderId="0" xfId="25863" quotePrefix="1" applyNumberFormat="1" applyFont="1" applyFill="1" applyAlignment="1">
      <alignment horizontal="left"/>
    </xf>
    <xf numFmtId="0" fontId="148" fillId="0" borderId="0" xfId="25863" applyFont="1" applyFill="1" applyBorder="1" applyAlignment="1">
      <alignment horizontal="left"/>
    </xf>
    <xf numFmtId="0" fontId="44" fillId="0" borderId="0" xfId="25865" applyFont="1" applyFill="1"/>
    <xf numFmtId="37" fontId="148" fillId="0" borderId="0" xfId="25864" applyNumberFormat="1" applyFont="1" applyFill="1" applyBorder="1">
      <alignment horizontal="right"/>
    </xf>
    <xf numFmtId="0" fontId="0" fillId="0" borderId="0" xfId="25864" applyFont="1" applyFill="1" applyBorder="1">
      <alignment horizontal="right"/>
    </xf>
    <xf numFmtId="0" fontId="48" fillId="0" borderId="0" xfId="25866" applyFont="1" applyFill="1" applyBorder="1" applyAlignment="1">
      <alignment horizontal="left"/>
    </xf>
    <xf numFmtId="0" fontId="37" fillId="0" borderId="0" xfId="25866" applyFont="1" applyFill="1"/>
    <xf numFmtId="44" fontId="44" fillId="0" borderId="0" xfId="25868" applyFont="1" applyFill="1" applyBorder="1"/>
    <xf numFmtId="0" fontId="0" fillId="0" borderId="0" xfId="25866" applyFont="1" applyFill="1"/>
    <xf numFmtId="44" fontId="0" fillId="0" borderId="0" xfId="25866" applyNumberFormat="1" applyFont="1" applyFill="1"/>
    <xf numFmtId="43" fontId="37" fillId="0" borderId="0" xfId="25869" applyNumberFormat="1" applyFont="1" applyFill="1" applyBorder="1"/>
    <xf numFmtId="0" fontId="165" fillId="0" borderId="0" xfId="25866" applyFont="1" applyFill="1"/>
    <xf numFmtId="0" fontId="44" fillId="0" borderId="0" xfId="25871" applyFont="1" applyFill="1"/>
    <xf numFmtId="43" fontId="44" fillId="0" borderId="103" xfId="25868" applyNumberFormat="1" applyFont="1" applyFill="1" applyBorder="1" applyAlignment="1">
      <alignment horizontal="right"/>
    </xf>
    <xf numFmtId="44" fontId="44" fillId="0" borderId="0" xfId="25868" applyNumberFormat="1" applyFont="1" applyFill="1" applyBorder="1" applyAlignment="1">
      <alignment horizontal="right"/>
    </xf>
    <xf numFmtId="44" fontId="0" fillId="0" borderId="0" xfId="0" applyNumberFormat="1" applyFill="1" applyAlignment="1"/>
    <xf numFmtId="0" fontId="167" fillId="0" borderId="0" xfId="25872" applyFont="1" applyFill="1" applyBorder="1" applyAlignment="1">
      <alignment horizontal="left" wrapText="1"/>
    </xf>
    <xf numFmtId="0" fontId="148" fillId="0" borderId="0" xfId="25872" applyFont="1" applyFill="1" applyBorder="1"/>
    <xf numFmtId="44" fontId="48" fillId="0" borderId="0" xfId="25872" applyNumberFormat="1" applyFont="1" applyFill="1" applyBorder="1" applyAlignment="1">
      <alignment horizontal="left"/>
    </xf>
    <xf numFmtId="44" fontId="44" fillId="0" borderId="87" xfId="25868" applyNumberFormat="1" applyFont="1" applyFill="1" applyBorder="1"/>
    <xf numFmtId="0" fontId="110" fillId="0" borderId="0" xfId="25863" applyFont="1" applyFill="1" applyBorder="1" applyAlignment="1">
      <alignment horizontal="left"/>
    </xf>
    <xf numFmtId="171" fontId="110" fillId="0" borderId="0" xfId="25863" applyNumberFormat="1" applyFont="1" applyFill="1" applyBorder="1" applyAlignment="1">
      <alignment horizontal="left"/>
    </xf>
    <xf numFmtId="0" fontId="205" fillId="0" borderId="0" xfId="25863" applyFont="1" applyFill="1" applyBorder="1" applyAlignment="1">
      <alignment horizontal="left" vertical="top"/>
    </xf>
    <xf numFmtId="44" fontId="110" fillId="0" borderId="0" xfId="25863" applyNumberFormat="1" applyFont="1" applyFill="1" applyBorder="1" applyAlignment="1">
      <alignment horizontal="left"/>
    </xf>
    <xf numFmtId="43" fontId="110" fillId="0" borderId="0" xfId="25863" applyNumberFormat="1" applyFont="1" applyFill="1" applyBorder="1" applyAlignment="1">
      <alignment horizontal="left"/>
    </xf>
    <xf numFmtId="44" fontId="42" fillId="0" borderId="0" xfId="25863" applyNumberFormat="1" applyFont="1" applyFill="1"/>
    <xf numFmtId="0" fontId="167" fillId="0" borderId="0" xfId="25863" applyFont="1" applyFill="1" applyBorder="1" applyAlignment="1">
      <alignment horizontal="left" vertical="top"/>
    </xf>
    <xf numFmtId="43" fontId="165" fillId="0" borderId="0" xfId="25872" applyNumberFormat="1" applyFont="1" applyFill="1" applyBorder="1" applyAlignment="1">
      <alignment horizontal="left"/>
    </xf>
    <xf numFmtId="44" fontId="165" fillId="0" borderId="0" xfId="25872" applyNumberFormat="1" applyFont="1" applyFill="1" applyBorder="1" applyAlignment="1">
      <alignment horizontal="left"/>
    </xf>
    <xf numFmtId="43" fontId="101" fillId="0" borderId="0" xfId="0" applyNumberFormat="1" applyFont="1" applyFill="1" applyAlignment="1">
      <alignment vertical="top" wrapText="1"/>
    </xf>
    <xf numFmtId="44" fontId="165" fillId="0" borderId="0" xfId="25873" applyNumberFormat="1" applyFont="1" applyFill="1" applyBorder="1" applyAlignment="1">
      <alignment horizontal="left"/>
    </xf>
    <xf numFmtId="43" fontId="165" fillId="0" borderId="0" xfId="25872" applyNumberFormat="1" applyFont="1" applyFill="1" applyBorder="1"/>
    <xf numFmtId="0" fontId="167" fillId="0" borderId="0" xfId="25863" applyFont="1" applyFill="1" applyBorder="1" applyAlignment="1">
      <alignment horizontal="left" vertical="top" wrapText="1"/>
    </xf>
    <xf numFmtId="43" fontId="42" fillId="0" borderId="0" xfId="25863" applyNumberFormat="1" applyFont="1" applyFill="1"/>
    <xf numFmtId="43" fontId="35" fillId="0" borderId="0" xfId="25863" applyNumberFormat="1" applyFont="1" applyFill="1" applyBorder="1" applyAlignment="1">
      <alignment horizontal="left"/>
    </xf>
    <xf numFmtId="43" fontId="193" fillId="0" borderId="0" xfId="25863" applyNumberFormat="1" applyFill="1"/>
    <xf numFmtId="44" fontId="35" fillId="0" borderId="0" xfId="25863" applyNumberFormat="1" applyFont="1" applyFill="1" applyBorder="1" applyAlignment="1">
      <alignment horizontal="left"/>
    </xf>
    <xf numFmtId="44" fontId="35" fillId="0" borderId="0" xfId="25863" applyNumberFormat="1" applyFont="1" applyFill="1" applyAlignment="1">
      <alignment horizontal="left" vertical="top"/>
    </xf>
    <xf numFmtId="44" fontId="193" fillId="0" borderId="0" xfId="25863" applyNumberFormat="1" applyFill="1"/>
    <xf numFmtId="0" fontId="196" fillId="0" borderId="0" xfId="25863" quotePrefix="1" applyNumberFormat="1" applyFont="1" applyFill="1" applyAlignment="1">
      <alignment horizontal="left"/>
    </xf>
    <xf numFmtId="0" fontId="48" fillId="0" borderId="0" xfId="25863" applyFont="1" applyFill="1" applyBorder="1" applyAlignment="1">
      <alignment horizontal="left"/>
    </xf>
    <xf numFmtId="0" fontId="202" fillId="0" borderId="0" xfId="25863" applyFont="1" applyFill="1" applyBorder="1" applyAlignment="1">
      <alignment horizontal="center"/>
    </xf>
    <xf numFmtId="43" fontId="0" fillId="0" borderId="0" xfId="25864" applyNumberFormat="1" applyFont="1" applyFill="1" applyBorder="1">
      <alignment horizontal="right"/>
    </xf>
    <xf numFmtId="44" fontId="0" fillId="0" borderId="0" xfId="0" applyNumberFormat="1" applyFill="1"/>
    <xf numFmtId="0" fontId="201" fillId="0" borderId="0" xfId="25863" applyFont="1" applyFill="1" applyBorder="1"/>
    <xf numFmtId="44" fontId="37" fillId="0" borderId="0" xfId="0" applyNumberFormat="1" applyFont="1" applyFill="1"/>
    <xf numFmtId="0" fontId="206" fillId="0" borderId="0" xfId="25863" applyFont="1" applyFill="1"/>
    <xf numFmtId="0" fontId="167" fillId="0" borderId="0" xfId="25863" applyFont="1" applyFill="1" applyBorder="1" applyAlignment="1">
      <alignment horizontal="left"/>
    </xf>
    <xf numFmtId="43" fontId="167" fillId="0" borderId="0" xfId="25869" applyFont="1" applyFill="1" applyBorder="1" applyAlignment="1">
      <alignment horizontal="left"/>
    </xf>
    <xf numFmtId="170" fontId="39" fillId="0" borderId="10" xfId="2" applyNumberFormat="1" applyFont="1" applyFill="1" applyBorder="1" applyAlignment="1"/>
    <xf numFmtId="170" fontId="44" fillId="0" borderId="10" xfId="1" applyNumberFormat="1" applyFont="1" applyFill="1" applyBorder="1" applyAlignment="1"/>
    <xf numFmtId="166" fontId="44" fillId="0" borderId="0" xfId="0" applyNumberFormat="1" applyFont="1" applyFill="1" applyBorder="1" applyAlignment="1" applyProtection="1">
      <alignment horizontal="center"/>
    </xf>
    <xf numFmtId="164" fontId="41" fillId="0" borderId="0" xfId="0" applyFont="1" applyFill="1" applyBorder="1" applyAlignment="1" applyProtection="1">
      <alignment horizontal="left"/>
    </xf>
    <xf numFmtId="0" fontId="39" fillId="0" borderId="0" xfId="2" applyFont="1" applyFill="1" applyBorder="1" applyAlignment="1"/>
    <xf numFmtId="0" fontId="44" fillId="0" borderId="10" xfId="2" quotePrefix="1" applyNumberFormat="1" applyFont="1" applyFill="1" applyBorder="1" applyAlignment="1">
      <alignment horizontal="center"/>
    </xf>
    <xf numFmtId="170" fontId="39" fillId="0" borderId="0" xfId="0" quotePrefix="1" applyNumberFormat="1" applyFont="1" applyFill="1" applyBorder="1" applyAlignment="1" applyProtection="1">
      <alignment horizontal="center"/>
    </xf>
    <xf numFmtId="165" fontId="47" fillId="0" borderId="0" xfId="0" applyNumberFormat="1" applyFont="1" applyFill="1" applyBorder="1" applyAlignment="1" applyProtection="1"/>
    <xf numFmtId="165" fontId="45" fillId="0" borderId="0" xfId="0" applyNumberFormat="1" applyFont="1" applyFill="1" applyBorder="1" applyAlignment="1" applyProtection="1"/>
    <xf numFmtId="165" fontId="145" fillId="0" borderId="0" xfId="0" applyNumberFormat="1" applyFont="1" applyFill="1" applyBorder="1" applyAlignment="1" applyProtection="1"/>
    <xf numFmtId="165" fontId="46" fillId="0" borderId="0" xfId="0" applyNumberFormat="1" applyFont="1" applyFill="1" applyBorder="1" applyAlignment="1" applyProtection="1"/>
    <xf numFmtId="170" fontId="37" fillId="0" borderId="20" xfId="0" quotePrefix="1" applyNumberFormat="1" applyFont="1" applyFill="1" applyBorder="1" applyAlignment="1" applyProtection="1">
      <alignment horizontal="center"/>
    </xf>
    <xf numFmtId="170" fontId="59" fillId="0" borderId="66" xfId="2" applyNumberFormat="1" applyFont="1" applyFill="1" applyBorder="1" applyAlignment="1"/>
    <xf numFmtId="170" fontId="39" fillId="0" borderId="66" xfId="2" applyNumberFormat="1" applyFont="1" applyFill="1" applyBorder="1" applyAlignment="1"/>
    <xf numFmtId="170" fontId="59" fillId="0" borderId="20" xfId="2" applyNumberFormat="1" applyFont="1" applyFill="1" applyBorder="1" applyAlignment="1" applyProtection="1"/>
    <xf numFmtId="170" fontId="44" fillId="0" borderId="95" xfId="0" quotePrefix="1" applyNumberFormat="1" applyFont="1" applyFill="1" applyBorder="1" applyAlignment="1" applyProtection="1"/>
    <xf numFmtId="166" fontId="59" fillId="0" borderId="0" xfId="2" applyNumberFormat="1" applyFont="1" applyFill="1" applyAlignment="1" applyProtection="1">
      <alignment horizontal="right"/>
    </xf>
    <xf numFmtId="170" fontId="137" fillId="0" borderId="0" xfId="2" applyNumberFormat="1" applyFont="1" applyFill="1" applyBorder="1" applyAlignment="1" applyProtection="1"/>
    <xf numFmtId="170" fontId="59" fillId="0" borderId="0" xfId="2" applyNumberFormat="1" applyFont="1" applyFill="1" applyAlignment="1" applyProtection="1">
      <alignment horizontal="center"/>
    </xf>
    <xf numFmtId="170" fontId="59" fillId="0" borderId="66" xfId="2" applyNumberFormat="1" applyFont="1" applyFill="1" applyBorder="1" applyAlignment="1" applyProtection="1">
      <alignment horizontal="center"/>
    </xf>
    <xf numFmtId="0" fontId="0" fillId="0" borderId="0" xfId="0" applyNumberFormat="1" applyFont="1" applyFill="1" applyBorder="1" applyAlignment="1" applyProtection="1">
      <alignment horizontal="left"/>
    </xf>
    <xf numFmtId="191" fontId="139" fillId="0" borderId="0" xfId="8" applyNumberFormat="1" applyFont="1"/>
    <xf numFmtId="43" fontId="0" fillId="0" borderId="0" xfId="25866" applyNumberFormat="1" applyFont="1" applyFill="1"/>
    <xf numFmtId="170" fontId="48" fillId="0" borderId="0" xfId="2" applyNumberFormat="1" applyFont="1" applyFill="1" applyAlignment="1" applyProtection="1"/>
    <xf numFmtId="170" fontId="48" fillId="0" borderId="0" xfId="2" applyNumberFormat="1" applyFont="1" applyFill="1" applyAlignment="1">
      <alignment horizontal="right"/>
    </xf>
    <xf numFmtId="43" fontId="48" fillId="0" borderId="0" xfId="1767" applyNumberFormat="1" applyFont="1" applyFill="1" applyAlignment="1" applyProtection="1">
      <alignment horizontal="right"/>
    </xf>
    <xf numFmtId="201" fontId="35" fillId="0" borderId="0" xfId="25863" applyNumberFormat="1" applyFont="1" applyFill="1" applyBorder="1" applyAlignment="1">
      <alignment horizontal="left"/>
    </xf>
    <xf numFmtId="39" fontId="44" fillId="0" borderId="0" xfId="1776" applyNumberFormat="1" applyFont="1" applyAlignment="1"/>
    <xf numFmtId="164" fontId="0" fillId="0" borderId="0" xfId="0" applyAlignment="1"/>
    <xf numFmtId="39" fontId="0" fillId="0" borderId="0" xfId="0" applyNumberFormat="1" applyAlignment="1"/>
    <xf numFmtId="39" fontId="37" fillId="0" borderId="0" xfId="1776" applyNumberFormat="1" applyFont="1" applyFill="1" applyBorder="1" applyAlignment="1" applyProtection="1"/>
    <xf numFmtId="39" fontId="44" fillId="0" borderId="0" xfId="1776" applyNumberFormat="1" applyFont="1" applyFill="1" applyBorder="1" applyAlignment="1">
      <alignment horizontal="left"/>
    </xf>
    <xf numFmtId="43" fontId="165" fillId="0" borderId="0" xfId="25866" applyNumberFormat="1" applyFont="1" applyFill="1"/>
    <xf numFmtId="170" fontId="37" fillId="0" borderId="0" xfId="4" applyNumberFormat="1" applyFont="1" applyFill="1" applyProtection="1"/>
    <xf numFmtId="42" fontId="42" fillId="0" borderId="0" xfId="0" applyNumberFormat="1" applyFont="1" applyFill="1"/>
    <xf numFmtId="170" fontId="37" fillId="0" borderId="15" xfId="4" applyNumberFormat="1" applyFont="1" applyFill="1" applyBorder="1" applyProtection="1"/>
    <xf numFmtId="170" fontId="37" fillId="0" borderId="0" xfId="4" applyNumberFormat="1" applyFont="1" applyFill="1" applyBorder="1" applyProtection="1"/>
    <xf numFmtId="7" fontId="42" fillId="0" borderId="0" xfId="25863" applyNumberFormat="1" applyFont="1" applyFill="1"/>
    <xf numFmtId="43" fontId="37" fillId="0" borderId="0" xfId="25872" applyNumberFormat="1" applyFont="1" applyFill="1" applyBorder="1"/>
    <xf numFmtId="43" fontId="167" fillId="0" borderId="0" xfId="0" applyNumberFormat="1" applyFont="1" applyFill="1" applyAlignment="1"/>
    <xf numFmtId="44" fontId="167" fillId="0" borderId="0" xfId="0" applyNumberFormat="1" applyFont="1" applyAlignment="1"/>
    <xf numFmtId="43" fontId="37" fillId="0" borderId="0" xfId="0" applyNumberFormat="1" applyFont="1" applyFill="1" applyAlignment="1">
      <alignment horizontal="right" wrapText="1"/>
    </xf>
    <xf numFmtId="43" fontId="48" fillId="0" borderId="0" xfId="25872" applyNumberFormat="1" applyFont="1" applyFill="1" applyBorder="1" applyAlignment="1">
      <alignment horizontal="left"/>
    </xf>
    <xf numFmtId="43" fontId="48" fillId="0" borderId="0" xfId="25876" applyNumberFormat="1" applyFont="1" applyFill="1" applyAlignment="1">
      <alignment horizontal="right"/>
    </xf>
    <xf numFmtId="43" fontId="48" fillId="0" borderId="0" xfId="25876" applyNumberFormat="1" applyFont="1" applyFill="1" applyBorder="1" applyAlignment="1"/>
    <xf numFmtId="43" fontId="48" fillId="0" borderId="0" xfId="25872" applyNumberFormat="1" applyFont="1" applyFill="1" applyBorder="1"/>
    <xf numFmtId="43" fontId="48" fillId="0" borderId="0" xfId="4579" applyNumberFormat="1" applyFont="1" applyFill="1" applyAlignment="1">
      <alignment wrapText="1"/>
    </xf>
    <xf numFmtId="37" fontId="48" fillId="0" borderId="0" xfId="25872" applyNumberFormat="1" applyFont="1" applyFill="1" applyBorder="1" applyAlignment="1">
      <alignment horizontal="left"/>
    </xf>
    <xf numFmtId="37" fontId="48" fillId="0" borderId="0" xfId="25872" applyNumberFormat="1" applyFont="1" applyFill="1" applyBorder="1"/>
    <xf numFmtId="43" fontId="37" fillId="0" borderId="0" xfId="25873" applyNumberFormat="1" applyFont="1" applyFill="1" applyBorder="1"/>
    <xf numFmtId="43" fontId="37" fillId="0" borderId="0" xfId="25872" applyNumberFormat="1" applyFont="1" applyFill="1" applyBorder="1" applyAlignment="1"/>
    <xf numFmtId="43" fontId="37" fillId="0" borderId="0" xfId="25873" applyNumberFormat="1" applyFont="1" applyFill="1" applyBorder="1" applyAlignment="1">
      <alignment horizontal="left"/>
    </xf>
    <xf numFmtId="44" fontId="37" fillId="0" borderId="0" xfId="25873" applyNumberFormat="1" applyFont="1" applyFill="1" applyBorder="1" applyAlignment="1">
      <alignment horizontal="left"/>
    </xf>
    <xf numFmtId="7" fontId="37" fillId="0" borderId="0" xfId="25872" applyNumberFormat="1" applyFont="1" applyFill="1" applyBorder="1"/>
    <xf numFmtId="166" fontId="49" fillId="0" borderId="0" xfId="8" quotePrefix="1" applyNumberFormat="1" applyFont="1" applyFill="1" applyAlignment="1"/>
    <xf numFmtId="166" fontId="49" fillId="0" borderId="0" xfId="8" applyNumberFormat="1" applyFont="1" applyFill="1" applyAlignment="1">
      <alignment horizontal="right"/>
    </xf>
    <xf numFmtId="4" fontId="65" fillId="0" borderId="0" xfId="2" applyNumberFormat="1" applyFont="1" applyAlignment="1" applyProtection="1"/>
    <xf numFmtId="177" fontId="48" fillId="0" borderId="0" xfId="1767" applyNumberFormat="1" applyFont="1" applyFill="1" applyAlignment="1">
      <alignment horizontal="left"/>
    </xf>
    <xf numFmtId="186" fontId="43" fillId="0" borderId="68" xfId="860" quotePrefix="1" applyNumberFormat="1" applyFont="1" applyBorder="1" applyAlignment="1">
      <alignment horizontal="centerContinuous" vertical="center"/>
    </xf>
    <xf numFmtId="0" fontId="42" fillId="0" borderId="0" xfId="860" applyNumberFormat="1" applyFont="1" applyAlignment="1">
      <alignment horizontal="centerContinuous" vertical="center"/>
    </xf>
    <xf numFmtId="37" fontId="66" fillId="0" borderId="68" xfId="860" applyNumberFormat="1" applyFont="1" applyBorder="1" applyAlignment="1">
      <alignment vertical="center"/>
    </xf>
    <xf numFmtId="0" fontId="42" fillId="0" borderId="0" xfId="860" applyNumberFormat="1" applyFont="1" applyAlignment="1">
      <alignment vertical="center"/>
    </xf>
    <xf numFmtId="37" fontId="42" fillId="0" borderId="0" xfId="2" applyNumberFormat="1" applyFont="1" applyFill="1" applyBorder="1" applyAlignment="1" applyProtection="1"/>
    <xf numFmtId="37" fontId="133" fillId="0" borderId="0" xfId="2" applyNumberFormat="1" applyFont="1" applyFill="1" applyAlignment="1" applyProtection="1"/>
    <xf numFmtId="37" fontId="42" fillId="0" borderId="0" xfId="2" applyNumberFormat="1" applyFont="1" applyAlignment="1" applyProtection="1"/>
    <xf numFmtId="166"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4" fontId="41" fillId="0" borderId="0" xfId="0" applyFont="1" applyBorder="1" applyAlignment="1" applyProtection="1">
      <alignment horizontal="left"/>
    </xf>
    <xf numFmtId="166" fontId="44" fillId="0" borderId="10" xfId="0" applyNumberFormat="1" applyFont="1" applyBorder="1" applyAlignment="1" applyProtection="1">
      <alignment horizontal="left"/>
    </xf>
    <xf numFmtId="164" fontId="37" fillId="0" borderId="10" xfId="0" applyFont="1" applyBorder="1" applyAlignment="1" applyProtection="1">
      <alignment horizontal="left"/>
    </xf>
    <xf numFmtId="166" fontId="44" fillId="0" borderId="0" xfId="0" applyNumberFormat="1" applyFont="1" applyFill="1" applyBorder="1" applyAlignment="1" applyProtection="1">
      <alignment horizontal="center"/>
    </xf>
    <xf numFmtId="166" fontId="44" fillId="0" borderId="0" xfId="0" applyNumberFormat="1" applyFont="1" applyBorder="1" applyAlignment="1" applyProtection="1">
      <alignment horizontal="center"/>
    </xf>
    <xf numFmtId="164" fontId="39" fillId="0" borderId="0" xfId="0" applyFont="1" applyBorder="1" applyAlignment="1" applyProtection="1">
      <alignment horizontal="center"/>
    </xf>
    <xf numFmtId="166" fontId="44" fillId="0" borderId="10" xfId="0" applyNumberFormat="1" applyFont="1" applyBorder="1" applyAlignment="1" applyProtection="1">
      <alignment horizontal="center"/>
    </xf>
    <xf numFmtId="39"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38" fillId="0" borderId="0" xfId="0" applyNumberFormat="1" applyFont="1" applyFill="1" applyBorder="1" applyAlignment="1" applyProtection="1">
      <alignment horizontal="left"/>
    </xf>
    <xf numFmtId="0" fontId="44" fillId="0" borderId="0" xfId="2" applyNumberFormat="1" applyFont="1" applyFill="1" applyAlignment="1">
      <alignment horizontal="right"/>
    </xf>
    <xf numFmtId="0" fontId="44" fillId="0" borderId="0" xfId="2" applyNumberFormat="1" applyFont="1" applyAlignment="1">
      <alignment horizontal="left"/>
    </xf>
    <xf numFmtId="0" fontId="44" fillId="0" borderId="66" xfId="2" applyNumberFormat="1" applyFont="1" applyBorder="1" applyAlignment="1">
      <alignment horizontal="center"/>
    </xf>
    <xf numFmtId="0" fontId="66" fillId="0" borderId="0" xfId="2" applyNumberFormat="1" applyFont="1" applyFill="1" applyAlignment="1" applyProtection="1">
      <alignment vertical="justify"/>
      <protection locked="0"/>
    </xf>
    <xf numFmtId="0" fontId="0" fillId="0" borderId="0" xfId="2" applyFont="1" applyFill="1" applyBorder="1" applyAlignment="1"/>
    <xf numFmtId="0" fontId="44" fillId="33" borderId="66" xfId="2" applyFont="1" applyFill="1" applyBorder="1" applyAlignment="1">
      <alignment horizontal="center"/>
    </xf>
    <xf numFmtId="0" fontId="66" fillId="0" borderId="0" xfId="2" applyNumberFormat="1" applyFont="1" applyFill="1" applyAlignment="1" applyProtection="1">
      <alignment vertical="justify"/>
    </xf>
    <xf numFmtId="0" fontId="0" fillId="0" borderId="0" xfId="2" applyFont="1" applyFill="1" applyBorder="1" applyAlignment="1" applyProtection="1"/>
    <xf numFmtId="0" fontId="44" fillId="0" borderId="66" xfId="2" applyFont="1" applyFill="1" applyBorder="1" applyAlignment="1">
      <alignment horizontal="center"/>
    </xf>
    <xf numFmtId="166" fontId="74" fillId="0" borderId="0" xfId="2" applyNumberFormat="1" applyFont="1" applyFill="1" applyAlignment="1">
      <alignment horizontal="right"/>
    </xf>
    <xf numFmtId="0" fontId="39" fillId="0" borderId="0" xfId="2" applyFont="1" applyFill="1" applyBorder="1" applyAlignment="1"/>
    <xf numFmtId="0" fontId="44" fillId="0" borderId="10" xfId="2" quotePrefix="1" applyNumberFormat="1" applyFont="1" applyFill="1" applyBorder="1" applyAlignment="1" applyProtection="1">
      <alignment horizontal="center"/>
      <protection locked="0"/>
    </xf>
    <xf numFmtId="0" fontId="44" fillId="0" borderId="10" xfId="2" applyNumberFormat="1" applyFont="1" applyFill="1" applyBorder="1" applyAlignment="1" applyProtection="1">
      <alignment horizontal="center"/>
      <protection locked="0"/>
    </xf>
    <xf numFmtId="166" fontId="74" fillId="0" borderId="0" xfId="2" applyNumberFormat="1" applyFont="1" applyFill="1" applyAlignment="1" applyProtection="1">
      <alignment horizontal="right"/>
    </xf>
    <xf numFmtId="0" fontId="37" fillId="0" borderId="0" xfId="2" applyFont="1" applyFill="1" applyBorder="1" applyAlignment="1" applyProtection="1"/>
    <xf numFmtId="166" fontId="44" fillId="0" borderId="66" xfId="2" applyNumberFormat="1" applyFont="1" applyFill="1" applyBorder="1" applyAlignment="1" applyProtection="1">
      <alignment horizontal="center"/>
    </xf>
    <xf numFmtId="0" fontId="44" fillId="0" borderId="10" xfId="2" quotePrefix="1" applyNumberFormat="1" applyFont="1" applyBorder="1" applyAlignment="1" applyProtection="1">
      <alignment horizontal="center"/>
    </xf>
    <xf numFmtId="0" fontId="43" fillId="0" borderId="0" xfId="4" quotePrefix="1" applyFont="1" applyFill="1" applyAlignment="1" applyProtection="1">
      <alignment horizontal="right"/>
    </xf>
    <xf numFmtId="0" fontId="85" fillId="0" borderId="0" xfId="4" applyFill="1" applyAlignment="1" applyProtection="1"/>
    <xf numFmtId="0" fontId="44" fillId="0" borderId="10" xfId="4" quotePrefix="1" applyFont="1" applyFill="1" applyBorder="1" applyAlignment="1" applyProtection="1">
      <alignment horizontal="center"/>
    </xf>
    <xf numFmtId="0" fontId="44" fillId="0" borderId="10" xfId="2" quotePrefix="1" applyNumberFormat="1" applyFont="1" applyBorder="1" applyAlignment="1">
      <alignment horizontal="center"/>
    </xf>
    <xf numFmtId="0" fontId="0" fillId="0" borderId="10" xfId="2" applyFont="1" applyBorder="1" applyAlignment="1"/>
    <xf numFmtId="0" fontId="44" fillId="0" borderId="10" xfId="2" quotePrefix="1" applyNumberFormat="1" applyFont="1" applyFill="1" applyBorder="1" applyAlignment="1" applyProtection="1">
      <alignment horizontal="center"/>
    </xf>
    <xf numFmtId="0" fontId="44" fillId="0" borderId="10" xfId="2" quotePrefix="1" applyNumberFormat="1" applyFont="1" applyFill="1" applyBorder="1" applyAlignment="1">
      <alignment horizontal="center"/>
    </xf>
    <xf numFmtId="0" fontId="0" fillId="0" borderId="10" xfId="2" applyFont="1" applyFill="1" applyBorder="1" applyAlignment="1"/>
    <xf numFmtId="166" fontId="66" fillId="0" borderId="66" xfId="2" quotePrefix="1" applyNumberFormat="1" applyFont="1" applyBorder="1" applyAlignment="1" applyProtection="1">
      <alignment horizontal="center"/>
      <protection locked="0"/>
    </xf>
    <xf numFmtId="166" fontId="66" fillId="0" borderId="66" xfId="2" applyNumberFormat="1" applyFont="1" applyBorder="1" applyAlignment="1" applyProtection="1">
      <alignment horizontal="center"/>
      <protection locked="0"/>
    </xf>
    <xf numFmtId="165" fontId="66" fillId="0" borderId="66" xfId="2" quotePrefix="1" applyNumberFormat="1" applyFont="1" applyBorder="1" applyAlignment="1" applyProtection="1">
      <alignment horizontal="center"/>
      <protection locked="0"/>
    </xf>
    <xf numFmtId="165" fontId="66" fillId="0" borderId="66" xfId="2" applyNumberFormat="1" applyFont="1" applyBorder="1" applyAlignment="1" applyProtection="1">
      <alignment horizontal="center"/>
      <protection locked="0"/>
    </xf>
    <xf numFmtId="0" fontId="66" fillId="0" borderId="0" xfId="2" quotePrefix="1" applyNumberFormat="1" applyFont="1" applyBorder="1" applyAlignment="1">
      <alignment horizontal="center"/>
    </xf>
    <xf numFmtId="0" fontId="61" fillId="0" borderId="0" xfId="2" applyFont="1" applyBorder="1" applyAlignment="1">
      <alignment horizontal="center"/>
    </xf>
    <xf numFmtId="0" fontId="66" fillId="0" borderId="66" xfId="2" quotePrefix="1" applyNumberFormat="1" applyFont="1" applyBorder="1" applyAlignment="1">
      <alignment horizontal="center"/>
    </xf>
    <xf numFmtId="0" fontId="168" fillId="0" borderId="0" xfId="2" quotePrefix="1" applyNumberFormat="1" applyFont="1" applyBorder="1" applyAlignment="1">
      <alignment horizontal="center"/>
    </xf>
    <xf numFmtId="0" fontId="169" fillId="0" borderId="0" xfId="2" applyFont="1" applyBorder="1" applyAlignment="1">
      <alignment horizontal="center"/>
    </xf>
    <xf numFmtId="0" fontId="168" fillId="0" borderId="66" xfId="2" quotePrefix="1" applyNumberFormat="1" applyFont="1" applyBorder="1" applyAlignment="1">
      <alignment horizontal="center"/>
    </xf>
    <xf numFmtId="181" fontId="82" fillId="0" borderId="0" xfId="1776" quotePrefix="1" applyNumberFormat="1" applyFont="1" applyAlignment="1">
      <alignment horizontal="justify" vertical="top"/>
    </xf>
    <xf numFmtId="181" fontId="82" fillId="0" borderId="0" xfId="1776" quotePrefix="1" applyNumberFormat="1" applyFont="1" applyFill="1" applyAlignment="1">
      <alignment horizontal="justify" vertical="top" wrapText="1"/>
    </xf>
    <xf numFmtId="181" fontId="44" fillId="0" borderId="0" xfId="1776" quotePrefix="1" applyNumberFormat="1" applyFont="1" applyAlignment="1">
      <alignment horizontal="left" vertical="distributed" wrapText="1"/>
    </xf>
    <xf numFmtId="181" fontId="42" fillId="0" borderId="0" xfId="1776" applyNumberFormat="1" applyFont="1" applyBorder="1" applyAlignment="1">
      <alignment horizontal="left" vertical="top" wrapText="1"/>
    </xf>
    <xf numFmtId="0" fontId="43" fillId="0" borderId="10" xfId="9967" applyNumberFormat="1" applyFont="1" applyFill="1" applyBorder="1" applyAlignment="1">
      <alignment horizontal="center"/>
    </xf>
    <xf numFmtId="0" fontId="37" fillId="0" borderId="0" xfId="17" applyNumberFormat="1" applyFont="1" applyAlignment="1">
      <alignment horizontal="left" wrapText="1"/>
    </xf>
    <xf numFmtId="0" fontId="41" fillId="0" borderId="51" xfId="739" applyFont="1" applyBorder="1" applyAlignment="1">
      <alignment horizontal="justify" wrapText="1"/>
    </xf>
    <xf numFmtId="0" fontId="41" fillId="0" borderId="52" xfId="739" applyFont="1" applyBorder="1" applyAlignment="1">
      <alignment horizontal="justify" wrapText="1"/>
    </xf>
    <xf numFmtId="0" fontId="41" fillId="0" borderId="53" xfId="739" applyFont="1" applyBorder="1" applyAlignment="1">
      <alignment horizontal="justify" wrapText="1"/>
    </xf>
    <xf numFmtId="0" fontId="41" fillId="0" borderId="54" xfId="739" applyFont="1" applyBorder="1" applyAlignment="1">
      <alignment horizontal="justify" wrapText="1"/>
    </xf>
    <xf numFmtId="0" fontId="41" fillId="0" borderId="0" xfId="739" applyFont="1" applyBorder="1" applyAlignment="1">
      <alignment horizontal="justify" wrapText="1"/>
    </xf>
    <xf numFmtId="0" fontId="41" fillId="0" borderId="44" xfId="739" applyFont="1" applyBorder="1" applyAlignment="1">
      <alignment horizontal="justify" wrapText="1"/>
    </xf>
    <xf numFmtId="0" fontId="41" fillId="0" borderId="55" xfId="739" applyFont="1" applyBorder="1" applyAlignment="1">
      <alignment horizontal="justify" wrapText="1"/>
    </xf>
    <xf numFmtId="0" fontId="41" fillId="0" borderId="50" xfId="739" applyFont="1" applyBorder="1" applyAlignment="1">
      <alignment horizontal="justify" wrapText="1"/>
    </xf>
    <xf numFmtId="0" fontId="41" fillId="0" borderId="56" xfId="739" applyFont="1" applyBorder="1" applyAlignment="1">
      <alignment horizontal="justify" wrapText="1"/>
    </xf>
    <xf numFmtId="17" fontId="44" fillId="0" borderId="10" xfId="25863" quotePrefix="1" applyNumberFormat="1" applyFont="1" applyFill="1" applyBorder="1" applyAlignment="1">
      <alignment horizontal="center"/>
    </xf>
    <xf numFmtId="7" fontId="44" fillId="0" borderId="10" xfId="25863" applyNumberFormat="1" applyFont="1" applyFill="1" applyBorder="1" applyAlignment="1">
      <alignment horizontal="center"/>
    </xf>
    <xf numFmtId="0" fontId="83" fillId="0" borderId="0" xfId="25876" applyFont="1" applyFill="1" applyAlignment="1">
      <alignment wrapText="1"/>
    </xf>
  </cellXfs>
  <cellStyles count="25877">
    <cellStyle name="20% - Accent1 10" xfId="25"/>
    <cellStyle name="20% - Accent1 10 10" xfId="17928"/>
    <cellStyle name="20% - Accent1 10 2" xfId="26"/>
    <cellStyle name="20% - Accent1 10 2 2" xfId="27"/>
    <cellStyle name="20% - Accent1 10 2 2 2" xfId="1055"/>
    <cellStyle name="20% - Accent1 10 2 2 2 2" xfId="4585"/>
    <cellStyle name="20% - Accent1 10 2 2 2 2 2" xfId="8176"/>
    <cellStyle name="20% - Accent1 10 2 2 2 2 2 2" xfId="16147"/>
    <cellStyle name="20% - Accent1 10 2 2 2 2 2 3" xfId="24093"/>
    <cellStyle name="20% - Accent1 10 2 2 2 2 3" xfId="12609"/>
    <cellStyle name="20% - Accent1 10 2 2 2 2 4" xfId="20564"/>
    <cellStyle name="20% - Accent1 10 2 2 2 3" xfId="6417"/>
    <cellStyle name="20% - Accent1 10 2 2 2 3 2" xfId="14389"/>
    <cellStyle name="20% - Accent1 10 2 2 2 3 3" xfId="22336"/>
    <cellStyle name="20% - Accent1 10 2 2 2 4" xfId="10853"/>
    <cellStyle name="20% - Accent1 10 2 2 2 5" xfId="18808"/>
    <cellStyle name="20% - Accent1 10 2 2 2_Exh G" xfId="1944"/>
    <cellStyle name="20% - Accent1 10 2 2 3" xfId="3706"/>
    <cellStyle name="20% - Accent1 10 2 2 3 2" xfId="7298"/>
    <cellStyle name="20% - Accent1 10 2 2 3 2 2" xfId="15269"/>
    <cellStyle name="20% - Accent1 10 2 2 3 2 3" xfId="23215"/>
    <cellStyle name="20% - Accent1 10 2 2 3 3" xfId="11731"/>
    <cellStyle name="20% - Accent1 10 2 2 3 4" xfId="19686"/>
    <cellStyle name="20% - Accent1 10 2 2 4" xfId="5526"/>
    <cellStyle name="20% - Accent1 10 2 2 4 2" xfId="13510"/>
    <cellStyle name="20% - Accent1 10 2 2 4 3" xfId="21458"/>
    <cellStyle name="20% - Accent1 10 2 2 5" xfId="9079"/>
    <cellStyle name="20% - Accent1 10 2 2 5 2" xfId="17037"/>
    <cellStyle name="20% - Accent1 10 2 2 5 3" xfId="24981"/>
    <cellStyle name="20% - Accent1 10 2 2 6" xfId="9975"/>
    <cellStyle name="20% - Accent1 10 2 2 7" xfId="17930"/>
    <cellStyle name="20% - Accent1 10 2 2_Exh G" xfId="1943"/>
    <cellStyle name="20% - Accent1 10 2 3" xfId="1054"/>
    <cellStyle name="20% - Accent1 10 2 3 2" xfId="4584"/>
    <cellStyle name="20% - Accent1 10 2 3 2 2" xfId="8175"/>
    <cellStyle name="20% - Accent1 10 2 3 2 2 2" xfId="16146"/>
    <cellStyle name="20% - Accent1 10 2 3 2 2 3" xfId="24092"/>
    <cellStyle name="20% - Accent1 10 2 3 2 3" xfId="12608"/>
    <cellStyle name="20% - Accent1 10 2 3 2 4" xfId="20563"/>
    <cellStyle name="20% - Accent1 10 2 3 3" xfId="6416"/>
    <cellStyle name="20% - Accent1 10 2 3 3 2" xfId="14388"/>
    <cellStyle name="20% - Accent1 10 2 3 3 3" xfId="22335"/>
    <cellStyle name="20% - Accent1 10 2 3 4" xfId="10852"/>
    <cellStyle name="20% - Accent1 10 2 3 5" xfId="18807"/>
    <cellStyle name="20% - Accent1 10 2 3_Exh G" xfId="1945"/>
    <cellStyle name="20% - Accent1 10 2 4" xfId="3705"/>
    <cellStyle name="20% - Accent1 10 2 4 2" xfId="7297"/>
    <cellStyle name="20% - Accent1 10 2 4 2 2" xfId="15268"/>
    <cellStyle name="20% - Accent1 10 2 4 2 3" xfId="23214"/>
    <cellStyle name="20% - Accent1 10 2 4 3" xfId="11730"/>
    <cellStyle name="20% - Accent1 10 2 4 4" xfId="19685"/>
    <cellStyle name="20% - Accent1 10 2 5" xfId="5525"/>
    <cellStyle name="20% - Accent1 10 2 5 2" xfId="13509"/>
    <cellStyle name="20% - Accent1 10 2 5 3" xfId="21457"/>
    <cellStyle name="20% - Accent1 10 2 6" xfId="9078"/>
    <cellStyle name="20% - Accent1 10 2 6 2" xfId="17036"/>
    <cellStyle name="20% - Accent1 10 2 6 3" xfId="24980"/>
    <cellStyle name="20% - Accent1 10 2 7" xfId="9974"/>
    <cellStyle name="20% - Accent1 10 2 8" xfId="17929"/>
    <cellStyle name="20% - Accent1 10 2_Exh G" xfId="1942"/>
    <cellStyle name="20% - Accent1 10 3" xfId="28"/>
    <cellStyle name="20% - Accent1 10 3 2" xfId="1056"/>
    <cellStyle name="20% - Accent1 10 3 2 2" xfId="4586"/>
    <cellStyle name="20% - Accent1 10 3 2 2 2" xfId="8177"/>
    <cellStyle name="20% - Accent1 10 3 2 2 2 2" xfId="16148"/>
    <cellStyle name="20% - Accent1 10 3 2 2 2 3" xfId="24094"/>
    <cellStyle name="20% - Accent1 10 3 2 2 3" xfId="12610"/>
    <cellStyle name="20% - Accent1 10 3 2 2 4" xfId="20565"/>
    <cellStyle name="20% - Accent1 10 3 2 3" xfId="6418"/>
    <cellStyle name="20% - Accent1 10 3 2 3 2" xfId="14390"/>
    <cellStyle name="20% - Accent1 10 3 2 3 3" xfId="22337"/>
    <cellStyle name="20% - Accent1 10 3 2 4" xfId="10854"/>
    <cellStyle name="20% - Accent1 10 3 2 5" xfId="18809"/>
    <cellStyle name="20% - Accent1 10 3 2_Exh G" xfId="1947"/>
    <cellStyle name="20% - Accent1 10 3 3" xfId="3707"/>
    <cellStyle name="20% - Accent1 10 3 3 2" xfId="7299"/>
    <cellStyle name="20% - Accent1 10 3 3 2 2" xfId="15270"/>
    <cellStyle name="20% - Accent1 10 3 3 2 3" xfId="23216"/>
    <cellStyle name="20% - Accent1 10 3 3 3" xfId="11732"/>
    <cellStyle name="20% - Accent1 10 3 3 4" xfId="19687"/>
    <cellStyle name="20% - Accent1 10 3 4" xfId="5527"/>
    <cellStyle name="20% - Accent1 10 3 4 2" xfId="13511"/>
    <cellStyle name="20% - Accent1 10 3 4 3" xfId="21459"/>
    <cellStyle name="20% - Accent1 10 3 5" xfId="9080"/>
    <cellStyle name="20% - Accent1 10 3 5 2" xfId="17038"/>
    <cellStyle name="20% - Accent1 10 3 5 3" xfId="24982"/>
    <cellStyle name="20% - Accent1 10 3 6" xfId="9976"/>
    <cellStyle name="20% - Accent1 10 3 7" xfId="17931"/>
    <cellStyle name="20% - Accent1 10 3_Exh G" xfId="1946"/>
    <cellStyle name="20% - Accent1 10 4" xfId="862"/>
    <cellStyle name="20% - Accent1 10 5" xfId="1053"/>
    <cellStyle name="20% - Accent1 10 5 2" xfId="4583"/>
    <cellStyle name="20% - Accent1 10 5 2 2" xfId="8174"/>
    <cellStyle name="20% - Accent1 10 5 2 2 2" xfId="16145"/>
    <cellStyle name="20% - Accent1 10 5 2 2 3" xfId="24091"/>
    <cellStyle name="20% - Accent1 10 5 2 3" xfId="12607"/>
    <cellStyle name="20% - Accent1 10 5 2 4" xfId="20562"/>
    <cellStyle name="20% - Accent1 10 5 3" xfId="6415"/>
    <cellStyle name="20% - Accent1 10 5 3 2" xfId="14387"/>
    <cellStyle name="20% - Accent1 10 5 3 3" xfId="22334"/>
    <cellStyle name="20% - Accent1 10 5 4" xfId="10851"/>
    <cellStyle name="20% - Accent1 10 5 5" xfId="18806"/>
    <cellStyle name="20% - Accent1 10 5_Exh G" xfId="1948"/>
    <cellStyle name="20% - Accent1 10 6" xfId="3704"/>
    <cellStyle name="20% - Accent1 10 6 2" xfId="7296"/>
    <cellStyle name="20% - Accent1 10 6 2 2" xfId="15267"/>
    <cellStyle name="20% - Accent1 10 6 2 3" xfId="23213"/>
    <cellStyle name="20% - Accent1 10 6 3" xfId="11729"/>
    <cellStyle name="20% - Accent1 10 6 4" xfId="19684"/>
    <cellStyle name="20% - Accent1 10 7" xfId="5524"/>
    <cellStyle name="20% - Accent1 10 7 2" xfId="13508"/>
    <cellStyle name="20% - Accent1 10 7 3" xfId="21456"/>
    <cellStyle name="20% - Accent1 10 8" xfId="9077"/>
    <cellStyle name="20% - Accent1 10 8 2" xfId="17035"/>
    <cellStyle name="20% - Accent1 10 8 3" xfId="24979"/>
    <cellStyle name="20% - Accent1 10 9" xfId="9973"/>
    <cellStyle name="20% - Accent1 10_Exh G" xfId="1941"/>
    <cellStyle name="20% - Accent1 11" xfId="29"/>
    <cellStyle name="20% - Accent1 11 2" xfId="30"/>
    <cellStyle name="20% - Accent1 11 2 2" xfId="31"/>
    <cellStyle name="20% - Accent1 11 2 2 2" xfId="1059"/>
    <cellStyle name="20% - Accent1 11 2 2 2 2" xfId="4589"/>
    <cellStyle name="20% - Accent1 11 2 2 2 2 2" xfId="8180"/>
    <cellStyle name="20% - Accent1 11 2 2 2 2 2 2" xfId="16151"/>
    <cellStyle name="20% - Accent1 11 2 2 2 2 2 3" xfId="24097"/>
    <cellStyle name="20% - Accent1 11 2 2 2 2 3" xfId="12613"/>
    <cellStyle name="20% - Accent1 11 2 2 2 2 4" xfId="20568"/>
    <cellStyle name="20% - Accent1 11 2 2 2 3" xfId="6421"/>
    <cellStyle name="20% - Accent1 11 2 2 2 3 2" xfId="14393"/>
    <cellStyle name="20% - Accent1 11 2 2 2 3 3" xfId="22340"/>
    <cellStyle name="20% - Accent1 11 2 2 2 4" xfId="10857"/>
    <cellStyle name="20% - Accent1 11 2 2 2 5" xfId="18812"/>
    <cellStyle name="20% - Accent1 11 2 2 2_Exh G" xfId="1952"/>
    <cellStyle name="20% - Accent1 11 2 2 3" xfId="3710"/>
    <cellStyle name="20% - Accent1 11 2 2 3 2" xfId="7302"/>
    <cellStyle name="20% - Accent1 11 2 2 3 2 2" xfId="15273"/>
    <cellStyle name="20% - Accent1 11 2 2 3 2 3" xfId="23219"/>
    <cellStyle name="20% - Accent1 11 2 2 3 3" xfId="11735"/>
    <cellStyle name="20% - Accent1 11 2 2 3 4" xfId="19690"/>
    <cellStyle name="20% - Accent1 11 2 2 4" xfId="5530"/>
    <cellStyle name="20% - Accent1 11 2 2 4 2" xfId="13514"/>
    <cellStyle name="20% - Accent1 11 2 2 4 3" xfId="21462"/>
    <cellStyle name="20% - Accent1 11 2 2 5" xfId="9083"/>
    <cellStyle name="20% - Accent1 11 2 2 5 2" xfId="17041"/>
    <cellStyle name="20% - Accent1 11 2 2 5 3" xfId="24985"/>
    <cellStyle name="20% - Accent1 11 2 2 6" xfId="9979"/>
    <cellStyle name="20% - Accent1 11 2 2 7" xfId="17934"/>
    <cellStyle name="20% - Accent1 11 2 2_Exh G" xfId="1951"/>
    <cellStyle name="20% - Accent1 11 2 3" xfId="1058"/>
    <cellStyle name="20% - Accent1 11 2 3 2" xfId="4588"/>
    <cellStyle name="20% - Accent1 11 2 3 2 2" xfId="8179"/>
    <cellStyle name="20% - Accent1 11 2 3 2 2 2" xfId="16150"/>
    <cellStyle name="20% - Accent1 11 2 3 2 2 3" xfId="24096"/>
    <cellStyle name="20% - Accent1 11 2 3 2 3" xfId="12612"/>
    <cellStyle name="20% - Accent1 11 2 3 2 4" xfId="20567"/>
    <cellStyle name="20% - Accent1 11 2 3 3" xfId="6420"/>
    <cellStyle name="20% - Accent1 11 2 3 3 2" xfId="14392"/>
    <cellStyle name="20% - Accent1 11 2 3 3 3" xfId="22339"/>
    <cellStyle name="20% - Accent1 11 2 3 4" xfId="10856"/>
    <cellStyle name="20% - Accent1 11 2 3 5" xfId="18811"/>
    <cellStyle name="20% - Accent1 11 2 3_Exh G" xfId="1953"/>
    <cellStyle name="20% - Accent1 11 2 4" xfId="3709"/>
    <cellStyle name="20% - Accent1 11 2 4 2" xfId="7301"/>
    <cellStyle name="20% - Accent1 11 2 4 2 2" xfId="15272"/>
    <cellStyle name="20% - Accent1 11 2 4 2 3" xfId="23218"/>
    <cellStyle name="20% - Accent1 11 2 4 3" xfId="11734"/>
    <cellStyle name="20% - Accent1 11 2 4 4" xfId="19689"/>
    <cellStyle name="20% - Accent1 11 2 5" xfId="5529"/>
    <cellStyle name="20% - Accent1 11 2 5 2" xfId="13513"/>
    <cellStyle name="20% - Accent1 11 2 5 3" xfId="21461"/>
    <cellStyle name="20% - Accent1 11 2 6" xfId="9082"/>
    <cellStyle name="20% - Accent1 11 2 6 2" xfId="17040"/>
    <cellStyle name="20% - Accent1 11 2 6 3" xfId="24984"/>
    <cellStyle name="20% - Accent1 11 2 7" xfId="9978"/>
    <cellStyle name="20% - Accent1 11 2 8" xfId="17933"/>
    <cellStyle name="20% - Accent1 11 2_Exh G" xfId="1950"/>
    <cellStyle name="20% - Accent1 11 3" xfId="32"/>
    <cellStyle name="20% - Accent1 11 3 2" xfId="1060"/>
    <cellStyle name="20% - Accent1 11 3 2 2" xfId="4590"/>
    <cellStyle name="20% - Accent1 11 3 2 2 2" xfId="8181"/>
    <cellStyle name="20% - Accent1 11 3 2 2 2 2" xfId="16152"/>
    <cellStyle name="20% - Accent1 11 3 2 2 2 3" xfId="24098"/>
    <cellStyle name="20% - Accent1 11 3 2 2 3" xfId="12614"/>
    <cellStyle name="20% - Accent1 11 3 2 2 4" xfId="20569"/>
    <cellStyle name="20% - Accent1 11 3 2 3" xfId="6422"/>
    <cellStyle name="20% - Accent1 11 3 2 3 2" xfId="14394"/>
    <cellStyle name="20% - Accent1 11 3 2 3 3" xfId="22341"/>
    <cellStyle name="20% - Accent1 11 3 2 4" xfId="10858"/>
    <cellStyle name="20% - Accent1 11 3 2 5" xfId="18813"/>
    <cellStyle name="20% - Accent1 11 3 2_Exh G" xfId="1955"/>
    <cellStyle name="20% - Accent1 11 3 3" xfId="3711"/>
    <cellStyle name="20% - Accent1 11 3 3 2" xfId="7303"/>
    <cellStyle name="20% - Accent1 11 3 3 2 2" xfId="15274"/>
    <cellStyle name="20% - Accent1 11 3 3 2 3" xfId="23220"/>
    <cellStyle name="20% - Accent1 11 3 3 3" xfId="11736"/>
    <cellStyle name="20% - Accent1 11 3 3 4" xfId="19691"/>
    <cellStyle name="20% - Accent1 11 3 4" xfId="5531"/>
    <cellStyle name="20% - Accent1 11 3 4 2" xfId="13515"/>
    <cellStyle name="20% - Accent1 11 3 4 3" xfId="21463"/>
    <cellStyle name="20% - Accent1 11 3 5" xfId="9084"/>
    <cellStyle name="20% - Accent1 11 3 5 2" xfId="17042"/>
    <cellStyle name="20% - Accent1 11 3 5 3" xfId="24986"/>
    <cellStyle name="20% - Accent1 11 3 6" xfId="9980"/>
    <cellStyle name="20% - Accent1 11 3 7" xfId="17935"/>
    <cellStyle name="20% - Accent1 11 3_Exh G" xfId="1954"/>
    <cellStyle name="20% - Accent1 11 4" xfId="1057"/>
    <cellStyle name="20% - Accent1 11 4 2" xfId="4587"/>
    <cellStyle name="20% - Accent1 11 4 2 2" xfId="8178"/>
    <cellStyle name="20% - Accent1 11 4 2 2 2" xfId="16149"/>
    <cellStyle name="20% - Accent1 11 4 2 2 3" xfId="24095"/>
    <cellStyle name="20% - Accent1 11 4 2 3" xfId="12611"/>
    <cellStyle name="20% - Accent1 11 4 2 4" xfId="20566"/>
    <cellStyle name="20% - Accent1 11 4 3" xfId="6419"/>
    <cellStyle name="20% - Accent1 11 4 3 2" xfId="14391"/>
    <cellStyle name="20% - Accent1 11 4 3 3" xfId="22338"/>
    <cellStyle name="20% - Accent1 11 4 4" xfId="10855"/>
    <cellStyle name="20% - Accent1 11 4 5" xfId="18810"/>
    <cellStyle name="20% - Accent1 11 4_Exh G" xfId="1956"/>
    <cellStyle name="20% - Accent1 11 5" xfId="3708"/>
    <cellStyle name="20% - Accent1 11 5 2" xfId="7300"/>
    <cellStyle name="20% - Accent1 11 5 2 2" xfId="15271"/>
    <cellStyle name="20% - Accent1 11 5 2 3" xfId="23217"/>
    <cellStyle name="20% - Accent1 11 5 3" xfId="11733"/>
    <cellStyle name="20% - Accent1 11 5 4" xfId="19688"/>
    <cellStyle name="20% - Accent1 11 6" xfId="5528"/>
    <cellStyle name="20% - Accent1 11 6 2" xfId="13512"/>
    <cellStyle name="20% - Accent1 11 6 3" xfId="21460"/>
    <cellStyle name="20% - Accent1 11 7" xfId="9081"/>
    <cellStyle name="20% - Accent1 11 7 2" xfId="17039"/>
    <cellStyle name="20% - Accent1 11 7 3" xfId="24983"/>
    <cellStyle name="20% - Accent1 11 8" xfId="9977"/>
    <cellStyle name="20% - Accent1 11 9" xfId="17932"/>
    <cellStyle name="20% - Accent1 11_Exh G" xfId="1949"/>
    <cellStyle name="20% - Accent1 12" xfId="33"/>
    <cellStyle name="20% - Accent1 12 2" xfId="34"/>
    <cellStyle name="20% - Accent1 12 2 2" xfId="35"/>
    <cellStyle name="20% - Accent1 12 2 2 2" xfId="1063"/>
    <cellStyle name="20% - Accent1 12 2 2 2 2" xfId="4593"/>
    <cellStyle name="20% - Accent1 12 2 2 2 2 2" xfId="8184"/>
    <cellStyle name="20% - Accent1 12 2 2 2 2 2 2" xfId="16155"/>
    <cellStyle name="20% - Accent1 12 2 2 2 2 2 3" xfId="24101"/>
    <cellStyle name="20% - Accent1 12 2 2 2 2 3" xfId="12617"/>
    <cellStyle name="20% - Accent1 12 2 2 2 2 4" xfId="20572"/>
    <cellStyle name="20% - Accent1 12 2 2 2 3" xfId="6425"/>
    <cellStyle name="20% - Accent1 12 2 2 2 3 2" xfId="14397"/>
    <cellStyle name="20% - Accent1 12 2 2 2 3 3" xfId="22344"/>
    <cellStyle name="20% - Accent1 12 2 2 2 4" xfId="10861"/>
    <cellStyle name="20% - Accent1 12 2 2 2 5" xfId="18816"/>
    <cellStyle name="20% - Accent1 12 2 2 2_Exh G" xfId="1960"/>
    <cellStyle name="20% - Accent1 12 2 2 3" xfId="3714"/>
    <cellStyle name="20% - Accent1 12 2 2 3 2" xfId="7306"/>
    <cellStyle name="20% - Accent1 12 2 2 3 2 2" xfId="15277"/>
    <cellStyle name="20% - Accent1 12 2 2 3 2 3" xfId="23223"/>
    <cellStyle name="20% - Accent1 12 2 2 3 3" xfId="11739"/>
    <cellStyle name="20% - Accent1 12 2 2 3 4" xfId="19694"/>
    <cellStyle name="20% - Accent1 12 2 2 4" xfId="5534"/>
    <cellStyle name="20% - Accent1 12 2 2 4 2" xfId="13518"/>
    <cellStyle name="20% - Accent1 12 2 2 4 3" xfId="21466"/>
    <cellStyle name="20% - Accent1 12 2 2 5" xfId="9087"/>
    <cellStyle name="20% - Accent1 12 2 2 5 2" xfId="17045"/>
    <cellStyle name="20% - Accent1 12 2 2 5 3" xfId="24989"/>
    <cellStyle name="20% - Accent1 12 2 2 6" xfId="9983"/>
    <cellStyle name="20% - Accent1 12 2 2 7" xfId="17938"/>
    <cellStyle name="20% - Accent1 12 2 2_Exh G" xfId="1959"/>
    <cellStyle name="20% - Accent1 12 2 3" xfId="1062"/>
    <cellStyle name="20% - Accent1 12 2 3 2" xfId="4592"/>
    <cellStyle name="20% - Accent1 12 2 3 2 2" xfId="8183"/>
    <cellStyle name="20% - Accent1 12 2 3 2 2 2" xfId="16154"/>
    <cellStyle name="20% - Accent1 12 2 3 2 2 3" xfId="24100"/>
    <cellStyle name="20% - Accent1 12 2 3 2 3" xfId="12616"/>
    <cellStyle name="20% - Accent1 12 2 3 2 4" xfId="20571"/>
    <cellStyle name="20% - Accent1 12 2 3 3" xfId="6424"/>
    <cellStyle name="20% - Accent1 12 2 3 3 2" xfId="14396"/>
    <cellStyle name="20% - Accent1 12 2 3 3 3" xfId="22343"/>
    <cellStyle name="20% - Accent1 12 2 3 4" xfId="10860"/>
    <cellStyle name="20% - Accent1 12 2 3 5" xfId="18815"/>
    <cellStyle name="20% - Accent1 12 2 3_Exh G" xfId="1961"/>
    <cellStyle name="20% - Accent1 12 2 4" xfId="3713"/>
    <cellStyle name="20% - Accent1 12 2 4 2" xfId="7305"/>
    <cellStyle name="20% - Accent1 12 2 4 2 2" xfId="15276"/>
    <cellStyle name="20% - Accent1 12 2 4 2 3" xfId="23222"/>
    <cellStyle name="20% - Accent1 12 2 4 3" xfId="11738"/>
    <cellStyle name="20% - Accent1 12 2 4 4" xfId="19693"/>
    <cellStyle name="20% - Accent1 12 2 5" xfId="5533"/>
    <cellStyle name="20% - Accent1 12 2 5 2" xfId="13517"/>
    <cellStyle name="20% - Accent1 12 2 5 3" xfId="21465"/>
    <cellStyle name="20% - Accent1 12 2 6" xfId="9086"/>
    <cellStyle name="20% - Accent1 12 2 6 2" xfId="17044"/>
    <cellStyle name="20% - Accent1 12 2 6 3" xfId="24988"/>
    <cellStyle name="20% - Accent1 12 2 7" xfId="9982"/>
    <cellStyle name="20% - Accent1 12 2 8" xfId="17937"/>
    <cellStyle name="20% - Accent1 12 2_Exh G" xfId="1958"/>
    <cellStyle name="20% - Accent1 12 3" xfId="36"/>
    <cellStyle name="20% - Accent1 12 3 2" xfId="1064"/>
    <cellStyle name="20% - Accent1 12 3 2 2" xfId="4594"/>
    <cellStyle name="20% - Accent1 12 3 2 2 2" xfId="8185"/>
    <cellStyle name="20% - Accent1 12 3 2 2 2 2" xfId="16156"/>
    <cellStyle name="20% - Accent1 12 3 2 2 2 3" xfId="24102"/>
    <cellStyle name="20% - Accent1 12 3 2 2 3" xfId="12618"/>
    <cellStyle name="20% - Accent1 12 3 2 2 4" xfId="20573"/>
    <cellStyle name="20% - Accent1 12 3 2 3" xfId="6426"/>
    <cellStyle name="20% - Accent1 12 3 2 3 2" xfId="14398"/>
    <cellStyle name="20% - Accent1 12 3 2 3 3" xfId="22345"/>
    <cellStyle name="20% - Accent1 12 3 2 4" xfId="10862"/>
    <cellStyle name="20% - Accent1 12 3 2 5" xfId="18817"/>
    <cellStyle name="20% - Accent1 12 3 2_Exh G" xfId="1963"/>
    <cellStyle name="20% - Accent1 12 3 3" xfId="3715"/>
    <cellStyle name="20% - Accent1 12 3 3 2" xfId="7307"/>
    <cellStyle name="20% - Accent1 12 3 3 2 2" xfId="15278"/>
    <cellStyle name="20% - Accent1 12 3 3 2 3" xfId="23224"/>
    <cellStyle name="20% - Accent1 12 3 3 3" xfId="11740"/>
    <cellStyle name="20% - Accent1 12 3 3 4" xfId="19695"/>
    <cellStyle name="20% - Accent1 12 3 4" xfId="5535"/>
    <cellStyle name="20% - Accent1 12 3 4 2" xfId="13519"/>
    <cellStyle name="20% - Accent1 12 3 4 3" xfId="21467"/>
    <cellStyle name="20% - Accent1 12 3 5" xfId="9088"/>
    <cellStyle name="20% - Accent1 12 3 5 2" xfId="17046"/>
    <cellStyle name="20% - Accent1 12 3 5 3" xfId="24990"/>
    <cellStyle name="20% - Accent1 12 3 6" xfId="9984"/>
    <cellStyle name="20% - Accent1 12 3 7" xfId="17939"/>
    <cellStyle name="20% - Accent1 12 3_Exh G" xfId="1962"/>
    <cellStyle name="20% - Accent1 12 4" xfId="1061"/>
    <cellStyle name="20% - Accent1 12 4 2" xfId="4591"/>
    <cellStyle name="20% - Accent1 12 4 2 2" xfId="8182"/>
    <cellStyle name="20% - Accent1 12 4 2 2 2" xfId="16153"/>
    <cellStyle name="20% - Accent1 12 4 2 2 3" xfId="24099"/>
    <cellStyle name="20% - Accent1 12 4 2 3" xfId="12615"/>
    <cellStyle name="20% - Accent1 12 4 2 4" xfId="20570"/>
    <cellStyle name="20% - Accent1 12 4 3" xfId="6423"/>
    <cellStyle name="20% - Accent1 12 4 3 2" xfId="14395"/>
    <cellStyle name="20% - Accent1 12 4 3 3" xfId="22342"/>
    <cellStyle name="20% - Accent1 12 4 4" xfId="10859"/>
    <cellStyle name="20% - Accent1 12 4 5" xfId="18814"/>
    <cellStyle name="20% - Accent1 12 4_Exh G" xfId="1964"/>
    <cellStyle name="20% - Accent1 12 5" xfId="3712"/>
    <cellStyle name="20% - Accent1 12 5 2" xfId="7304"/>
    <cellStyle name="20% - Accent1 12 5 2 2" xfId="15275"/>
    <cellStyle name="20% - Accent1 12 5 2 3" xfId="23221"/>
    <cellStyle name="20% - Accent1 12 5 3" xfId="11737"/>
    <cellStyle name="20% - Accent1 12 5 4" xfId="19692"/>
    <cellStyle name="20% - Accent1 12 6" xfId="5532"/>
    <cellStyle name="20% - Accent1 12 6 2" xfId="13516"/>
    <cellStyle name="20% - Accent1 12 6 3" xfId="21464"/>
    <cellStyle name="20% - Accent1 12 7" xfId="9085"/>
    <cellStyle name="20% - Accent1 12 7 2" xfId="17043"/>
    <cellStyle name="20% - Accent1 12 7 3" xfId="24987"/>
    <cellStyle name="20% - Accent1 12 8" xfId="9981"/>
    <cellStyle name="20% - Accent1 12 9" xfId="17936"/>
    <cellStyle name="20% - Accent1 12_Exh G" xfId="1957"/>
    <cellStyle name="20% - Accent1 13" xfId="37"/>
    <cellStyle name="20% - Accent1 13 2" xfId="38"/>
    <cellStyle name="20% - Accent1 13 2 2" xfId="39"/>
    <cellStyle name="20% - Accent1 13 2 2 2" xfId="1067"/>
    <cellStyle name="20% - Accent1 13 2 2 2 2" xfId="4597"/>
    <cellStyle name="20% - Accent1 13 2 2 2 2 2" xfId="8188"/>
    <cellStyle name="20% - Accent1 13 2 2 2 2 2 2" xfId="16159"/>
    <cellStyle name="20% - Accent1 13 2 2 2 2 2 3" xfId="24105"/>
    <cellStyle name="20% - Accent1 13 2 2 2 2 3" xfId="12621"/>
    <cellStyle name="20% - Accent1 13 2 2 2 2 4" xfId="20576"/>
    <cellStyle name="20% - Accent1 13 2 2 2 3" xfId="6429"/>
    <cellStyle name="20% - Accent1 13 2 2 2 3 2" xfId="14401"/>
    <cellStyle name="20% - Accent1 13 2 2 2 3 3" xfId="22348"/>
    <cellStyle name="20% - Accent1 13 2 2 2 4" xfId="10865"/>
    <cellStyle name="20% - Accent1 13 2 2 2 5" xfId="18820"/>
    <cellStyle name="20% - Accent1 13 2 2 2_Exh G" xfId="1968"/>
    <cellStyle name="20% - Accent1 13 2 2 3" xfId="3718"/>
    <cellStyle name="20% - Accent1 13 2 2 3 2" xfId="7310"/>
    <cellStyle name="20% - Accent1 13 2 2 3 2 2" xfId="15281"/>
    <cellStyle name="20% - Accent1 13 2 2 3 2 3" xfId="23227"/>
    <cellStyle name="20% - Accent1 13 2 2 3 3" xfId="11743"/>
    <cellStyle name="20% - Accent1 13 2 2 3 4" xfId="19698"/>
    <cellStyle name="20% - Accent1 13 2 2 4" xfId="5538"/>
    <cellStyle name="20% - Accent1 13 2 2 4 2" xfId="13522"/>
    <cellStyle name="20% - Accent1 13 2 2 4 3" xfId="21470"/>
    <cellStyle name="20% - Accent1 13 2 2 5" xfId="9091"/>
    <cellStyle name="20% - Accent1 13 2 2 5 2" xfId="17049"/>
    <cellStyle name="20% - Accent1 13 2 2 5 3" xfId="24993"/>
    <cellStyle name="20% - Accent1 13 2 2 6" xfId="9987"/>
    <cellStyle name="20% - Accent1 13 2 2 7" xfId="17942"/>
    <cellStyle name="20% - Accent1 13 2 2_Exh G" xfId="1967"/>
    <cellStyle name="20% - Accent1 13 2 3" xfId="1066"/>
    <cellStyle name="20% - Accent1 13 2 3 2" xfId="4596"/>
    <cellStyle name="20% - Accent1 13 2 3 2 2" xfId="8187"/>
    <cellStyle name="20% - Accent1 13 2 3 2 2 2" xfId="16158"/>
    <cellStyle name="20% - Accent1 13 2 3 2 2 3" xfId="24104"/>
    <cellStyle name="20% - Accent1 13 2 3 2 3" xfId="12620"/>
    <cellStyle name="20% - Accent1 13 2 3 2 4" xfId="20575"/>
    <cellStyle name="20% - Accent1 13 2 3 3" xfId="6428"/>
    <cellStyle name="20% - Accent1 13 2 3 3 2" xfId="14400"/>
    <cellStyle name="20% - Accent1 13 2 3 3 3" xfId="22347"/>
    <cellStyle name="20% - Accent1 13 2 3 4" xfId="10864"/>
    <cellStyle name="20% - Accent1 13 2 3 5" xfId="18819"/>
    <cellStyle name="20% - Accent1 13 2 3_Exh G" xfId="1969"/>
    <cellStyle name="20% - Accent1 13 2 4" xfId="3717"/>
    <cellStyle name="20% - Accent1 13 2 4 2" xfId="7309"/>
    <cellStyle name="20% - Accent1 13 2 4 2 2" xfId="15280"/>
    <cellStyle name="20% - Accent1 13 2 4 2 3" xfId="23226"/>
    <cellStyle name="20% - Accent1 13 2 4 3" xfId="11742"/>
    <cellStyle name="20% - Accent1 13 2 4 4" xfId="19697"/>
    <cellStyle name="20% - Accent1 13 2 5" xfId="5537"/>
    <cellStyle name="20% - Accent1 13 2 5 2" xfId="13521"/>
    <cellStyle name="20% - Accent1 13 2 5 3" xfId="21469"/>
    <cellStyle name="20% - Accent1 13 2 6" xfId="9090"/>
    <cellStyle name="20% - Accent1 13 2 6 2" xfId="17048"/>
    <cellStyle name="20% - Accent1 13 2 6 3" xfId="24992"/>
    <cellStyle name="20% - Accent1 13 2 7" xfId="9986"/>
    <cellStyle name="20% - Accent1 13 2 8" xfId="17941"/>
    <cellStyle name="20% - Accent1 13 2_Exh G" xfId="1966"/>
    <cellStyle name="20% - Accent1 13 3" xfId="40"/>
    <cellStyle name="20% - Accent1 13 3 2" xfId="1068"/>
    <cellStyle name="20% - Accent1 13 3 2 2" xfId="4598"/>
    <cellStyle name="20% - Accent1 13 3 2 2 2" xfId="8189"/>
    <cellStyle name="20% - Accent1 13 3 2 2 2 2" xfId="16160"/>
    <cellStyle name="20% - Accent1 13 3 2 2 2 3" xfId="24106"/>
    <cellStyle name="20% - Accent1 13 3 2 2 3" xfId="12622"/>
    <cellStyle name="20% - Accent1 13 3 2 2 4" xfId="20577"/>
    <cellStyle name="20% - Accent1 13 3 2 3" xfId="6430"/>
    <cellStyle name="20% - Accent1 13 3 2 3 2" xfId="14402"/>
    <cellStyle name="20% - Accent1 13 3 2 3 3" xfId="22349"/>
    <cellStyle name="20% - Accent1 13 3 2 4" xfId="10866"/>
    <cellStyle name="20% - Accent1 13 3 2 5" xfId="18821"/>
    <cellStyle name="20% - Accent1 13 3 2_Exh G" xfId="1971"/>
    <cellStyle name="20% - Accent1 13 3 3" xfId="3719"/>
    <cellStyle name="20% - Accent1 13 3 3 2" xfId="7311"/>
    <cellStyle name="20% - Accent1 13 3 3 2 2" xfId="15282"/>
    <cellStyle name="20% - Accent1 13 3 3 2 3" xfId="23228"/>
    <cellStyle name="20% - Accent1 13 3 3 3" xfId="11744"/>
    <cellStyle name="20% - Accent1 13 3 3 4" xfId="19699"/>
    <cellStyle name="20% - Accent1 13 3 4" xfId="5539"/>
    <cellStyle name="20% - Accent1 13 3 4 2" xfId="13523"/>
    <cellStyle name="20% - Accent1 13 3 4 3" xfId="21471"/>
    <cellStyle name="20% - Accent1 13 3 5" xfId="9092"/>
    <cellStyle name="20% - Accent1 13 3 5 2" xfId="17050"/>
    <cellStyle name="20% - Accent1 13 3 5 3" xfId="24994"/>
    <cellStyle name="20% - Accent1 13 3 6" xfId="9988"/>
    <cellStyle name="20% - Accent1 13 3 7" xfId="17943"/>
    <cellStyle name="20% - Accent1 13 3_Exh G" xfId="1970"/>
    <cellStyle name="20% - Accent1 13 4" xfId="1065"/>
    <cellStyle name="20% - Accent1 13 4 2" xfId="4595"/>
    <cellStyle name="20% - Accent1 13 4 2 2" xfId="8186"/>
    <cellStyle name="20% - Accent1 13 4 2 2 2" xfId="16157"/>
    <cellStyle name="20% - Accent1 13 4 2 2 3" xfId="24103"/>
    <cellStyle name="20% - Accent1 13 4 2 3" xfId="12619"/>
    <cellStyle name="20% - Accent1 13 4 2 4" xfId="20574"/>
    <cellStyle name="20% - Accent1 13 4 3" xfId="6427"/>
    <cellStyle name="20% - Accent1 13 4 3 2" xfId="14399"/>
    <cellStyle name="20% - Accent1 13 4 3 3" xfId="22346"/>
    <cellStyle name="20% - Accent1 13 4 4" xfId="10863"/>
    <cellStyle name="20% - Accent1 13 4 5" xfId="18818"/>
    <cellStyle name="20% - Accent1 13 4_Exh G" xfId="1972"/>
    <cellStyle name="20% - Accent1 13 5" xfId="3716"/>
    <cellStyle name="20% - Accent1 13 5 2" xfId="7308"/>
    <cellStyle name="20% - Accent1 13 5 2 2" xfId="15279"/>
    <cellStyle name="20% - Accent1 13 5 2 3" xfId="23225"/>
    <cellStyle name="20% - Accent1 13 5 3" xfId="11741"/>
    <cellStyle name="20% - Accent1 13 5 4" xfId="19696"/>
    <cellStyle name="20% - Accent1 13 6" xfId="5536"/>
    <cellStyle name="20% - Accent1 13 6 2" xfId="13520"/>
    <cellStyle name="20% - Accent1 13 6 3" xfId="21468"/>
    <cellStyle name="20% - Accent1 13 7" xfId="9089"/>
    <cellStyle name="20% - Accent1 13 7 2" xfId="17047"/>
    <cellStyle name="20% - Accent1 13 7 3" xfId="24991"/>
    <cellStyle name="20% - Accent1 13 8" xfId="9985"/>
    <cellStyle name="20% - Accent1 13 9" xfId="17940"/>
    <cellStyle name="20% - Accent1 13_Exh G" xfId="1965"/>
    <cellStyle name="20% - Accent1 14" xfId="41"/>
    <cellStyle name="20% - Accent1 14 2" xfId="42"/>
    <cellStyle name="20% - Accent1 14 2 2" xfId="1070"/>
    <cellStyle name="20% - Accent1 14 2 2 2" xfId="4600"/>
    <cellStyle name="20% - Accent1 14 2 2 2 2" xfId="8191"/>
    <cellStyle name="20% - Accent1 14 2 2 2 2 2" xfId="16162"/>
    <cellStyle name="20% - Accent1 14 2 2 2 2 3" xfId="24108"/>
    <cellStyle name="20% - Accent1 14 2 2 2 3" xfId="12624"/>
    <cellStyle name="20% - Accent1 14 2 2 2 4" xfId="20579"/>
    <cellStyle name="20% - Accent1 14 2 2 3" xfId="6432"/>
    <cellStyle name="20% - Accent1 14 2 2 3 2" xfId="14404"/>
    <cellStyle name="20% - Accent1 14 2 2 3 3" xfId="22351"/>
    <cellStyle name="20% - Accent1 14 2 2 4" xfId="10868"/>
    <cellStyle name="20% - Accent1 14 2 2 5" xfId="18823"/>
    <cellStyle name="20% - Accent1 14 2 2_Exh G" xfId="1975"/>
    <cellStyle name="20% - Accent1 14 2 3" xfId="3721"/>
    <cellStyle name="20% - Accent1 14 2 3 2" xfId="7313"/>
    <cellStyle name="20% - Accent1 14 2 3 2 2" xfId="15284"/>
    <cellStyle name="20% - Accent1 14 2 3 2 3" xfId="23230"/>
    <cellStyle name="20% - Accent1 14 2 3 3" xfId="11746"/>
    <cellStyle name="20% - Accent1 14 2 3 4" xfId="19701"/>
    <cellStyle name="20% - Accent1 14 2 4" xfId="5541"/>
    <cellStyle name="20% - Accent1 14 2 4 2" xfId="13525"/>
    <cellStyle name="20% - Accent1 14 2 4 3" xfId="21473"/>
    <cellStyle name="20% - Accent1 14 2 5" xfId="9094"/>
    <cellStyle name="20% - Accent1 14 2 5 2" xfId="17052"/>
    <cellStyle name="20% - Accent1 14 2 5 3" xfId="24996"/>
    <cellStyle name="20% - Accent1 14 2 6" xfId="9990"/>
    <cellStyle name="20% - Accent1 14 2 7" xfId="17945"/>
    <cellStyle name="20% - Accent1 14 2_Exh G" xfId="1974"/>
    <cellStyle name="20% - Accent1 14 3" xfId="1069"/>
    <cellStyle name="20% - Accent1 14 3 2" xfId="4599"/>
    <cellStyle name="20% - Accent1 14 3 2 2" xfId="8190"/>
    <cellStyle name="20% - Accent1 14 3 2 2 2" xfId="16161"/>
    <cellStyle name="20% - Accent1 14 3 2 2 3" xfId="24107"/>
    <cellStyle name="20% - Accent1 14 3 2 3" xfId="12623"/>
    <cellStyle name="20% - Accent1 14 3 2 4" xfId="20578"/>
    <cellStyle name="20% - Accent1 14 3 3" xfId="6431"/>
    <cellStyle name="20% - Accent1 14 3 3 2" xfId="14403"/>
    <cellStyle name="20% - Accent1 14 3 3 3" xfId="22350"/>
    <cellStyle name="20% - Accent1 14 3 4" xfId="10867"/>
    <cellStyle name="20% - Accent1 14 3 5" xfId="18822"/>
    <cellStyle name="20% - Accent1 14 3_Exh G" xfId="1976"/>
    <cellStyle name="20% - Accent1 14 4" xfId="3720"/>
    <cellStyle name="20% - Accent1 14 4 2" xfId="7312"/>
    <cellStyle name="20% - Accent1 14 4 2 2" xfId="15283"/>
    <cellStyle name="20% - Accent1 14 4 2 3" xfId="23229"/>
    <cellStyle name="20% - Accent1 14 4 3" xfId="11745"/>
    <cellStyle name="20% - Accent1 14 4 4" xfId="19700"/>
    <cellStyle name="20% - Accent1 14 5" xfId="5540"/>
    <cellStyle name="20% - Accent1 14 5 2" xfId="13524"/>
    <cellStyle name="20% - Accent1 14 5 3" xfId="21472"/>
    <cellStyle name="20% - Accent1 14 6" xfId="9093"/>
    <cellStyle name="20% - Accent1 14 6 2" xfId="17051"/>
    <cellStyle name="20% - Accent1 14 6 3" xfId="24995"/>
    <cellStyle name="20% - Accent1 14 7" xfId="9989"/>
    <cellStyle name="20% - Accent1 14 8" xfId="17944"/>
    <cellStyle name="20% - Accent1 14_Exh G" xfId="1973"/>
    <cellStyle name="20% - Accent1 15" xfId="43"/>
    <cellStyle name="20% - Accent1 15 2" xfId="1071"/>
    <cellStyle name="20% - Accent1 15 2 2" xfId="4601"/>
    <cellStyle name="20% - Accent1 15 2 2 2" xfId="8192"/>
    <cellStyle name="20% - Accent1 15 2 2 2 2" xfId="16163"/>
    <cellStyle name="20% - Accent1 15 2 2 2 3" xfId="24109"/>
    <cellStyle name="20% - Accent1 15 2 2 3" xfId="12625"/>
    <cellStyle name="20% - Accent1 15 2 2 4" xfId="20580"/>
    <cellStyle name="20% - Accent1 15 2 3" xfId="6433"/>
    <cellStyle name="20% - Accent1 15 2 3 2" xfId="14405"/>
    <cellStyle name="20% - Accent1 15 2 3 3" xfId="22352"/>
    <cellStyle name="20% - Accent1 15 2 4" xfId="10869"/>
    <cellStyle name="20% - Accent1 15 2 5" xfId="18824"/>
    <cellStyle name="20% - Accent1 15 2_Exh G" xfId="1978"/>
    <cellStyle name="20% - Accent1 15 3" xfId="3722"/>
    <cellStyle name="20% - Accent1 15 3 2" xfId="7314"/>
    <cellStyle name="20% - Accent1 15 3 2 2" xfId="15285"/>
    <cellStyle name="20% - Accent1 15 3 2 3" xfId="23231"/>
    <cellStyle name="20% - Accent1 15 3 3" xfId="11747"/>
    <cellStyle name="20% - Accent1 15 3 4" xfId="19702"/>
    <cellStyle name="20% - Accent1 15 4" xfId="5542"/>
    <cellStyle name="20% - Accent1 15 4 2" xfId="13526"/>
    <cellStyle name="20% - Accent1 15 4 3" xfId="21474"/>
    <cellStyle name="20% - Accent1 15 5" xfId="9095"/>
    <cellStyle name="20% - Accent1 15 5 2" xfId="17053"/>
    <cellStyle name="20% - Accent1 15 5 3" xfId="24997"/>
    <cellStyle name="20% - Accent1 15 6" xfId="9991"/>
    <cellStyle name="20% - Accent1 15 7" xfId="17946"/>
    <cellStyle name="20% - Accent1 15_Exh G" xfId="1977"/>
    <cellStyle name="20% - Accent1 16" xfId="843"/>
    <cellStyle name="20% - Accent1 16 2" xfId="1782"/>
    <cellStyle name="20% - Accent1 16 2 2" xfId="5303"/>
    <cellStyle name="20% - Accent1 16 2 2 2" xfId="8894"/>
    <cellStyle name="20% - Accent1 16 2 2 2 2" xfId="16865"/>
    <cellStyle name="20% - Accent1 16 2 2 2 3" xfId="24811"/>
    <cellStyle name="20% - Accent1 16 2 2 3" xfId="13327"/>
    <cellStyle name="20% - Accent1 16 2 2 4" xfId="21282"/>
    <cellStyle name="20% - Accent1 16 2 3" xfId="7135"/>
    <cellStyle name="20% - Accent1 16 2 3 2" xfId="15107"/>
    <cellStyle name="20% - Accent1 16 2 3 3" xfId="23054"/>
    <cellStyle name="20% - Accent1 16 2 4" xfId="11571"/>
    <cellStyle name="20% - Accent1 16 2 5" xfId="19526"/>
    <cellStyle name="20% - Accent1 16 2_Exh G" xfId="1980"/>
    <cellStyle name="20% - Accent1 16 3" xfId="4424"/>
    <cellStyle name="20% - Accent1 16 3 2" xfId="8016"/>
    <cellStyle name="20% - Accent1 16 3 2 2" xfId="15987"/>
    <cellStyle name="20% - Accent1 16 3 2 3" xfId="23933"/>
    <cellStyle name="20% - Accent1 16 3 3" xfId="12449"/>
    <cellStyle name="20% - Accent1 16 3 4" xfId="20404"/>
    <cellStyle name="20% - Accent1 16 4" xfId="6254"/>
    <cellStyle name="20% - Accent1 16 4 2" xfId="14229"/>
    <cellStyle name="20% - Accent1 16 4 3" xfId="22176"/>
    <cellStyle name="20% - Accent1 16 5" xfId="9797"/>
    <cellStyle name="20% - Accent1 16 5 2" xfId="17755"/>
    <cellStyle name="20% - Accent1 16 5 3" xfId="25699"/>
    <cellStyle name="20% - Accent1 16 6" xfId="10693"/>
    <cellStyle name="20% - Accent1 16 7" xfId="18648"/>
    <cellStyle name="20% - Accent1 16_Exh G" xfId="1979"/>
    <cellStyle name="20% - Accent1 2" xfId="44"/>
    <cellStyle name="20% - Accent1 2 10" xfId="17947"/>
    <cellStyle name="20% - Accent1 2 2" xfId="45"/>
    <cellStyle name="20% - Accent1 2 2 2" xfId="46"/>
    <cellStyle name="20% - Accent1 2 2 2 2" xfId="1074"/>
    <cellStyle name="20% - Accent1 2 2 2 2 2" xfId="4604"/>
    <cellStyle name="20% - Accent1 2 2 2 2 2 2" xfId="8195"/>
    <cellStyle name="20% - Accent1 2 2 2 2 2 2 2" xfId="16166"/>
    <cellStyle name="20% - Accent1 2 2 2 2 2 2 3" xfId="24112"/>
    <cellStyle name="20% - Accent1 2 2 2 2 2 3" xfId="12628"/>
    <cellStyle name="20% - Accent1 2 2 2 2 2 4" xfId="20583"/>
    <cellStyle name="20% - Accent1 2 2 2 2 3" xfId="6436"/>
    <cellStyle name="20% - Accent1 2 2 2 2 3 2" xfId="14408"/>
    <cellStyle name="20% - Accent1 2 2 2 2 3 3" xfId="22355"/>
    <cellStyle name="20% - Accent1 2 2 2 2 4" xfId="10872"/>
    <cellStyle name="20% - Accent1 2 2 2 2 5" xfId="18827"/>
    <cellStyle name="20% - Accent1 2 2 2 2_Exh G" xfId="1984"/>
    <cellStyle name="20% - Accent1 2 2 2 3" xfId="3725"/>
    <cellStyle name="20% - Accent1 2 2 2 3 2" xfId="7317"/>
    <cellStyle name="20% - Accent1 2 2 2 3 2 2" xfId="15288"/>
    <cellStyle name="20% - Accent1 2 2 2 3 2 3" xfId="23234"/>
    <cellStyle name="20% - Accent1 2 2 2 3 3" xfId="11750"/>
    <cellStyle name="20% - Accent1 2 2 2 3 4" xfId="19705"/>
    <cellStyle name="20% - Accent1 2 2 2 4" xfId="5545"/>
    <cellStyle name="20% - Accent1 2 2 2 4 2" xfId="13529"/>
    <cellStyle name="20% - Accent1 2 2 2 4 3" xfId="21477"/>
    <cellStyle name="20% - Accent1 2 2 2 5" xfId="9098"/>
    <cellStyle name="20% - Accent1 2 2 2 5 2" xfId="17056"/>
    <cellStyle name="20% - Accent1 2 2 2 5 3" xfId="25000"/>
    <cellStyle name="20% - Accent1 2 2 2 6" xfId="9994"/>
    <cellStyle name="20% - Accent1 2 2 2 7" xfId="17949"/>
    <cellStyle name="20% - Accent1 2 2 2_Exh G" xfId="1983"/>
    <cellStyle name="20% - Accent1 2 2 3" xfId="864"/>
    <cellStyle name="20% - Accent1 2 2 3 2" xfId="1800"/>
    <cellStyle name="20% - Accent1 2 2 3 2 2" xfId="5318"/>
    <cellStyle name="20% - Accent1 2 2 3 2 2 2" xfId="8909"/>
    <cellStyle name="20% - Accent1 2 2 3 2 2 2 2" xfId="16880"/>
    <cellStyle name="20% - Accent1 2 2 3 2 2 2 3" xfId="24826"/>
    <cellStyle name="20% - Accent1 2 2 3 2 2 3" xfId="13342"/>
    <cellStyle name="20% - Accent1 2 2 3 2 2 4" xfId="21297"/>
    <cellStyle name="20% - Accent1 2 2 3 2 3" xfId="7150"/>
    <cellStyle name="20% - Accent1 2 2 3 2 3 2" xfId="15122"/>
    <cellStyle name="20% - Accent1 2 2 3 2 3 3" xfId="23069"/>
    <cellStyle name="20% - Accent1 2 2 3 2 4" xfId="11586"/>
    <cellStyle name="20% - Accent1 2 2 3 2 5" xfId="19541"/>
    <cellStyle name="20% - Accent1 2 2 3 2_Exh G" xfId="1986"/>
    <cellStyle name="20% - Accent1 2 2 3 3" xfId="4439"/>
    <cellStyle name="20% - Accent1 2 2 3 3 2" xfId="8031"/>
    <cellStyle name="20% - Accent1 2 2 3 3 2 2" xfId="16002"/>
    <cellStyle name="20% - Accent1 2 2 3 3 2 3" xfId="23948"/>
    <cellStyle name="20% - Accent1 2 2 3 3 3" xfId="12464"/>
    <cellStyle name="20% - Accent1 2 2 3 3 4" xfId="20419"/>
    <cellStyle name="20% - Accent1 2 2 3 4" xfId="6269"/>
    <cellStyle name="20% - Accent1 2 2 3 4 2" xfId="14244"/>
    <cellStyle name="20% - Accent1 2 2 3 4 3" xfId="22191"/>
    <cellStyle name="20% - Accent1 2 2 3 5" xfId="9812"/>
    <cellStyle name="20% - Accent1 2 2 3 5 2" xfId="17770"/>
    <cellStyle name="20% - Accent1 2 2 3 5 3" xfId="25714"/>
    <cellStyle name="20% - Accent1 2 2 3 6" xfId="10708"/>
    <cellStyle name="20% - Accent1 2 2 3 7" xfId="18663"/>
    <cellStyle name="20% - Accent1 2 2 3_Exh G" xfId="1985"/>
    <cellStyle name="20% - Accent1 2 2 4" xfId="1073"/>
    <cellStyle name="20% - Accent1 2 2 4 2" xfId="4603"/>
    <cellStyle name="20% - Accent1 2 2 4 2 2" xfId="8194"/>
    <cellStyle name="20% - Accent1 2 2 4 2 2 2" xfId="16165"/>
    <cellStyle name="20% - Accent1 2 2 4 2 2 3" xfId="24111"/>
    <cellStyle name="20% - Accent1 2 2 4 2 3" xfId="12627"/>
    <cellStyle name="20% - Accent1 2 2 4 2 4" xfId="20582"/>
    <cellStyle name="20% - Accent1 2 2 4 3" xfId="6435"/>
    <cellStyle name="20% - Accent1 2 2 4 3 2" xfId="14407"/>
    <cellStyle name="20% - Accent1 2 2 4 3 3" xfId="22354"/>
    <cellStyle name="20% - Accent1 2 2 4 4" xfId="10871"/>
    <cellStyle name="20% - Accent1 2 2 4 5" xfId="18826"/>
    <cellStyle name="20% - Accent1 2 2 4_Exh G" xfId="1987"/>
    <cellStyle name="20% - Accent1 2 2 5" xfId="3724"/>
    <cellStyle name="20% - Accent1 2 2 5 2" xfId="7316"/>
    <cellStyle name="20% - Accent1 2 2 5 2 2" xfId="15287"/>
    <cellStyle name="20% - Accent1 2 2 5 2 3" xfId="23233"/>
    <cellStyle name="20% - Accent1 2 2 5 3" xfId="11749"/>
    <cellStyle name="20% - Accent1 2 2 5 4" xfId="19704"/>
    <cellStyle name="20% - Accent1 2 2 6" xfId="5544"/>
    <cellStyle name="20% - Accent1 2 2 6 2" xfId="13528"/>
    <cellStyle name="20% - Accent1 2 2 6 3" xfId="21476"/>
    <cellStyle name="20% - Accent1 2 2 7" xfId="9097"/>
    <cellStyle name="20% - Accent1 2 2 7 2" xfId="17055"/>
    <cellStyle name="20% - Accent1 2 2 7 3" xfId="24999"/>
    <cellStyle name="20% - Accent1 2 2 8" xfId="9993"/>
    <cellStyle name="20% - Accent1 2 2 9" xfId="17948"/>
    <cellStyle name="20% - Accent1 2 2_Exh G" xfId="1982"/>
    <cellStyle name="20% - Accent1 2 3" xfId="47"/>
    <cellStyle name="20% - Accent1 2 3 2" xfId="1075"/>
    <cellStyle name="20% - Accent1 2 3 2 2" xfId="4605"/>
    <cellStyle name="20% - Accent1 2 3 2 2 2" xfId="8196"/>
    <cellStyle name="20% - Accent1 2 3 2 2 2 2" xfId="16167"/>
    <cellStyle name="20% - Accent1 2 3 2 2 2 3" xfId="24113"/>
    <cellStyle name="20% - Accent1 2 3 2 2 3" xfId="12629"/>
    <cellStyle name="20% - Accent1 2 3 2 2 4" xfId="20584"/>
    <cellStyle name="20% - Accent1 2 3 2 3" xfId="6437"/>
    <cellStyle name="20% - Accent1 2 3 2 3 2" xfId="14409"/>
    <cellStyle name="20% - Accent1 2 3 2 3 3" xfId="22356"/>
    <cellStyle name="20% - Accent1 2 3 2 4" xfId="10873"/>
    <cellStyle name="20% - Accent1 2 3 2 5" xfId="18828"/>
    <cellStyle name="20% - Accent1 2 3 2_Exh G" xfId="1989"/>
    <cellStyle name="20% - Accent1 2 3 3" xfId="3726"/>
    <cellStyle name="20% - Accent1 2 3 3 2" xfId="7318"/>
    <cellStyle name="20% - Accent1 2 3 3 2 2" xfId="15289"/>
    <cellStyle name="20% - Accent1 2 3 3 2 3" xfId="23235"/>
    <cellStyle name="20% - Accent1 2 3 3 3" xfId="11751"/>
    <cellStyle name="20% - Accent1 2 3 3 4" xfId="19706"/>
    <cellStyle name="20% - Accent1 2 3 4" xfId="5546"/>
    <cellStyle name="20% - Accent1 2 3 4 2" xfId="13530"/>
    <cellStyle name="20% - Accent1 2 3 4 3" xfId="21478"/>
    <cellStyle name="20% - Accent1 2 3 5" xfId="9099"/>
    <cellStyle name="20% - Accent1 2 3 5 2" xfId="17057"/>
    <cellStyle name="20% - Accent1 2 3 5 3" xfId="25001"/>
    <cellStyle name="20% - Accent1 2 3 6" xfId="9995"/>
    <cellStyle name="20% - Accent1 2 3 7" xfId="17950"/>
    <cellStyle name="20% - Accent1 2 3_Exh G" xfId="1988"/>
    <cellStyle name="20% - Accent1 2 4" xfId="863"/>
    <cellStyle name="20% - Accent1 2 4 2" xfId="1799"/>
    <cellStyle name="20% - Accent1 2 4 2 2" xfId="5317"/>
    <cellStyle name="20% - Accent1 2 4 2 2 2" xfId="8908"/>
    <cellStyle name="20% - Accent1 2 4 2 2 2 2" xfId="16879"/>
    <cellStyle name="20% - Accent1 2 4 2 2 2 3" xfId="24825"/>
    <cellStyle name="20% - Accent1 2 4 2 2 3" xfId="13341"/>
    <cellStyle name="20% - Accent1 2 4 2 2 4" xfId="21296"/>
    <cellStyle name="20% - Accent1 2 4 2 3" xfId="7149"/>
    <cellStyle name="20% - Accent1 2 4 2 3 2" xfId="15121"/>
    <cellStyle name="20% - Accent1 2 4 2 3 3" xfId="23068"/>
    <cellStyle name="20% - Accent1 2 4 2 4" xfId="11585"/>
    <cellStyle name="20% - Accent1 2 4 2 5" xfId="19540"/>
    <cellStyle name="20% - Accent1 2 4 2_Exh G" xfId="1991"/>
    <cellStyle name="20% - Accent1 2 4 3" xfId="4438"/>
    <cellStyle name="20% - Accent1 2 4 3 2" xfId="8030"/>
    <cellStyle name="20% - Accent1 2 4 3 2 2" xfId="16001"/>
    <cellStyle name="20% - Accent1 2 4 3 2 3" xfId="23947"/>
    <cellStyle name="20% - Accent1 2 4 3 3" xfId="12463"/>
    <cellStyle name="20% - Accent1 2 4 3 4" xfId="20418"/>
    <cellStyle name="20% - Accent1 2 4 4" xfId="6268"/>
    <cellStyle name="20% - Accent1 2 4 4 2" xfId="14243"/>
    <cellStyle name="20% - Accent1 2 4 4 3" xfId="22190"/>
    <cellStyle name="20% - Accent1 2 4 5" xfId="9811"/>
    <cellStyle name="20% - Accent1 2 4 5 2" xfId="17769"/>
    <cellStyle name="20% - Accent1 2 4 5 3" xfId="25713"/>
    <cellStyle name="20% - Accent1 2 4 6" xfId="10707"/>
    <cellStyle name="20% - Accent1 2 4 7" xfId="18662"/>
    <cellStyle name="20% - Accent1 2 4_Exh G" xfId="1990"/>
    <cellStyle name="20% - Accent1 2 5" xfId="1072"/>
    <cellStyle name="20% - Accent1 2 5 2" xfId="4602"/>
    <cellStyle name="20% - Accent1 2 5 2 2" xfId="8193"/>
    <cellStyle name="20% - Accent1 2 5 2 2 2" xfId="16164"/>
    <cellStyle name="20% - Accent1 2 5 2 2 3" xfId="24110"/>
    <cellStyle name="20% - Accent1 2 5 2 3" xfId="12626"/>
    <cellStyle name="20% - Accent1 2 5 2 4" xfId="20581"/>
    <cellStyle name="20% - Accent1 2 5 3" xfId="6434"/>
    <cellStyle name="20% - Accent1 2 5 3 2" xfId="14406"/>
    <cellStyle name="20% - Accent1 2 5 3 3" xfId="22353"/>
    <cellStyle name="20% - Accent1 2 5 4" xfId="10870"/>
    <cellStyle name="20% - Accent1 2 5 5" xfId="18825"/>
    <cellStyle name="20% - Accent1 2 5_Exh G" xfId="1992"/>
    <cellStyle name="20% - Accent1 2 6" xfId="3723"/>
    <cellStyle name="20% - Accent1 2 6 2" xfId="7315"/>
    <cellStyle name="20% - Accent1 2 6 2 2" xfId="15286"/>
    <cellStyle name="20% - Accent1 2 6 2 3" xfId="23232"/>
    <cellStyle name="20% - Accent1 2 6 3" xfId="11748"/>
    <cellStyle name="20% - Accent1 2 6 4" xfId="19703"/>
    <cellStyle name="20% - Accent1 2 7" xfId="5543"/>
    <cellStyle name="20% - Accent1 2 7 2" xfId="13527"/>
    <cellStyle name="20% - Accent1 2 7 3" xfId="21475"/>
    <cellStyle name="20% - Accent1 2 8" xfId="9096"/>
    <cellStyle name="20% - Accent1 2 8 2" xfId="17054"/>
    <cellStyle name="20% - Accent1 2 8 3" xfId="24998"/>
    <cellStyle name="20% - Accent1 2 9" xfId="9992"/>
    <cellStyle name="20% - Accent1 2_Exh G" xfId="1981"/>
    <cellStyle name="20% - Accent1 3" xfId="48"/>
    <cellStyle name="20% - Accent1 3 10" xfId="17951"/>
    <cellStyle name="20% - Accent1 3 2" xfId="49"/>
    <cellStyle name="20% - Accent1 3 2 2" xfId="50"/>
    <cellStyle name="20% - Accent1 3 2 2 2" xfId="1078"/>
    <cellStyle name="20% - Accent1 3 2 2 2 2" xfId="4608"/>
    <cellStyle name="20% - Accent1 3 2 2 2 2 2" xfId="8199"/>
    <cellStyle name="20% - Accent1 3 2 2 2 2 2 2" xfId="16170"/>
    <cellStyle name="20% - Accent1 3 2 2 2 2 2 3" xfId="24116"/>
    <cellStyle name="20% - Accent1 3 2 2 2 2 3" xfId="12632"/>
    <cellStyle name="20% - Accent1 3 2 2 2 2 4" xfId="20587"/>
    <cellStyle name="20% - Accent1 3 2 2 2 3" xfId="6440"/>
    <cellStyle name="20% - Accent1 3 2 2 2 3 2" xfId="14412"/>
    <cellStyle name="20% - Accent1 3 2 2 2 3 3" xfId="22359"/>
    <cellStyle name="20% - Accent1 3 2 2 2 4" xfId="10876"/>
    <cellStyle name="20% - Accent1 3 2 2 2 5" xfId="18831"/>
    <cellStyle name="20% - Accent1 3 2 2 2_Exh G" xfId="1996"/>
    <cellStyle name="20% - Accent1 3 2 2 3" xfId="3729"/>
    <cellStyle name="20% - Accent1 3 2 2 3 2" xfId="7321"/>
    <cellStyle name="20% - Accent1 3 2 2 3 2 2" xfId="15292"/>
    <cellStyle name="20% - Accent1 3 2 2 3 2 3" xfId="23238"/>
    <cellStyle name="20% - Accent1 3 2 2 3 3" xfId="11754"/>
    <cellStyle name="20% - Accent1 3 2 2 3 4" xfId="19709"/>
    <cellStyle name="20% - Accent1 3 2 2 4" xfId="5549"/>
    <cellStyle name="20% - Accent1 3 2 2 4 2" xfId="13533"/>
    <cellStyle name="20% - Accent1 3 2 2 4 3" xfId="21481"/>
    <cellStyle name="20% - Accent1 3 2 2 5" xfId="9102"/>
    <cellStyle name="20% - Accent1 3 2 2 5 2" xfId="17060"/>
    <cellStyle name="20% - Accent1 3 2 2 5 3" xfId="25004"/>
    <cellStyle name="20% - Accent1 3 2 2 6" xfId="9998"/>
    <cellStyle name="20% - Accent1 3 2 2 7" xfId="17953"/>
    <cellStyle name="20% - Accent1 3 2 2_Exh G" xfId="1995"/>
    <cellStyle name="20% - Accent1 3 2 3" xfId="866"/>
    <cellStyle name="20% - Accent1 3 2 3 2" xfId="1802"/>
    <cellStyle name="20% - Accent1 3 2 3 2 2" xfId="5320"/>
    <cellStyle name="20% - Accent1 3 2 3 2 2 2" xfId="8911"/>
    <cellStyle name="20% - Accent1 3 2 3 2 2 2 2" xfId="16882"/>
    <cellStyle name="20% - Accent1 3 2 3 2 2 2 3" xfId="24828"/>
    <cellStyle name="20% - Accent1 3 2 3 2 2 3" xfId="13344"/>
    <cellStyle name="20% - Accent1 3 2 3 2 2 4" xfId="21299"/>
    <cellStyle name="20% - Accent1 3 2 3 2 3" xfId="7152"/>
    <cellStyle name="20% - Accent1 3 2 3 2 3 2" xfId="15124"/>
    <cellStyle name="20% - Accent1 3 2 3 2 3 3" xfId="23071"/>
    <cellStyle name="20% - Accent1 3 2 3 2 4" xfId="11588"/>
    <cellStyle name="20% - Accent1 3 2 3 2 5" xfId="19543"/>
    <cellStyle name="20% - Accent1 3 2 3 2_Exh G" xfId="1998"/>
    <cellStyle name="20% - Accent1 3 2 3 3" xfId="4441"/>
    <cellStyle name="20% - Accent1 3 2 3 3 2" xfId="8033"/>
    <cellStyle name="20% - Accent1 3 2 3 3 2 2" xfId="16004"/>
    <cellStyle name="20% - Accent1 3 2 3 3 2 3" xfId="23950"/>
    <cellStyle name="20% - Accent1 3 2 3 3 3" xfId="12466"/>
    <cellStyle name="20% - Accent1 3 2 3 3 4" xfId="20421"/>
    <cellStyle name="20% - Accent1 3 2 3 4" xfId="6271"/>
    <cellStyle name="20% - Accent1 3 2 3 4 2" xfId="14246"/>
    <cellStyle name="20% - Accent1 3 2 3 4 3" xfId="22193"/>
    <cellStyle name="20% - Accent1 3 2 3 5" xfId="9814"/>
    <cellStyle name="20% - Accent1 3 2 3 5 2" xfId="17772"/>
    <cellStyle name="20% - Accent1 3 2 3 5 3" xfId="25716"/>
    <cellStyle name="20% - Accent1 3 2 3 6" xfId="10710"/>
    <cellStyle name="20% - Accent1 3 2 3 7" xfId="18665"/>
    <cellStyle name="20% - Accent1 3 2 3_Exh G" xfId="1997"/>
    <cellStyle name="20% - Accent1 3 2 4" xfId="1077"/>
    <cellStyle name="20% - Accent1 3 2 4 2" xfId="4607"/>
    <cellStyle name="20% - Accent1 3 2 4 2 2" xfId="8198"/>
    <cellStyle name="20% - Accent1 3 2 4 2 2 2" xfId="16169"/>
    <cellStyle name="20% - Accent1 3 2 4 2 2 3" xfId="24115"/>
    <cellStyle name="20% - Accent1 3 2 4 2 3" xfId="12631"/>
    <cellStyle name="20% - Accent1 3 2 4 2 4" xfId="20586"/>
    <cellStyle name="20% - Accent1 3 2 4 3" xfId="6439"/>
    <cellStyle name="20% - Accent1 3 2 4 3 2" xfId="14411"/>
    <cellStyle name="20% - Accent1 3 2 4 3 3" xfId="22358"/>
    <cellStyle name="20% - Accent1 3 2 4 4" xfId="10875"/>
    <cellStyle name="20% - Accent1 3 2 4 5" xfId="18830"/>
    <cellStyle name="20% - Accent1 3 2 4_Exh G" xfId="1999"/>
    <cellStyle name="20% - Accent1 3 2 5" xfId="3728"/>
    <cellStyle name="20% - Accent1 3 2 5 2" xfId="7320"/>
    <cellStyle name="20% - Accent1 3 2 5 2 2" xfId="15291"/>
    <cellStyle name="20% - Accent1 3 2 5 2 3" xfId="23237"/>
    <cellStyle name="20% - Accent1 3 2 5 3" xfId="11753"/>
    <cellStyle name="20% - Accent1 3 2 5 4" xfId="19708"/>
    <cellStyle name="20% - Accent1 3 2 6" xfId="5548"/>
    <cellStyle name="20% - Accent1 3 2 6 2" xfId="13532"/>
    <cellStyle name="20% - Accent1 3 2 6 3" xfId="21480"/>
    <cellStyle name="20% - Accent1 3 2 7" xfId="9101"/>
    <cellStyle name="20% - Accent1 3 2 7 2" xfId="17059"/>
    <cellStyle name="20% - Accent1 3 2 7 3" xfId="25003"/>
    <cellStyle name="20% - Accent1 3 2 8" xfId="9997"/>
    <cellStyle name="20% - Accent1 3 2 9" xfId="17952"/>
    <cellStyle name="20% - Accent1 3 2_Exh G" xfId="1994"/>
    <cellStyle name="20% - Accent1 3 3" xfId="51"/>
    <cellStyle name="20% - Accent1 3 3 2" xfId="1079"/>
    <cellStyle name="20% - Accent1 3 3 2 2" xfId="4609"/>
    <cellStyle name="20% - Accent1 3 3 2 2 2" xfId="8200"/>
    <cellStyle name="20% - Accent1 3 3 2 2 2 2" xfId="16171"/>
    <cellStyle name="20% - Accent1 3 3 2 2 2 3" xfId="24117"/>
    <cellStyle name="20% - Accent1 3 3 2 2 3" xfId="12633"/>
    <cellStyle name="20% - Accent1 3 3 2 2 4" xfId="20588"/>
    <cellStyle name="20% - Accent1 3 3 2 3" xfId="6441"/>
    <cellStyle name="20% - Accent1 3 3 2 3 2" xfId="14413"/>
    <cellStyle name="20% - Accent1 3 3 2 3 3" xfId="22360"/>
    <cellStyle name="20% - Accent1 3 3 2 4" xfId="10877"/>
    <cellStyle name="20% - Accent1 3 3 2 5" xfId="18832"/>
    <cellStyle name="20% - Accent1 3 3 2_Exh G" xfId="2001"/>
    <cellStyle name="20% - Accent1 3 3 3" xfId="3730"/>
    <cellStyle name="20% - Accent1 3 3 3 2" xfId="7322"/>
    <cellStyle name="20% - Accent1 3 3 3 2 2" xfId="15293"/>
    <cellStyle name="20% - Accent1 3 3 3 2 3" xfId="23239"/>
    <cellStyle name="20% - Accent1 3 3 3 3" xfId="11755"/>
    <cellStyle name="20% - Accent1 3 3 3 4" xfId="19710"/>
    <cellStyle name="20% - Accent1 3 3 4" xfId="5550"/>
    <cellStyle name="20% - Accent1 3 3 4 2" xfId="13534"/>
    <cellStyle name="20% - Accent1 3 3 4 3" xfId="21482"/>
    <cellStyle name="20% - Accent1 3 3 5" xfId="9103"/>
    <cellStyle name="20% - Accent1 3 3 5 2" xfId="17061"/>
    <cellStyle name="20% - Accent1 3 3 5 3" xfId="25005"/>
    <cellStyle name="20% - Accent1 3 3 6" xfId="9999"/>
    <cellStyle name="20% - Accent1 3 3 7" xfId="17954"/>
    <cellStyle name="20% - Accent1 3 3_Exh G" xfId="2000"/>
    <cellStyle name="20% - Accent1 3 4" xfId="865"/>
    <cellStyle name="20% - Accent1 3 4 2" xfId="1801"/>
    <cellStyle name="20% - Accent1 3 4 2 2" xfId="5319"/>
    <cellStyle name="20% - Accent1 3 4 2 2 2" xfId="8910"/>
    <cellStyle name="20% - Accent1 3 4 2 2 2 2" xfId="16881"/>
    <cellStyle name="20% - Accent1 3 4 2 2 2 3" xfId="24827"/>
    <cellStyle name="20% - Accent1 3 4 2 2 3" xfId="13343"/>
    <cellStyle name="20% - Accent1 3 4 2 2 4" xfId="21298"/>
    <cellStyle name="20% - Accent1 3 4 2 3" xfId="7151"/>
    <cellStyle name="20% - Accent1 3 4 2 3 2" xfId="15123"/>
    <cellStyle name="20% - Accent1 3 4 2 3 3" xfId="23070"/>
    <cellStyle name="20% - Accent1 3 4 2 4" xfId="11587"/>
    <cellStyle name="20% - Accent1 3 4 2 5" xfId="19542"/>
    <cellStyle name="20% - Accent1 3 4 2_Exh G" xfId="2003"/>
    <cellStyle name="20% - Accent1 3 4 3" xfId="4440"/>
    <cellStyle name="20% - Accent1 3 4 3 2" xfId="8032"/>
    <cellStyle name="20% - Accent1 3 4 3 2 2" xfId="16003"/>
    <cellStyle name="20% - Accent1 3 4 3 2 3" xfId="23949"/>
    <cellStyle name="20% - Accent1 3 4 3 3" xfId="12465"/>
    <cellStyle name="20% - Accent1 3 4 3 4" xfId="20420"/>
    <cellStyle name="20% - Accent1 3 4 4" xfId="6270"/>
    <cellStyle name="20% - Accent1 3 4 4 2" xfId="14245"/>
    <cellStyle name="20% - Accent1 3 4 4 3" xfId="22192"/>
    <cellStyle name="20% - Accent1 3 4 5" xfId="9813"/>
    <cellStyle name="20% - Accent1 3 4 5 2" xfId="17771"/>
    <cellStyle name="20% - Accent1 3 4 5 3" xfId="25715"/>
    <cellStyle name="20% - Accent1 3 4 6" xfId="10709"/>
    <cellStyle name="20% - Accent1 3 4 7" xfId="18664"/>
    <cellStyle name="20% - Accent1 3 4_Exh G" xfId="2002"/>
    <cellStyle name="20% - Accent1 3 5" xfId="1076"/>
    <cellStyle name="20% - Accent1 3 5 2" xfId="4606"/>
    <cellStyle name="20% - Accent1 3 5 2 2" xfId="8197"/>
    <cellStyle name="20% - Accent1 3 5 2 2 2" xfId="16168"/>
    <cellStyle name="20% - Accent1 3 5 2 2 3" xfId="24114"/>
    <cellStyle name="20% - Accent1 3 5 2 3" xfId="12630"/>
    <cellStyle name="20% - Accent1 3 5 2 4" xfId="20585"/>
    <cellStyle name="20% - Accent1 3 5 3" xfId="6438"/>
    <cellStyle name="20% - Accent1 3 5 3 2" xfId="14410"/>
    <cellStyle name="20% - Accent1 3 5 3 3" xfId="22357"/>
    <cellStyle name="20% - Accent1 3 5 4" xfId="10874"/>
    <cellStyle name="20% - Accent1 3 5 5" xfId="18829"/>
    <cellStyle name="20% - Accent1 3 5_Exh G" xfId="2004"/>
    <cellStyle name="20% - Accent1 3 6" xfId="3727"/>
    <cellStyle name="20% - Accent1 3 6 2" xfId="7319"/>
    <cellStyle name="20% - Accent1 3 6 2 2" xfId="15290"/>
    <cellStyle name="20% - Accent1 3 6 2 3" xfId="23236"/>
    <cellStyle name="20% - Accent1 3 6 3" xfId="11752"/>
    <cellStyle name="20% - Accent1 3 6 4" xfId="19707"/>
    <cellStyle name="20% - Accent1 3 7" xfId="5547"/>
    <cellStyle name="20% - Accent1 3 7 2" xfId="13531"/>
    <cellStyle name="20% - Accent1 3 7 3" xfId="21479"/>
    <cellStyle name="20% - Accent1 3 8" xfId="9100"/>
    <cellStyle name="20% - Accent1 3 8 2" xfId="17058"/>
    <cellStyle name="20% - Accent1 3 8 3" xfId="25002"/>
    <cellStyle name="20% - Accent1 3 9" xfId="9996"/>
    <cellStyle name="20% - Accent1 3_Exh G" xfId="1993"/>
    <cellStyle name="20% - Accent1 4" xfId="52"/>
    <cellStyle name="20% - Accent1 4 10" xfId="17955"/>
    <cellStyle name="20% - Accent1 4 2" xfId="53"/>
    <cellStyle name="20% - Accent1 4 2 2" xfId="54"/>
    <cellStyle name="20% - Accent1 4 2 2 2" xfId="1082"/>
    <cellStyle name="20% - Accent1 4 2 2 2 2" xfId="4612"/>
    <cellStyle name="20% - Accent1 4 2 2 2 2 2" xfId="8203"/>
    <cellStyle name="20% - Accent1 4 2 2 2 2 2 2" xfId="16174"/>
    <cellStyle name="20% - Accent1 4 2 2 2 2 2 3" xfId="24120"/>
    <cellStyle name="20% - Accent1 4 2 2 2 2 3" xfId="12636"/>
    <cellStyle name="20% - Accent1 4 2 2 2 2 4" xfId="20591"/>
    <cellStyle name="20% - Accent1 4 2 2 2 3" xfId="6444"/>
    <cellStyle name="20% - Accent1 4 2 2 2 3 2" xfId="14416"/>
    <cellStyle name="20% - Accent1 4 2 2 2 3 3" xfId="22363"/>
    <cellStyle name="20% - Accent1 4 2 2 2 4" xfId="10880"/>
    <cellStyle name="20% - Accent1 4 2 2 2 5" xfId="18835"/>
    <cellStyle name="20% - Accent1 4 2 2 2_Exh G" xfId="2008"/>
    <cellStyle name="20% - Accent1 4 2 2 3" xfId="3733"/>
    <cellStyle name="20% - Accent1 4 2 2 3 2" xfId="7325"/>
    <cellStyle name="20% - Accent1 4 2 2 3 2 2" xfId="15296"/>
    <cellStyle name="20% - Accent1 4 2 2 3 2 3" xfId="23242"/>
    <cellStyle name="20% - Accent1 4 2 2 3 3" xfId="11758"/>
    <cellStyle name="20% - Accent1 4 2 2 3 4" xfId="19713"/>
    <cellStyle name="20% - Accent1 4 2 2 4" xfId="5553"/>
    <cellStyle name="20% - Accent1 4 2 2 4 2" xfId="13537"/>
    <cellStyle name="20% - Accent1 4 2 2 4 3" xfId="21485"/>
    <cellStyle name="20% - Accent1 4 2 2 5" xfId="9106"/>
    <cellStyle name="20% - Accent1 4 2 2 5 2" xfId="17064"/>
    <cellStyle name="20% - Accent1 4 2 2 5 3" xfId="25008"/>
    <cellStyle name="20% - Accent1 4 2 2 6" xfId="10002"/>
    <cellStyle name="20% - Accent1 4 2 2 7" xfId="17957"/>
    <cellStyle name="20% - Accent1 4 2 2_Exh G" xfId="2007"/>
    <cellStyle name="20% - Accent1 4 2 3" xfId="868"/>
    <cellStyle name="20% - Accent1 4 2 3 2" xfId="1804"/>
    <cellStyle name="20% - Accent1 4 2 3 2 2" xfId="5322"/>
    <cellStyle name="20% - Accent1 4 2 3 2 2 2" xfId="8913"/>
    <cellStyle name="20% - Accent1 4 2 3 2 2 2 2" xfId="16884"/>
    <cellStyle name="20% - Accent1 4 2 3 2 2 2 3" xfId="24830"/>
    <cellStyle name="20% - Accent1 4 2 3 2 2 3" xfId="13346"/>
    <cellStyle name="20% - Accent1 4 2 3 2 2 4" xfId="21301"/>
    <cellStyle name="20% - Accent1 4 2 3 2 3" xfId="7154"/>
    <cellStyle name="20% - Accent1 4 2 3 2 3 2" xfId="15126"/>
    <cellStyle name="20% - Accent1 4 2 3 2 3 3" xfId="23073"/>
    <cellStyle name="20% - Accent1 4 2 3 2 4" xfId="11590"/>
    <cellStyle name="20% - Accent1 4 2 3 2 5" xfId="19545"/>
    <cellStyle name="20% - Accent1 4 2 3 2_Exh G" xfId="2010"/>
    <cellStyle name="20% - Accent1 4 2 3 3" xfId="4443"/>
    <cellStyle name="20% - Accent1 4 2 3 3 2" xfId="8035"/>
    <cellStyle name="20% - Accent1 4 2 3 3 2 2" xfId="16006"/>
    <cellStyle name="20% - Accent1 4 2 3 3 2 3" xfId="23952"/>
    <cellStyle name="20% - Accent1 4 2 3 3 3" xfId="12468"/>
    <cellStyle name="20% - Accent1 4 2 3 3 4" xfId="20423"/>
    <cellStyle name="20% - Accent1 4 2 3 4" xfId="6273"/>
    <cellStyle name="20% - Accent1 4 2 3 4 2" xfId="14248"/>
    <cellStyle name="20% - Accent1 4 2 3 4 3" xfId="22195"/>
    <cellStyle name="20% - Accent1 4 2 3 5" xfId="9816"/>
    <cellStyle name="20% - Accent1 4 2 3 5 2" xfId="17774"/>
    <cellStyle name="20% - Accent1 4 2 3 5 3" xfId="25718"/>
    <cellStyle name="20% - Accent1 4 2 3 6" xfId="10712"/>
    <cellStyle name="20% - Accent1 4 2 3 7" xfId="18667"/>
    <cellStyle name="20% - Accent1 4 2 3_Exh G" xfId="2009"/>
    <cellStyle name="20% - Accent1 4 2 4" xfId="1081"/>
    <cellStyle name="20% - Accent1 4 2 4 2" xfId="4611"/>
    <cellStyle name="20% - Accent1 4 2 4 2 2" xfId="8202"/>
    <cellStyle name="20% - Accent1 4 2 4 2 2 2" xfId="16173"/>
    <cellStyle name="20% - Accent1 4 2 4 2 2 3" xfId="24119"/>
    <cellStyle name="20% - Accent1 4 2 4 2 3" xfId="12635"/>
    <cellStyle name="20% - Accent1 4 2 4 2 4" xfId="20590"/>
    <cellStyle name="20% - Accent1 4 2 4 3" xfId="6443"/>
    <cellStyle name="20% - Accent1 4 2 4 3 2" xfId="14415"/>
    <cellStyle name="20% - Accent1 4 2 4 3 3" xfId="22362"/>
    <cellStyle name="20% - Accent1 4 2 4 4" xfId="10879"/>
    <cellStyle name="20% - Accent1 4 2 4 5" xfId="18834"/>
    <cellStyle name="20% - Accent1 4 2 4_Exh G" xfId="2011"/>
    <cellStyle name="20% - Accent1 4 2 5" xfId="3732"/>
    <cellStyle name="20% - Accent1 4 2 5 2" xfId="7324"/>
    <cellStyle name="20% - Accent1 4 2 5 2 2" xfId="15295"/>
    <cellStyle name="20% - Accent1 4 2 5 2 3" xfId="23241"/>
    <cellStyle name="20% - Accent1 4 2 5 3" xfId="11757"/>
    <cellStyle name="20% - Accent1 4 2 5 4" xfId="19712"/>
    <cellStyle name="20% - Accent1 4 2 6" xfId="5552"/>
    <cellStyle name="20% - Accent1 4 2 6 2" xfId="13536"/>
    <cellStyle name="20% - Accent1 4 2 6 3" xfId="21484"/>
    <cellStyle name="20% - Accent1 4 2 7" xfId="9105"/>
    <cellStyle name="20% - Accent1 4 2 7 2" xfId="17063"/>
    <cellStyle name="20% - Accent1 4 2 7 3" xfId="25007"/>
    <cellStyle name="20% - Accent1 4 2 8" xfId="10001"/>
    <cellStyle name="20% - Accent1 4 2 9" xfId="17956"/>
    <cellStyle name="20% - Accent1 4 2_Exh G" xfId="2006"/>
    <cellStyle name="20% - Accent1 4 3" xfId="55"/>
    <cellStyle name="20% - Accent1 4 3 2" xfId="1083"/>
    <cellStyle name="20% - Accent1 4 3 2 2" xfId="4613"/>
    <cellStyle name="20% - Accent1 4 3 2 2 2" xfId="8204"/>
    <cellStyle name="20% - Accent1 4 3 2 2 2 2" xfId="16175"/>
    <cellStyle name="20% - Accent1 4 3 2 2 2 3" xfId="24121"/>
    <cellStyle name="20% - Accent1 4 3 2 2 3" xfId="12637"/>
    <cellStyle name="20% - Accent1 4 3 2 2 4" xfId="20592"/>
    <cellStyle name="20% - Accent1 4 3 2 3" xfId="6445"/>
    <cellStyle name="20% - Accent1 4 3 2 3 2" xfId="14417"/>
    <cellStyle name="20% - Accent1 4 3 2 3 3" xfId="22364"/>
    <cellStyle name="20% - Accent1 4 3 2 4" xfId="10881"/>
    <cellStyle name="20% - Accent1 4 3 2 5" xfId="18836"/>
    <cellStyle name="20% - Accent1 4 3 2_Exh G" xfId="2013"/>
    <cellStyle name="20% - Accent1 4 3 3" xfId="3734"/>
    <cellStyle name="20% - Accent1 4 3 3 2" xfId="7326"/>
    <cellStyle name="20% - Accent1 4 3 3 2 2" xfId="15297"/>
    <cellStyle name="20% - Accent1 4 3 3 2 3" xfId="23243"/>
    <cellStyle name="20% - Accent1 4 3 3 3" xfId="11759"/>
    <cellStyle name="20% - Accent1 4 3 3 4" xfId="19714"/>
    <cellStyle name="20% - Accent1 4 3 4" xfId="5554"/>
    <cellStyle name="20% - Accent1 4 3 4 2" xfId="13538"/>
    <cellStyle name="20% - Accent1 4 3 4 3" xfId="21486"/>
    <cellStyle name="20% - Accent1 4 3 5" xfId="9107"/>
    <cellStyle name="20% - Accent1 4 3 5 2" xfId="17065"/>
    <cellStyle name="20% - Accent1 4 3 5 3" xfId="25009"/>
    <cellStyle name="20% - Accent1 4 3 6" xfId="10003"/>
    <cellStyle name="20% - Accent1 4 3 7" xfId="17958"/>
    <cellStyle name="20% - Accent1 4 3_Exh G" xfId="2012"/>
    <cellStyle name="20% - Accent1 4 4" xfId="867"/>
    <cellStyle name="20% - Accent1 4 4 2" xfId="1803"/>
    <cellStyle name="20% - Accent1 4 4 2 2" xfId="5321"/>
    <cellStyle name="20% - Accent1 4 4 2 2 2" xfId="8912"/>
    <cellStyle name="20% - Accent1 4 4 2 2 2 2" xfId="16883"/>
    <cellStyle name="20% - Accent1 4 4 2 2 2 3" xfId="24829"/>
    <cellStyle name="20% - Accent1 4 4 2 2 3" xfId="13345"/>
    <cellStyle name="20% - Accent1 4 4 2 2 4" xfId="21300"/>
    <cellStyle name="20% - Accent1 4 4 2 3" xfId="7153"/>
    <cellStyle name="20% - Accent1 4 4 2 3 2" xfId="15125"/>
    <cellStyle name="20% - Accent1 4 4 2 3 3" xfId="23072"/>
    <cellStyle name="20% - Accent1 4 4 2 4" xfId="11589"/>
    <cellStyle name="20% - Accent1 4 4 2 5" xfId="19544"/>
    <cellStyle name="20% - Accent1 4 4 2_Exh G" xfId="2015"/>
    <cellStyle name="20% - Accent1 4 4 3" xfId="4442"/>
    <cellStyle name="20% - Accent1 4 4 3 2" xfId="8034"/>
    <cellStyle name="20% - Accent1 4 4 3 2 2" xfId="16005"/>
    <cellStyle name="20% - Accent1 4 4 3 2 3" xfId="23951"/>
    <cellStyle name="20% - Accent1 4 4 3 3" xfId="12467"/>
    <cellStyle name="20% - Accent1 4 4 3 4" xfId="20422"/>
    <cellStyle name="20% - Accent1 4 4 4" xfId="6272"/>
    <cellStyle name="20% - Accent1 4 4 4 2" xfId="14247"/>
    <cellStyle name="20% - Accent1 4 4 4 3" xfId="22194"/>
    <cellStyle name="20% - Accent1 4 4 5" xfId="9815"/>
    <cellStyle name="20% - Accent1 4 4 5 2" xfId="17773"/>
    <cellStyle name="20% - Accent1 4 4 5 3" xfId="25717"/>
    <cellStyle name="20% - Accent1 4 4 6" xfId="10711"/>
    <cellStyle name="20% - Accent1 4 4 7" xfId="18666"/>
    <cellStyle name="20% - Accent1 4 4_Exh G" xfId="2014"/>
    <cellStyle name="20% - Accent1 4 5" xfId="1080"/>
    <cellStyle name="20% - Accent1 4 5 2" xfId="4610"/>
    <cellStyle name="20% - Accent1 4 5 2 2" xfId="8201"/>
    <cellStyle name="20% - Accent1 4 5 2 2 2" xfId="16172"/>
    <cellStyle name="20% - Accent1 4 5 2 2 3" xfId="24118"/>
    <cellStyle name="20% - Accent1 4 5 2 3" xfId="12634"/>
    <cellStyle name="20% - Accent1 4 5 2 4" xfId="20589"/>
    <cellStyle name="20% - Accent1 4 5 3" xfId="6442"/>
    <cellStyle name="20% - Accent1 4 5 3 2" xfId="14414"/>
    <cellStyle name="20% - Accent1 4 5 3 3" xfId="22361"/>
    <cellStyle name="20% - Accent1 4 5 4" xfId="10878"/>
    <cellStyle name="20% - Accent1 4 5 5" xfId="18833"/>
    <cellStyle name="20% - Accent1 4 5_Exh G" xfId="2016"/>
    <cellStyle name="20% - Accent1 4 6" xfId="3731"/>
    <cellStyle name="20% - Accent1 4 6 2" xfId="7323"/>
    <cellStyle name="20% - Accent1 4 6 2 2" xfId="15294"/>
    <cellStyle name="20% - Accent1 4 6 2 3" xfId="23240"/>
    <cellStyle name="20% - Accent1 4 6 3" xfId="11756"/>
    <cellStyle name="20% - Accent1 4 6 4" xfId="19711"/>
    <cellStyle name="20% - Accent1 4 7" xfId="5551"/>
    <cellStyle name="20% - Accent1 4 7 2" xfId="13535"/>
    <cellStyle name="20% - Accent1 4 7 3" xfId="21483"/>
    <cellStyle name="20% - Accent1 4 8" xfId="9104"/>
    <cellStyle name="20% - Accent1 4 8 2" xfId="17062"/>
    <cellStyle name="20% - Accent1 4 8 3" xfId="25006"/>
    <cellStyle name="20% - Accent1 4 9" xfId="10000"/>
    <cellStyle name="20% - Accent1 4_Exh G" xfId="2005"/>
    <cellStyle name="20% - Accent1 5" xfId="56"/>
    <cellStyle name="20% - Accent1 5 10" xfId="17959"/>
    <cellStyle name="20% - Accent1 5 2" xfId="57"/>
    <cellStyle name="20% - Accent1 5 2 2" xfId="58"/>
    <cellStyle name="20% - Accent1 5 2 2 2" xfId="1086"/>
    <cellStyle name="20% - Accent1 5 2 2 2 2" xfId="4616"/>
    <cellStyle name="20% - Accent1 5 2 2 2 2 2" xfId="8207"/>
    <cellStyle name="20% - Accent1 5 2 2 2 2 2 2" xfId="16178"/>
    <cellStyle name="20% - Accent1 5 2 2 2 2 2 3" xfId="24124"/>
    <cellStyle name="20% - Accent1 5 2 2 2 2 3" xfId="12640"/>
    <cellStyle name="20% - Accent1 5 2 2 2 2 4" xfId="20595"/>
    <cellStyle name="20% - Accent1 5 2 2 2 3" xfId="6448"/>
    <cellStyle name="20% - Accent1 5 2 2 2 3 2" xfId="14420"/>
    <cellStyle name="20% - Accent1 5 2 2 2 3 3" xfId="22367"/>
    <cellStyle name="20% - Accent1 5 2 2 2 4" xfId="10884"/>
    <cellStyle name="20% - Accent1 5 2 2 2 5" xfId="18839"/>
    <cellStyle name="20% - Accent1 5 2 2 2_Exh G" xfId="2020"/>
    <cellStyle name="20% - Accent1 5 2 2 3" xfId="3737"/>
    <cellStyle name="20% - Accent1 5 2 2 3 2" xfId="7329"/>
    <cellStyle name="20% - Accent1 5 2 2 3 2 2" xfId="15300"/>
    <cellStyle name="20% - Accent1 5 2 2 3 2 3" xfId="23246"/>
    <cellStyle name="20% - Accent1 5 2 2 3 3" xfId="11762"/>
    <cellStyle name="20% - Accent1 5 2 2 3 4" xfId="19717"/>
    <cellStyle name="20% - Accent1 5 2 2 4" xfId="5557"/>
    <cellStyle name="20% - Accent1 5 2 2 4 2" xfId="13541"/>
    <cellStyle name="20% - Accent1 5 2 2 4 3" xfId="21489"/>
    <cellStyle name="20% - Accent1 5 2 2 5" xfId="9110"/>
    <cellStyle name="20% - Accent1 5 2 2 5 2" xfId="17068"/>
    <cellStyle name="20% - Accent1 5 2 2 5 3" xfId="25012"/>
    <cellStyle name="20% - Accent1 5 2 2 6" xfId="10006"/>
    <cellStyle name="20% - Accent1 5 2 2 7" xfId="17961"/>
    <cellStyle name="20% - Accent1 5 2 2_Exh G" xfId="2019"/>
    <cellStyle name="20% - Accent1 5 2 3" xfId="1085"/>
    <cellStyle name="20% - Accent1 5 2 3 2" xfId="4615"/>
    <cellStyle name="20% - Accent1 5 2 3 2 2" xfId="8206"/>
    <cellStyle name="20% - Accent1 5 2 3 2 2 2" xfId="16177"/>
    <cellStyle name="20% - Accent1 5 2 3 2 2 3" xfId="24123"/>
    <cellStyle name="20% - Accent1 5 2 3 2 3" xfId="12639"/>
    <cellStyle name="20% - Accent1 5 2 3 2 4" xfId="20594"/>
    <cellStyle name="20% - Accent1 5 2 3 3" xfId="6447"/>
    <cellStyle name="20% - Accent1 5 2 3 3 2" xfId="14419"/>
    <cellStyle name="20% - Accent1 5 2 3 3 3" xfId="22366"/>
    <cellStyle name="20% - Accent1 5 2 3 4" xfId="10883"/>
    <cellStyle name="20% - Accent1 5 2 3 5" xfId="18838"/>
    <cellStyle name="20% - Accent1 5 2 3_Exh G" xfId="2021"/>
    <cellStyle name="20% - Accent1 5 2 4" xfId="3736"/>
    <cellStyle name="20% - Accent1 5 2 4 2" xfId="7328"/>
    <cellStyle name="20% - Accent1 5 2 4 2 2" xfId="15299"/>
    <cellStyle name="20% - Accent1 5 2 4 2 3" xfId="23245"/>
    <cellStyle name="20% - Accent1 5 2 4 3" xfId="11761"/>
    <cellStyle name="20% - Accent1 5 2 4 4" xfId="19716"/>
    <cellStyle name="20% - Accent1 5 2 5" xfId="5556"/>
    <cellStyle name="20% - Accent1 5 2 5 2" xfId="13540"/>
    <cellStyle name="20% - Accent1 5 2 5 3" xfId="21488"/>
    <cellStyle name="20% - Accent1 5 2 6" xfId="9109"/>
    <cellStyle name="20% - Accent1 5 2 6 2" xfId="17067"/>
    <cellStyle name="20% - Accent1 5 2 6 3" xfId="25011"/>
    <cellStyle name="20% - Accent1 5 2 7" xfId="10005"/>
    <cellStyle name="20% - Accent1 5 2 8" xfId="17960"/>
    <cellStyle name="20% - Accent1 5 2_Exh G" xfId="2018"/>
    <cellStyle name="20% - Accent1 5 3" xfId="59"/>
    <cellStyle name="20% - Accent1 5 3 2" xfId="1087"/>
    <cellStyle name="20% - Accent1 5 3 2 2" xfId="4617"/>
    <cellStyle name="20% - Accent1 5 3 2 2 2" xfId="8208"/>
    <cellStyle name="20% - Accent1 5 3 2 2 2 2" xfId="16179"/>
    <cellStyle name="20% - Accent1 5 3 2 2 2 3" xfId="24125"/>
    <cellStyle name="20% - Accent1 5 3 2 2 3" xfId="12641"/>
    <cellStyle name="20% - Accent1 5 3 2 2 4" xfId="20596"/>
    <cellStyle name="20% - Accent1 5 3 2 3" xfId="6449"/>
    <cellStyle name="20% - Accent1 5 3 2 3 2" xfId="14421"/>
    <cellStyle name="20% - Accent1 5 3 2 3 3" xfId="22368"/>
    <cellStyle name="20% - Accent1 5 3 2 4" xfId="10885"/>
    <cellStyle name="20% - Accent1 5 3 2 5" xfId="18840"/>
    <cellStyle name="20% - Accent1 5 3 2_Exh G" xfId="2023"/>
    <cellStyle name="20% - Accent1 5 3 3" xfId="3738"/>
    <cellStyle name="20% - Accent1 5 3 3 2" xfId="7330"/>
    <cellStyle name="20% - Accent1 5 3 3 2 2" xfId="15301"/>
    <cellStyle name="20% - Accent1 5 3 3 2 3" xfId="23247"/>
    <cellStyle name="20% - Accent1 5 3 3 3" xfId="11763"/>
    <cellStyle name="20% - Accent1 5 3 3 4" xfId="19718"/>
    <cellStyle name="20% - Accent1 5 3 4" xfId="5558"/>
    <cellStyle name="20% - Accent1 5 3 4 2" xfId="13542"/>
    <cellStyle name="20% - Accent1 5 3 4 3" xfId="21490"/>
    <cellStyle name="20% - Accent1 5 3 5" xfId="9111"/>
    <cellStyle name="20% - Accent1 5 3 5 2" xfId="17069"/>
    <cellStyle name="20% - Accent1 5 3 5 3" xfId="25013"/>
    <cellStyle name="20% - Accent1 5 3 6" xfId="10007"/>
    <cellStyle name="20% - Accent1 5 3 7" xfId="17962"/>
    <cellStyle name="20% - Accent1 5 3_Exh G" xfId="2022"/>
    <cellStyle name="20% - Accent1 5 4" xfId="869"/>
    <cellStyle name="20% - Accent1 5 5" xfId="1084"/>
    <cellStyle name="20% - Accent1 5 5 2" xfId="4614"/>
    <cellStyle name="20% - Accent1 5 5 2 2" xfId="8205"/>
    <cellStyle name="20% - Accent1 5 5 2 2 2" xfId="16176"/>
    <cellStyle name="20% - Accent1 5 5 2 2 3" xfId="24122"/>
    <cellStyle name="20% - Accent1 5 5 2 3" xfId="12638"/>
    <cellStyle name="20% - Accent1 5 5 2 4" xfId="20593"/>
    <cellStyle name="20% - Accent1 5 5 3" xfId="6446"/>
    <cellStyle name="20% - Accent1 5 5 3 2" xfId="14418"/>
    <cellStyle name="20% - Accent1 5 5 3 3" xfId="22365"/>
    <cellStyle name="20% - Accent1 5 5 4" xfId="10882"/>
    <cellStyle name="20% - Accent1 5 5 5" xfId="18837"/>
    <cellStyle name="20% - Accent1 5 5_Exh G" xfId="2024"/>
    <cellStyle name="20% - Accent1 5 6" xfId="3735"/>
    <cellStyle name="20% - Accent1 5 6 2" xfId="7327"/>
    <cellStyle name="20% - Accent1 5 6 2 2" xfId="15298"/>
    <cellStyle name="20% - Accent1 5 6 2 3" xfId="23244"/>
    <cellStyle name="20% - Accent1 5 6 3" xfId="11760"/>
    <cellStyle name="20% - Accent1 5 6 4" xfId="19715"/>
    <cellStyle name="20% - Accent1 5 7" xfId="5555"/>
    <cellStyle name="20% - Accent1 5 7 2" xfId="13539"/>
    <cellStyle name="20% - Accent1 5 7 3" xfId="21487"/>
    <cellStyle name="20% - Accent1 5 8" xfId="9108"/>
    <cellStyle name="20% - Accent1 5 8 2" xfId="17066"/>
    <cellStyle name="20% - Accent1 5 8 3" xfId="25010"/>
    <cellStyle name="20% - Accent1 5 9" xfId="10004"/>
    <cellStyle name="20% - Accent1 5_Exh G" xfId="2017"/>
    <cellStyle name="20% - Accent1 6" xfId="60"/>
    <cellStyle name="20% - Accent1 6 10" xfId="17963"/>
    <cellStyle name="20% - Accent1 6 2" xfId="61"/>
    <cellStyle name="20% - Accent1 6 2 2" xfId="62"/>
    <cellStyle name="20% - Accent1 6 2 2 2" xfId="1090"/>
    <cellStyle name="20% - Accent1 6 2 2 2 2" xfId="4620"/>
    <cellStyle name="20% - Accent1 6 2 2 2 2 2" xfId="8211"/>
    <cellStyle name="20% - Accent1 6 2 2 2 2 2 2" xfId="16182"/>
    <cellStyle name="20% - Accent1 6 2 2 2 2 2 3" xfId="24128"/>
    <cellStyle name="20% - Accent1 6 2 2 2 2 3" xfId="12644"/>
    <cellStyle name="20% - Accent1 6 2 2 2 2 4" xfId="20599"/>
    <cellStyle name="20% - Accent1 6 2 2 2 3" xfId="6452"/>
    <cellStyle name="20% - Accent1 6 2 2 2 3 2" xfId="14424"/>
    <cellStyle name="20% - Accent1 6 2 2 2 3 3" xfId="22371"/>
    <cellStyle name="20% - Accent1 6 2 2 2 4" xfId="10888"/>
    <cellStyle name="20% - Accent1 6 2 2 2 5" xfId="18843"/>
    <cellStyle name="20% - Accent1 6 2 2 2_Exh G" xfId="2028"/>
    <cellStyle name="20% - Accent1 6 2 2 3" xfId="3741"/>
    <cellStyle name="20% - Accent1 6 2 2 3 2" xfId="7333"/>
    <cellStyle name="20% - Accent1 6 2 2 3 2 2" xfId="15304"/>
    <cellStyle name="20% - Accent1 6 2 2 3 2 3" xfId="23250"/>
    <cellStyle name="20% - Accent1 6 2 2 3 3" xfId="11766"/>
    <cellStyle name="20% - Accent1 6 2 2 3 4" xfId="19721"/>
    <cellStyle name="20% - Accent1 6 2 2 4" xfId="5561"/>
    <cellStyle name="20% - Accent1 6 2 2 4 2" xfId="13545"/>
    <cellStyle name="20% - Accent1 6 2 2 4 3" xfId="21493"/>
    <cellStyle name="20% - Accent1 6 2 2 5" xfId="9114"/>
    <cellStyle name="20% - Accent1 6 2 2 5 2" xfId="17072"/>
    <cellStyle name="20% - Accent1 6 2 2 5 3" xfId="25016"/>
    <cellStyle name="20% - Accent1 6 2 2 6" xfId="10010"/>
    <cellStyle name="20% - Accent1 6 2 2 7" xfId="17965"/>
    <cellStyle name="20% - Accent1 6 2 2_Exh G" xfId="2027"/>
    <cellStyle name="20% - Accent1 6 2 3" xfId="1089"/>
    <cellStyle name="20% - Accent1 6 2 3 2" xfId="4619"/>
    <cellStyle name="20% - Accent1 6 2 3 2 2" xfId="8210"/>
    <cellStyle name="20% - Accent1 6 2 3 2 2 2" xfId="16181"/>
    <cellStyle name="20% - Accent1 6 2 3 2 2 3" xfId="24127"/>
    <cellStyle name="20% - Accent1 6 2 3 2 3" xfId="12643"/>
    <cellStyle name="20% - Accent1 6 2 3 2 4" xfId="20598"/>
    <cellStyle name="20% - Accent1 6 2 3 3" xfId="6451"/>
    <cellStyle name="20% - Accent1 6 2 3 3 2" xfId="14423"/>
    <cellStyle name="20% - Accent1 6 2 3 3 3" xfId="22370"/>
    <cellStyle name="20% - Accent1 6 2 3 4" xfId="10887"/>
    <cellStyle name="20% - Accent1 6 2 3 5" xfId="18842"/>
    <cellStyle name="20% - Accent1 6 2 3_Exh G" xfId="2029"/>
    <cellStyle name="20% - Accent1 6 2 4" xfId="3740"/>
    <cellStyle name="20% - Accent1 6 2 4 2" xfId="7332"/>
    <cellStyle name="20% - Accent1 6 2 4 2 2" xfId="15303"/>
    <cellStyle name="20% - Accent1 6 2 4 2 3" xfId="23249"/>
    <cellStyle name="20% - Accent1 6 2 4 3" xfId="11765"/>
    <cellStyle name="20% - Accent1 6 2 4 4" xfId="19720"/>
    <cellStyle name="20% - Accent1 6 2 5" xfId="5560"/>
    <cellStyle name="20% - Accent1 6 2 5 2" xfId="13544"/>
    <cellStyle name="20% - Accent1 6 2 5 3" xfId="21492"/>
    <cellStyle name="20% - Accent1 6 2 6" xfId="9113"/>
    <cellStyle name="20% - Accent1 6 2 6 2" xfId="17071"/>
    <cellStyle name="20% - Accent1 6 2 6 3" xfId="25015"/>
    <cellStyle name="20% - Accent1 6 2 7" xfId="10009"/>
    <cellStyle name="20% - Accent1 6 2 8" xfId="17964"/>
    <cellStyle name="20% - Accent1 6 2_Exh G" xfId="2026"/>
    <cellStyle name="20% - Accent1 6 3" xfId="63"/>
    <cellStyle name="20% - Accent1 6 3 2" xfId="1091"/>
    <cellStyle name="20% - Accent1 6 3 2 2" xfId="4621"/>
    <cellStyle name="20% - Accent1 6 3 2 2 2" xfId="8212"/>
    <cellStyle name="20% - Accent1 6 3 2 2 2 2" xfId="16183"/>
    <cellStyle name="20% - Accent1 6 3 2 2 2 3" xfId="24129"/>
    <cellStyle name="20% - Accent1 6 3 2 2 3" xfId="12645"/>
    <cellStyle name="20% - Accent1 6 3 2 2 4" xfId="20600"/>
    <cellStyle name="20% - Accent1 6 3 2 3" xfId="6453"/>
    <cellStyle name="20% - Accent1 6 3 2 3 2" xfId="14425"/>
    <cellStyle name="20% - Accent1 6 3 2 3 3" xfId="22372"/>
    <cellStyle name="20% - Accent1 6 3 2 4" xfId="10889"/>
    <cellStyle name="20% - Accent1 6 3 2 5" xfId="18844"/>
    <cellStyle name="20% - Accent1 6 3 2_Exh G" xfId="2031"/>
    <cellStyle name="20% - Accent1 6 3 3" xfId="3742"/>
    <cellStyle name="20% - Accent1 6 3 3 2" xfId="7334"/>
    <cellStyle name="20% - Accent1 6 3 3 2 2" xfId="15305"/>
    <cellStyle name="20% - Accent1 6 3 3 2 3" xfId="23251"/>
    <cellStyle name="20% - Accent1 6 3 3 3" xfId="11767"/>
    <cellStyle name="20% - Accent1 6 3 3 4" xfId="19722"/>
    <cellStyle name="20% - Accent1 6 3 4" xfId="5562"/>
    <cellStyle name="20% - Accent1 6 3 4 2" xfId="13546"/>
    <cellStyle name="20% - Accent1 6 3 4 3" xfId="21494"/>
    <cellStyle name="20% - Accent1 6 3 5" xfId="9115"/>
    <cellStyle name="20% - Accent1 6 3 5 2" xfId="17073"/>
    <cellStyle name="20% - Accent1 6 3 5 3" xfId="25017"/>
    <cellStyle name="20% - Accent1 6 3 6" xfId="10011"/>
    <cellStyle name="20% - Accent1 6 3 7" xfId="17966"/>
    <cellStyle name="20% - Accent1 6 3_Exh G" xfId="2030"/>
    <cellStyle name="20% - Accent1 6 4" xfId="870"/>
    <cellStyle name="20% - Accent1 6 4 2" xfId="1805"/>
    <cellStyle name="20% - Accent1 6 4 2 2" xfId="5323"/>
    <cellStyle name="20% - Accent1 6 4 2 2 2" xfId="8914"/>
    <cellStyle name="20% - Accent1 6 4 2 2 2 2" xfId="16885"/>
    <cellStyle name="20% - Accent1 6 4 2 2 2 3" xfId="24831"/>
    <cellStyle name="20% - Accent1 6 4 2 2 3" xfId="13347"/>
    <cellStyle name="20% - Accent1 6 4 2 2 4" xfId="21302"/>
    <cellStyle name="20% - Accent1 6 4 2 3" xfId="7155"/>
    <cellStyle name="20% - Accent1 6 4 2 3 2" xfId="15127"/>
    <cellStyle name="20% - Accent1 6 4 2 3 3" xfId="23074"/>
    <cellStyle name="20% - Accent1 6 4 2 4" xfId="11591"/>
    <cellStyle name="20% - Accent1 6 4 2 5" xfId="19546"/>
    <cellStyle name="20% - Accent1 6 4 2_Exh G" xfId="2033"/>
    <cellStyle name="20% - Accent1 6 4 3" xfId="4444"/>
    <cellStyle name="20% - Accent1 6 4 3 2" xfId="8036"/>
    <cellStyle name="20% - Accent1 6 4 3 2 2" xfId="16007"/>
    <cellStyle name="20% - Accent1 6 4 3 2 3" xfId="23953"/>
    <cellStyle name="20% - Accent1 6 4 3 3" xfId="12469"/>
    <cellStyle name="20% - Accent1 6 4 3 4" xfId="20424"/>
    <cellStyle name="20% - Accent1 6 4 4" xfId="6274"/>
    <cellStyle name="20% - Accent1 6 4 4 2" xfId="14249"/>
    <cellStyle name="20% - Accent1 6 4 4 3" xfId="22196"/>
    <cellStyle name="20% - Accent1 6 4 5" xfId="9817"/>
    <cellStyle name="20% - Accent1 6 4 5 2" xfId="17775"/>
    <cellStyle name="20% - Accent1 6 4 5 3" xfId="25719"/>
    <cellStyle name="20% - Accent1 6 4 6" xfId="10713"/>
    <cellStyle name="20% - Accent1 6 4 7" xfId="18668"/>
    <cellStyle name="20% - Accent1 6 4_Exh G" xfId="2032"/>
    <cellStyle name="20% - Accent1 6 5" xfId="1088"/>
    <cellStyle name="20% - Accent1 6 5 2" xfId="4618"/>
    <cellStyle name="20% - Accent1 6 5 2 2" xfId="8209"/>
    <cellStyle name="20% - Accent1 6 5 2 2 2" xfId="16180"/>
    <cellStyle name="20% - Accent1 6 5 2 2 3" xfId="24126"/>
    <cellStyle name="20% - Accent1 6 5 2 3" xfId="12642"/>
    <cellStyle name="20% - Accent1 6 5 2 4" xfId="20597"/>
    <cellStyle name="20% - Accent1 6 5 3" xfId="6450"/>
    <cellStyle name="20% - Accent1 6 5 3 2" xfId="14422"/>
    <cellStyle name="20% - Accent1 6 5 3 3" xfId="22369"/>
    <cellStyle name="20% - Accent1 6 5 4" xfId="10886"/>
    <cellStyle name="20% - Accent1 6 5 5" xfId="18841"/>
    <cellStyle name="20% - Accent1 6 5_Exh G" xfId="2034"/>
    <cellStyle name="20% - Accent1 6 6" xfId="3739"/>
    <cellStyle name="20% - Accent1 6 6 2" xfId="7331"/>
    <cellStyle name="20% - Accent1 6 6 2 2" xfId="15302"/>
    <cellStyle name="20% - Accent1 6 6 2 3" xfId="23248"/>
    <cellStyle name="20% - Accent1 6 6 3" xfId="11764"/>
    <cellStyle name="20% - Accent1 6 6 4" xfId="19719"/>
    <cellStyle name="20% - Accent1 6 7" xfId="5559"/>
    <cellStyle name="20% - Accent1 6 7 2" xfId="13543"/>
    <cellStyle name="20% - Accent1 6 7 3" xfId="21491"/>
    <cellStyle name="20% - Accent1 6 8" xfId="9112"/>
    <cellStyle name="20% - Accent1 6 8 2" xfId="17070"/>
    <cellStyle name="20% - Accent1 6 8 3" xfId="25014"/>
    <cellStyle name="20% - Accent1 6 9" xfId="10008"/>
    <cellStyle name="20% - Accent1 6_Exh G" xfId="2025"/>
    <cellStyle name="20% - Accent1 7" xfId="64"/>
    <cellStyle name="20% - Accent1 7 10" xfId="17967"/>
    <cellStyle name="20% - Accent1 7 2" xfId="65"/>
    <cellStyle name="20% - Accent1 7 2 2" xfId="66"/>
    <cellStyle name="20% - Accent1 7 2 2 2" xfId="1094"/>
    <cellStyle name="20% - Accent1 7 2 2 2 2" xfId="4624"/>
    <cellStyle name="20% - Accent1 7 2 2 2 2 2" xfId="8215"/>
    <cellStyle name="20% - Accent1 7 2 2 2 2 2 2" xfId="16186"/>
    <cellStyle name="20% - Accent1 7 2 2 2 2 2 3" xfId="24132"/>
    <cellStyle name="20% - Accent1 7 2 2 2 2 3" xfId="12648"/>
    <cellStyle name="20% - Accent1 7 2 2 2 2 4" xfId="20603"/>
    <cellStyle name="20% - Accent1 7 2 2 2 3" xfId="6456"/>
    <cellStyle name="20% - Accent1 7 2 2 2 3 2" xfId="14428"/>
    <cellStyle name="20% - Accent1 7 2 2 2 3 3" xfId="22375"/>
    <cellStyle name="20% - Accent1 7 2 2 2 4" xfId="10892"/>
    <cellStyle name="20% - Accent1 7 2 2 2 5" xfId="18847"/>
    <cellStyle name="20% - Accent1 7 2 2 2_Exh G" xfId="2038"/>
    <cellStyle name="20% - Accent1 7 2 2 3" xfId="3745"/>
    <cellStyle name="20% - Accent1 7 2 2 3 2" xfId="7337"/>
    <cellStyle name="20% - Accent1 7 2 2 3 2 2" xfId="15308"/>
    <cellStyle name="20% - Accent1 7 2 2 3 2 3" xfId="23254"/>
    <cellStyle name="20% - Accent1 7 2 2 3 3" xfId="11770"/>
    <cellStyle name="20% - Accent1 7 2 2 3 4" xfId="19725"/>
    <cellStyle name="20% - Accent1 7 2 2 4" xfId="5565"/>
    <cellStyle name="20% - Accent1 7 2 2 4 2" xfId="13549"/>
    <cellStyle name="20% - Accent1 7 2 2 4 3" xfId="21497"/>
    <cellStyle name="20% - Accent1 7 2 2 5" xfId="9118"/>
    <cellStyle name="20% - Accent1 7 2 2 5 2" xfId="17076"/>
    <cellStyle name="20% - Accent1 7 2 2 5 3" xfId="25020"/>
    <cellStyle name="20% - Accent1 7 2 2 6" xfId="10014"/>
    <cellStyle name="20% - Accent1 7 2 2 7" xfId="17969"/>
    <cellStyle name="20% - Accent1 7 2 2_Exh G" xfId="2037"/>
    <cellStyle name="20% - Accent1 7 2 3" xfId="1093"/>
    <cellStyle name="20% - Accent1 7 2 3 2" xfId="4623"/>
    <cellStyle name="20% - Accent1 7 2 3 2 2" xfId="8214"/>
    <cellStyle name="20% - Accent1 7 2 3 2 2 2" xfId="16185"/>
    <cellStyle name="20% - Accent1 7 2 3 2 2 3" xfId="24131"/>
    <cellStyle name="20% - Accent1 7 2 3 2 3" xfId="12647"/>
    <cellStyle name="20% - Accent1 7 2 3 2 4" xfId="20602"/>
    <cellStyle name="20% - Accent1 7 2 3 3" xfId="6455"/>
    <cellStyle name="20% - Accent1 7 2 3 3 2" xfId="14427"/>
    <cellStyle name="20% - Accent1 7 2 3 3 3" xfId="22374"/>
    <cellStyle name="20% - Accent1 7 2 3 4" xfId="10891"/>
    <cellStyle name="20% - Accent1 7 2 3 5" xfId="18846"/>
    <cellStyle name="20% - Accent1 7 2 3_Exh G" xfId="2039"/>
    <cellStyle name="20% - Accent1 7 2 4" xfId="3744"/>
    <cellStyle name="20% - Accent1 7 2 4 2" xfId="7336"/>
    <cellStyle name="20% - Accent1 7 2 4 2 2" xfId="15307"/>
    <cellStyle name="20% - Accent1 7 2 4 2 3" xfId="23253"/>
    <cellStyle name="20% - Accent1 7 2 4 3" xfId="11769"/>
    <cellStyle name="20% - Accent1 7 2 4 4" xfId="19724"/>
    <cellStyle name="20% - Accent1 7 2 5" xfId="5564"/>
    <cellStyle name="20% - Accent1 7 2 5 2" xfId="13548"/>
    <cellStyle name="20% - Accent1 7 2 5 3" xfId="21496"/>
    <cellStyle name="20% - Accent1 7 2 6" xfId="9117"/>
    <cellStyle name="20% - Accent1 7 2 6 2" xfId="17075"/>
    <cellStyle name="20% - Accent1 7 2 6 3" xfId="25019"/>
    <cellStyle name="20% - Accent1 7 2 7" xfId="10013"/>
    <cellStyle name="20% - Accent1 7 2 8" xfId="17968"/>
    <cellStyle name="20% - Accent1 7 2_Exh G" xfId="2036"/>
    <cellStyle name="20% - Accent1 7 3" xfId="67"/>
    <cellStyle name="20% - Accent1 7 3 2" xfId="1095"/>
    <cellStyle name="20% - Accent1 7 3 2 2" xfId="4625"/>
    <cellStyle name="20% - Accent1 7 3 2 2 2" xfId="8216"/>
    <cellStyle name="20% - Accent1 7 3 2 2 2 2" xfId="16187"/>
    <cellStyle name="20% - Accent1 7 3 2 2 2 3" xfId="24133"/>
    <cellStyle name="20% - Accent1 7 3 2 2 3" xfId="12649"/>
    <cellStyle name="20% - Accent1 7 3 2 2 4" xfId="20604"/>
    <cellStyle name="20% - Accent1 7 3 2 3" xfId="6457"/>
    <cellStyle name="20% - Accent1 7 3 2 3 2" xfId="14429"/>
    <cellStyle name="20% - Accent1 7 3 2 3 3" xfId="22376"/>
    <cellStyle name="20% - Accent1 7 3 2 4" xfId="10893"/>
    <cellStyle name="20% - Accent1 7 3 2 5" xfId="18848"/>
    <cellStyle name="20% - Accent1 7 3 2_Exh G" xfId="2041"/>
    <cellStyle name="20% - Accent1 7 3 3" xfId="3746"/>
    <cellStyle name="20% - Accent1 7 3 3 2" xfId="7338"/>
    <cellStyle name="20% - Accent1 7 3 3 2 2" xfId="15309"/>
    <cellStyle name="20% - Accent1 7 3 3 2 3" xfId="23255"/>
    <cellStyle name="20% - Accent1 7 3 3 3" xfId="11771"/>
    <cellStyle name="20% - Accent1 7 3 3 4" xfId="19726"/>
    <cellStyle name="20% - Accent1 7 3 4" xfId="5566"/>
    <cellStyle name="20% - Accent1 7 3 4 2" xfId="13550"/>
    <cellStyle name="20% - Accent1 7 3 4 3" xfId="21498"/>
    <cellStyle name="20% - Accent1 7 3 5" xfId="9119"/>
    <cellStyle name="20% - Accent1 7 3 5 2" xfId="17077"/>
    <cellStyle name="20% - Accent1 7 3 5 3" xfId="25021"/>
    <cellStyle name="20% - Accent1 7 3 6" xfId="10015"/>
    <cellStyle name="20% - Accent1 7 3 7" xfId="17970"/>
    <cellStyle name="20% - Accent1 7 3_Exh G" xfId="2040"/>
    <cellStyle name="20% - Accent1 7 4" xfId="871"/>
    <cellStyle name="20% - Accent1 7 4 2" xfId="1806"/>
    <cellStyle name="20% - Accent1 7 4 2 2" xfId="5324"/>
    <cellStyle name="20% - Accent1 7 4 2 2 2" xfId="8915"/>
    <cellStyle name="20% - Accent1 7 4 2 2 2 2" xfId="16886"/>
    <cellStyle name="20% - Accent1 7 4 2 2 2 3" xfId="24832"/>
    <cellStyle name="20% - Accent1 7 4 2 2 3" xfId="13348"/>
    <cellStyle name="20% - Accent1 7 4 2 2 4" xfId="21303"/>
    <cellStyle name="20% - Accent1 7 4 2 3" xfId="7156"/>
    <cellStyle name="20% - Accent1 7 4 2 3 2" xfId="15128"/>
    <cellStyle name="20% - Accent1 7 4 2 3 3" xfId="23075"/>
    <cellStyle name="20% - Accent1 7 4 2 4" xfId="11592"/>
    <cellStyle name="20% - Accent1 7 4 2 5" xfId="19547"/>
    <cellStyle name="20% - Accent1 7 4 2_Exh G" xfId="2043"/>
    <cellStyle name="20% - Accent1 7 4 3" xfId="4445"/>
    <cellStyle name="20% - Accent1 7 4 3 2" xfId="8037"/>
    <cellStyle name="20% - Accent1 7 4 3 2 2" xfId="16008"/>
    <cellStyle name="20% - Accent1 7 4 3 2 3" xfId="23954"/>
    <cellStyle name="20% - Accent1 7 4 3 3" xfId="12470"/>
    <cellStyle name="20% - Accent1 7 4 3 4" xfId="20425"/>
    <cellStyle name="20% - Accent1 7 4 4" xfId="6275"/>
    <cellStyle name="20% - Accent1 7 4 4 2" xfId="14250"/>
    <cellStyle name="20% - Accent1 7 4 4 3" xfId="22197"/>
    <cellStyle name="20% - Accent1 7 4 5" xfId="9818"/>
    <cellStyle name="20% - Accent1 7 4 5 2" xfId="17776"/>
    <cellStyle name="20% - Accent1 7 4 5 3" xfId="25720"/>
    <cellStyle name="20% - Accent1 7 4 6" xfId="10714"/>
    <cellStyle name="20% - Accent1 7 4 7" xfId="18669"/>
    <cellStyle name="20% - Accent1 7 4_Exh G" xfId="2042"/>
    <cellStyle name="20% - Accent1 7 5" xfId="1092"/>
    <cellStyle name="20% - Accent1 7 5 2" xfId="4622"/>
    <cellStyle name="20% - Accent1 7 5 2 2" xfId="8213"/>
    <cellStyle name="20% - Accent1 7 5 2 2 2" xfId="16184"/>
    <cellStyle name="20% - Accent1 7 5 2 2 3" xfId="24130"/>
    <cellStyle name="20% - Accent1 7 5 2 3" xfId="12646"/>
    <cellStyle name="20% - Accent1 7 5 2 4" xfId="20601"/>
    <cellStyle name="20% - Accent1 7 5 3" xfId="6454"/>
    <cellStyle name="20% - Accent1 7 5 3 2" xfId="14426"/>
    <cellStyle name="20% - Accent1 7 5 3 3" xfId="22373"/>
    <cellStyle name="20% - Accent1 7 5 4" xfId="10890"/>
    <cellStyle name="20% - Accent1 7 5 5" xfId="18845"/>
    <cellStyle name="20% - Accent1 7 5_Exh G" xfId="2044"/>
    <cellStyle name="20% - Accent1 7 6" xfId="3743"/>
    <cellStyle name="20% - Accent1 7 6 2" xfId="7335"/>
    <cellStyle name="20% - Accent1 7 6 2 2" xfId="15306"/>
    <cellStyle name="20% - Accent1 7 6 2 3" xfId="23252"/>
    <cellStyle name="20% - Accent1 7 6 3" xfId="11768"/>
    <cellStyle name="20% - Accent1 7 6 4" xfId="19723"/>
    <cellStyle name="20% - Accent1 7 7" xfId="5563"/>
    <cellStyle name="20% - Accent1 7 7 2" xfId="13547"/>
    <cellStyle name="20% - Accent1 7 7 3" xfId="21495"/>
    <cellStyle name="20% - Accent1 7 8" xfId="9116"/>
    <cellStyle name="20% - Accent1 7 8 2" xfId="17074"/>
    <cellStyle name="20% - Accent1 7 8 3" xfId="25018"/>
    <cellStyle name="20% - Accent1 7 9" xfId="10012"/>
    <cellStyle name="20% - Accent1 7_Exh G" xfId="2035"/>
    <cellStyle name="20% - Accent1 8" xfId="68"/>
    <cellStyle name="20% - Accent1 8 10" xfId="17971"/>
    <cellStyle name="20% - Accent1 8 2" xfId="69"/>
    <cellStyle name="20% - Accent1 8 2 2" xfId="70"/>
    <cellStyle name="20% - Accent1 8 2 2 2" xfId="1098"/>
    <cellStyle name="20% - Accent1 8 2 2 2 2" xfId="4628"/>
    <cellStyle name="20% - Accent1 8 2 2 2 2 2" xfId="8219"/>
    <cellStyle name="20% - Accent1 8 2 2 2 2 2 2" xfId="16190"/>
    <cellStyle name="20% - Accent1 8 2 2 2 2 2 3" xfId="24136"/>
    <cellStyle name="20% - Accent1 8 2 2 2 2 3" xfId="12652"/>
    <cellStyle name="20% - Accent1 8 2 2 2 2 4" xfId="20607"/>
    <cellStyle name="20% - Accent1 8 2 2 2 3" xfId="6460"/>
    <cellStyle name="20% - Accent1 8 2 2 2 3 2" xfId="14432"/>
    <cellStyle name="20% - Accent1 8 2 2 2 3 3" xfId="22379"/>
    <cellStyle name="20% - Accent1 8 2 2 2 4" xfId="10896"/>
    <cellStyle name="20% - Accent1 8 2 2 2 5" xfId="18851"/>
    <cellStyle name="20% - Accent1 8 2 2 2_Exh G" xfId="2048"/>
    <cellStyle name="20% - Accent1 8 2 2 3" xfId="3749"/>
    <cellStyle name="20% - Accent1 8 2 2 3 2" xfId="7341"/>
    <cellStyle name="20% - Accent1 8 2 2 3 2 2" xfId="15312"/>
    <cellStyle name="20% - Accent1 8 2 2 3 2 3" xfId="23258"/>
    <cellStyle name="20% - Accent1 8 2 2 3 3" xfId="11774"/>
    <cellStyle name="20% - Accent1 8 2 2 3 4" xfId="19729"/>
    <cellStyle name="20% - Accent1 8 2 2 4" xfId="5569"/>
    <cellStyle name="20% - Accent1 8 2 2 4 2" xfId="13553"/>
    <cellStyle name="20% - Accent1 8 2 2 4 3" xfId="21501"/>
    <cellStyle name="20% - Accent1 8 2 2 5" xfId="9122"/>
    <cellStyle name="20% - Accent1 8 2 2 5 2" xfId="17080"/>
    <cellStyle name="20% - Accent1 8 2 2 5 3" xfId="25024"/>
    <cellStyle name="20% - Accent1 8 2 2 6" xfId="10018"/>
    <cellStyle name="20% - Accent1 8 2 2 7" xfId="17973"/>
    <cellStyle name="20% - Accent1 8 2 2_Exh G" xfId="2047"/>
    <cellStyle name="20% - Accent1 8 2 3" xfId="1097"/>
    <cellStyle name="20% - Accent1 8 2 3 2" xfId="4627"/>
    <cellStyle name="20% - Accent1 8 2 3 2 2" xfId="8218"/>
    <cellStyle name="20% - Accent1 8 2 3 2 2 2" xfId="16189"/>
    <cellStyle name="20% - Accent1 8 2 3 2 2 3" xfId="24135"/>
    <cellStyle name="20% - Accent1 8 2 3 2 3" xfId="12651"/>
    <cellStyle name="20% - Accent1 8 2 3 2 4" xfId="20606"/>
    <cellStyle name="20% - Accent1 8 2 3 3" xfId="6459"/>
    <cellStyle name="20% - Accent1 8 2 3 3 2" xfId="14431"/>
    <cellStyle name="20% - Accent1 8 2 3 3 3" xfId="22378"/>
    <cellStyle name="20% - Accent1 8 2 3 4" xfId="10895"/>
    <cellStyle name="20% - Accent1 8 2 3 5" xfId="18850"/>
    <cellStyle name="20% - Accent1 8 2 3_Exh G" xfId="2049"/>
    <cellStyle name="20% - Accent1 8 2 4" xfId="3748"/>
    <cellStyle name="20% - Accent1 8 2 4 2" xfId="7340"/>
    <cellStyle name="20% - Accent1 8 2 4 2 2" xfId="15311"/>
    <cellStyle name="20% - Accent1 8 2 4 2 3" xfId="23257"/>
    <cellStyle name="20% - Accent1 8 2 4 3" xfId="11773"/>
    <cellStyle name="20% - Accent1 8 2 4 4" xfId="19728"/>
    <cellStyle name="20% - Accent1 8 2 5" xfId="5568"/>
    <cellStyle name="20% - Accent1 8 2 5 2" xfId="13552"/>
    <cellStyle name="20% - Accent1 8 2 5 3" xfId="21500"/>
    <cellStyle name="20% - Accent1 8 2 6" xfId="9121"/>
    <cellStyle name="20% - Accent1 8 2 6 2" xfId="17079"/>
    <cellStyle name="20% - Accent1 8 2 6 3" xfId="25023"/>
    <cellStyle name="20% - Accent1 8 2 7" xfId="10017"/>
    <cellStyle name="20% - Accent1 8 2 8" xfId="17972"/>
    <cellStyle name="20% - Accent1 8 2_Exh G" xfId="2046"/>
    <cellStyle name="20% - Accent1 8 3" xfId="71"/>
    <cellStyle name="20% - Accent1 8 3 2" xfId="1099"/>
    <cellStyle name="20% - Accent1 8 3 2 2" xfId="4629"/>
    <cellStyle name="20% - Accent1 8 3 2 2 2" xfId="8220"/>
    <cellStyle name="20% - Accent1 8 3 2 2 2 2" xfId="16191"/>
    <cellStyle name="20% - Accent1 8 3 2 2 2 3" xfId="24137"/>
    <cellStyle name="20% - Accent1 8 3 2 2 3" xfId="12653"/>
    <cellStyle name="20% - Accent1 8 3 2 2 4" xfId="20608"/>
    <cellStyle name="20% - Accent1 8 3 2 3" xfId="6461"/>
    <cellStyle name="20% - Accent1 8 3 2 3 2" xfId="14433"/>
    <cellStyle name="20% - Accent1 8 3 2 3 3" xfId="22380"/>
    <cellStyle name="20% - Accent1 8 3 2 4" xfId="10897"/>
    <cellStyle name="20% - Accent1 8 3 2 5" xfId="18852"/>
    <cellStyle name="20% - Accent1 8 3 2_Exh G" xfId="2051"/>
    <cellStyle name="20% - Accent1 8 3 3" xfId="3750"/>
    <cellStyle name="20% - Accent1 8 3 3 2" xfId="7342"/>
    <cellStyle name="20% - Accent1 8 3 3 2 2" xfId="15313"/>
    <cellStyle name="20% - Accent1 8 3 3 2 3" xfId="23259"/>
    <cellStyle name="20% - Accent1 8 3 3 3" xfId="11775"/>
    <cellStyle name="20% - Accent1 8 3 3 4" xfId="19730"/>
    <cellStyle name="20% - Accent1 8 3 4" xfId="5570"/>
    <cellStyle name="20% - Accent1 8 3 4 2" xfId="13554"/>
    <cellStyle name="20% - Accent1 8 3 4 3" xfId="21502"/>
    <cellStyle name="20% - Accent1 8 3 5" xfId="9123"/>
    <cellStyle name="20% - Accent1 8 3 5 2" xfId="17081"/>
    <cellStyle name="20% - Accent1 8 3 5 3" xfId="25025"/>
    <cellStyle name="20% - Accent1 8 3 6" xfId="10019"/>
    <cellStyle name="20% - Accent1 8 3 7" xfId="17974"/>
    <cellStyle name="20% - Accent1 8 3_Exh G" xfId="2050"/>
    <cellStyle name="20% - Accent1 8 4" xfId="872"/>
    <cellStyle name="20% - Accent1 8 4 2" xfId="1807"/>
    <cellStyle name="20% - Accent1 8 4 2 2" xfId="5325"/>
    <cellStyle name="20% - Accent1 8 4 2 2 2" xfId="8916"/>
    <cellStyle name="20% - Accent1 8 4 2 2 2 2" xfId="16887"/>
    <cellStyle name="20% - Accent1 8 4 2 2 2 3" xfId="24833"/>
    <cellStyle name="20% - Accent1 8 4 2 2 3" xfId="13349"/>
    <cellStyle name="20% - Accent1 8 4 2 2 4" xfId="21304"/>
    <cellStyle name="20% - Accent1 8 4 2 3" xfId="7157"/>
    <cellStyle name="20% - Accent1 8 4 2 3 2" xfId="15129"/>
    <cellStyle name="20% - Accent1 8 4 2 3 3" xfId="23076"/>
    <cellStyle name="20% - Accent1 8 4 2 4" xfId="11593"/>
    <cellStyle name="20% - Accent1 8 4 2 5" xfId="19548"/>
    <cellStyle name="20% - Accent1 8 4 2_Exh G" xfId="2053"/>
    <cellStyle name="20% - Accent1 8 4 3" xfId="4446"/>
    <cellStyle name="20% - Accent1 8 4 3 2" xfId="8038"/>
    <cellStyle name="20% - Accent1 8 4 3 2 2" xfId="16009"/>
    <cellStyle name="20% - Accent1 8 4 3 2 3" xfId="23955"/>
    <cellStyle name="20% - Accent1 8 4 3 3" xfId="12471"/>
    <cellStyle name="20% - Accent1 8 4 3 4" xfId="20426"/>
    <cellStyle name="20% - Accent1 8 4 4" xfId="6276"/>
    <cellStyle name="20% - Accent1 8 4 4 2" xfId="14251"/>
    <cellStyle name="20% - Accent1 8 4 4 3" xfId="22198"/>
    <cellStyle name="20% - Accent1 8 4 5" xfId="9819"/>
    <cellStyle name="20% - Accent1 8 4 5 2" xfId="17777"/>
    <cellStyle name="20% - Accent1 8 4 5 3" xfId="25721"/>
    <cellStyle name="20% - Accent1 8 4 6" xfId="10715"/>
    <cellStyle name="20% - Accent1 8 4 7" xfId="18670"/>
    <cellStyle name="20% - Accent1 8 4_Exh G" xfId="2052"/>
    <cellStyle name="20% - Accent1 8 5" xfId="1096"/>
    <cellStyle name="20% - Accent1 8 5 2" xfId="4626"/>
    <cellStyle name="20% - Accent1 8 5 2 2" xfId="8217"/>
    <cellStyle name="20% - Accent1 8 5 2 2 2" xfId="16188"/>
    <cellStyle name="20% - Accent1 8 5 2 2 3" xfId="24134"/>
    <cellStyle name="20% - Accent1 8 5 2 3" xfId="12650"/>
    <cellStyle name="20% - Accent1 8 5 2 4" xfId="20605"/>
    <cellStyle name="20% - Accent1 8 5 3" xfId="6458"/>
    <cellStyle name="20% - Accent1 8 5 3 2" xfId="14430"/>
    <cellStyle name="20% - Accent1 8 5 3 3" xfId="22377"/>
    <cellStyle name="20% - Accent1 8 5 4" xfId="10894"/>
    <cellStyle name="20% - Accent1 8 5 5" xfId="18849"/>
    <cellStyle name="20% - Accent1 8 5_Exh G" xfId="2054"/>
    <cellStyle name="20% - Accent1 8 6" xfId="3747"/>
    <cellStyle name="20% - Accent1 8 6 2" xfId="7339"/>
    <cellStyle name="20% - Accent1 8 6 2 2" xfId="15310"/>
    <cellStyle name="20% - Accent1 8 6 2 3" xfId="23256"/>
    <cellStyle name="20% - Accent1 8 6 3" xfId="11772"/>
    <cellStyle name="20% - Accent1 8 6 4" xfId="19727"/>
    <cellStyle name="20% - Accent1 8 7" xfId="5567"/>
    <cellStyle name="20% - Accent1 8 7 2" xfId="13551"/>
    <cellStyle name="20% - Accent1 8 7 3" xfId="21499"/>
    <cellStyle name="20% - Accent1 8 8" xfId="9120"/>
    <cellStyle name="20% - Accent1 8 8 2" xfId="17078"/>
    <cellStyle name="20% - Accent1 8 8 3" xfId="25022"/>
    <cellStyle name="20% - Accent1 8 9" xfId="10016"/>
    <cellStyle name="20% - Accent1 8_Exh G" xfId="2045"/>
    <cellStyle name="20% - Accent1 9" xfId="72"/>
    <cellStyle name="20% - Accent1 9 10" xfId="17975"/>
    <cellStyle name="20% - Accent1 9 2" xfId="73"/>
    <cellStyle name="20% - Accent1 9 2 2" xfId="74"/>
    <cellStyle name="20% - Accent1 9 2 2 2" xfId="1102"/>
    <cellStyle name="20% - Accent1 9 2 2 2 2" xfId="4632"/>
    <cellStyle name="20% - Accent1 9 2 2 2 2 2" xfId="8223"/>
    <cellStyle name="20% - Accent1 9 2 2 2 2 2 2" xfId="16194"/>
    <cellStyle name="20% - Accent1 9 2 2 2 2 2 3" xfId="24140"/>
    <cellStyle name="20% - Accent1 9 2 2 2 2 3" xfId="12656"/>
    <cellStyle name="20% - Accent1 9 2 2 2 2 4" xfId="20611"/>
    <cellStyle name="20% - Accent1 9 2 2 2 3" xfId="6464"/>
    <cellStyle name="20% - Accent1 9 2 2 2 3 2" xfId="14436"/>
    <cellStyle name="20% - Accent1 9 2 2 2 3 3" xfId="22383"/>
    <cellStyle name="20% - Accent1 9 2 2 2 4" xfId="10900"/>
    <cellStyle name="20% - Accent1 9 2 2 2 5" xfId="18855"/>
    <cellStyle name="20% - Accent1 9 2 2 2_Exh G" xfId="2058"/>
    <cellStyle name="20% - Accent1 9 2 2 3" xfId="3753"/>
    <cellStyle name="20% - Accent1 9 2 2 3 2" xfId="7345"/>
    <cellStyle name="20% - Accent1 9 2 2 3 2 2" xfId="15316"/>
    <cellStyle name="20% - Accent1 9 2 2 3 2 3" xfId="23262"/>
    <cellStyle name="20% - Accent1 9 2 2 3 3" xfId="11778"/>
    <cellStyle name="20% - Accent1 9 2 2 3 4" xfId="19733"/>
    <cellStyle name="20% - Accent1 9 2 2 4" xfId="5573"/>
    <cellStyle name="20% - Accent1 9 2 2 4 2" xfId="13557"/>
    <cellStyle name="20% - Accent1 9 2 2 4 3" xfId="21505"/>
    <cellStyle name="20% - Accent1 9 2 2 5" xfId="9126"/>
    <cellStyle name="20% - Accent1 9 2 2 5 2" xfId="17084"/>
    <cellStyle name="20% - Accent1 9 2 2 5 3" xfId="25028"/>
    <cellStyle name="20% - Accent1 9 2 2 6" xfId="10022"/>
    <cellStyle name="20% - Accent1 9 2 2 7" xfId="17977"/>
    <cellStyle name="20% - Accent1 9 2 2_Exh G" xfId="2057"/>
    <cellStyle name="20% - Accent1 9 2 3" xfId="1101"/>
    <cellStyle name="20% - Accent1 9 2 3 2" xfId="4631"/>
    <cellStyle name="20% - Accent1 9 2 3 2 2" xfId="8222"/>
    <cellStyle name="20% - Accent1 9 2 3 2 2 2" xfId="16193"/>
    <cellStyle name="20% - Accent1 9 2 3 2 2 3" xfId="24139"/>
    <cellStyle name="20% - Accent1 9 2 3 2 3" xfId="12655"/>
    <cellStyle name="20% - Accent1 9 2 3 2 4" xfId="20610"/>
    <cellStyle name="20% - Accent1 9 2 3 3" xfId="6463"/>
    <cellStyle name="20% - Accent1 9 2 3 3 2" xfId="14435"/>
    <cellStyle name="20% - Accent1 9 2 3 3 3" xfId="22382"/>
    <cellStyle name="20% - Accent1 9 2 3 4" xfId="10899"/>
    <cellStyle name="20% - Accent1 9 2 3 5" xfId="18854"/>
    <cellStyle name="20% - Accent1 9 2 3_Exh G" xfId="2059"/>
    <cellStyle name="20% - Accent1 9 2 4" xfId="3752"/>
    <cellStyle name="20% - Accent1 9 2 4 2" xfId="7344"/>
    <cellStyle name="20% - Accent1 9 2 4 2 2" xfId="15315"/>
    <cellStyle name="20% - Accent1 9 2 4 2 3" xfId="23261"/>
    <cellStyle name="20% - Accent1 9 2 4 3" xfId="11777"/>
    <cellStyle name="20% - Accent1 9 2 4 4" xfId="19732"/>
    <cellStyle name="20% - Accent1 9 2 5" xfId="5572"/>
    <cellStyle name="20% - Accent1 9 2 5 2" xfId="13556"/>
    <cellStyle name="20% - Accent1 9 2 5 3" xfId="21504"/>
    <cellStyle name="20% - Accent1 9 2 6" xfId="9125"/>
    <cellStyle name="20% - Accent1 9 2 6 2" xfId="17083"/>
    <cellStyle name="20% - Accent1 9 2 6 3" xfId="25027"/>
    <cellStyle name="20% - Accent1 9 2 7" xfId="10021"/>
    <cellStyle name="20% - Accent1 9 2 8" xfId="17976"/>
    <cellStyle name="20% - Accent1 9 2_Exh G" xfId="2056"/>
    <cellStyle name="20% - Accent1 9 3" xfId="75"/>
    <cellStyle name="20% - Accent1 9 3 2" xfId="1103"/>
    <cellStyle name="20% - Accent1 9 3 2 2" xfId="4633"/>
    <cellStyle name="20% - Accent1 9 3 2 2 2" xfId="8224"/>
    <cellStyle name="20% - Accent1 9 3 2 2 2 2" xfId="16195"/>
    <cellStyle name="20% - Accent1 9 3 2 2 2 3" xfId="24141"/>
    <cellStyle name="20% - Accent1 9 3 2 2 3" xfId="12657"/>
    <cellStyle name="20% - Accent1 9 3 2 2 4" xfId="20612"/>
    <cellStyle name="20% - Accent1 9 3 2 3" xfId="6465"/>
    <cellStyle name="20% - Accent1 9 3 2 3 2" xfId="14437"/>
    <cellStyle name="20% - Accent1 9 3 2 3 3" xfId="22384"/>
    <cellStyle name="20% - Accent1 9 3 2 4" xfId="10901"/>
    <cellStyle name="20% - Accent1 9 3 2 5" xfId="18856"/>
    <cellStyle name="20% - Accent1 9 3 2_Exh G" xfId="2061"/>
    <cellStyle name="20% - Accent1 9 3 3" xfId="3754"/>
    <cellStyle name="20% - Accent1 9 3 3 2" xfId="7346"/>
    <cellStyle name="20% - Accent1 9 3 3 2 2" xfId="15317"/>
    <cellStyle name="20% - Accent1 9 3 3 2 3" xfId="23263"/>
    <cellStyle name="20% - Accent1 9 3 3 3" xfId="11779"/>
    <cellStyle name="20% - Accent1 9 3 3 4" xfId="19734"/>
    <cellStyle name="20% - Accent1 9 3 4" xfId="5574"/>
    <cellStyle name="20% - Accent1 9 3 4 2" xfId="13558"/>
    <cellStyle name="20% - Accent1 9 3 4 3" xfId="21506"/>
    <cellStyle name="20% - Accent1 9 3 5" xfId="9127"/>
    <cellStyle name="20% - Accent1 9 3 5 2" xfId="17085"/>
    <cellStyle name="20% - Accent1 9 3 5 3" xfId="25029"/>
    <cellStyle name="20% - Accent1 9 3 6" xfId="10023"/>
    <cellStyle name="20% - Accent1 9 3 7" xfId="17978"/>
    <cellStyle name="20% - Accent1 9 3_Exh G" xfId="2060"/>
    <cellStyle name="20% - Accent1 9 4" xfId="873"/>
    <cellStyle name="20% - Accent1 9 4 2" xfId="1808"/>
    <cellStyle name="20% - Accent1 9 4 2 2" xfId="5326"/>
    <cellStyle name="20% - Accent1 9 4 2 2 2" xfId="8917"/>
    <cellStyle name="20% - Accent1 9 4 2 2 2 2" xfId="16888"/>
    <cellStyle name="20% - Accent1 9 4 2 2 2 3" xfId="24834"/>
    <cellStyle name="20% - Accent1 9 4 2 2 3" xfId="13350"/>
    <cellStyle name="20% - Accent1 9 4 2 2 4" xfId="21305"/>
    <cellStyle name="20% - Accent1 9 4 2 3" xfId="7158"/>
    <cellStyle name="20% - Accent1 9 4 2 3 2" xfId="15130"/>
    <cellStyle name="20% - Accent1 9 4 2 3 3" xfId="23077"/>
    <cellStyle name="20% - Accent1 9 4 2 4" xfId="11594"/>
    <cellStyle name="20% - Accent1 9 4 2 5" xfId="19549"/>
    <cellStyle name="20% - Accent1 9 4 2_Exh G" xfId="2063"/>
    <cellStyle name="20% - Accent1 9 4 3" xfId="4447"/>
    <cellStyle name="20% - Accent1 9 4 3 2" xfId="8039"/>
    <cellStyle name="20% - Accent1 9 4 3 2 2" xfId="16010"/>
    <cellStyle name="20% - Accent1 9 4 3 2 3" xfId="23956"/>
    <cellStyle name="20% - Accent1 9 4 3 3" xfId="12472"/>
    <cellStyle name="20% - Accent1 9 4 3 4" xfId="20427"/>
    <cellStyle name="20% - Accent1 9 4 4" xfId="6277"/>
    <cellStyle name="20% - Accent1 9 4 4 2" xfId="14252"/>
    <cellStyle name="20% - Accent1 9 4 4 3" xfId="22199"/>
    <cellStyle name="20% - Accent1 9 4 5" xfId="9820"/>
    <cellStyle name="20% - Accent1 9 4 5 2" xfId="17778"/>
    <cellStyle name="20% - Accent1 9 4 5 3" xfId="25722"/>
    <cellStyle name="20% - Accent1 9 4 6" xfId="10716"/>
    <cellStyle name="20% - Accent1 9 4 7" xfId="18671"/>
    <cellStyle name="20% - Accent1 9 4_Exh G" xfId="2062"/>
    <cellStyle name="20% - Accent1 9 5" xfId="1100"/>
    <cellStyle name="20% - Accent1 9 5 2" xfId="4630"/>
    <cellStyle name="20% - Accent1 9 5 2 2" xfId="8221"/>
    <cellStyle name="20% - Accent1 9 5 2 2 2" xfId="16192"/>
    <cellStyle name="20% - Accent1 9 5 2 2 3" xfId="24138"/>
    <cellStyle name="20% - Accent1 9 5 2 3" xfId="12654"/>
    <cellStyle name="20% - Accent1 9 5 2 4" xfId="20609"/>
    <cellStyle name="20% - Accent1 9 5 3" xfId="6462"/>
    <cellStyle name="20% - Accent1 9 5 3 2" xfId="14434"/>
    <cellStyle name="20% - Accent1 9 5 3 3" xfId="22381"/>
    <cellStyle name="20% - Accent1 9 5 4" xfId="10898"/>
    <cellStyle name="20% - Accent1 9 5 5" xfId="18853"/>
    <cellStyle name="20% - Accent1 9 5_Exh G" xfId="2064"/>
    <cellStyle name="20% - Accent1 9 6" xfId="3751"/>
    <cellStyle name="20% - Accent1 9 6 2" xfId="7343"/>
    <cellStyle name="20% - Accent1 9 6 2 2" xfId="15314"/>
    <cellStyle name="20% - Accent1 9 6 2 3" xfId="23260"/>
    <cellStyle name="20% - Accent1 9 6 3" xfId="11776"/>
    <cellStyle name="20% - Accent1 9 6 4" xfId="19731"/>
    <cellStyle name="20% - Accent1 9 7" xfId="5571"/>
    <cellStyle name="20% - Accent1 9 7 2" xfId="13555"/>
    <cellStyle name="20% - Accent1 9 7 3" xfId="21503"/>
    <cellStyle name="20% - Accent1 9 8" xfId="9124"/>
    <cellStyle name="20% - Accent1 9 8 2" xfId="17082"/>
    <cellStyle name="20% - Accent1 9 8 3" xfId="25026"/>
    <cellStyle name="20% - Accent1 9 9" xfId="10020"/>
    <cellStyle name="20% - Accent1 9_Exh G" xfId="2055"/>
    <cellStyle name="20% - Accent2 10" xfId="76"/>
    <cellStyle name="20% - Accent2 10 10" xfId="17979"/>
    <cellStyle name="20% - Accent2 10 2" xfId="77"/>
    <cellStyle name="20% - Accent2 10 2 2" xfId="78"/>
    <cellStyle name="20% - Accent2 10 2 2 2" xfId="1106"/>
    <cellStyle name="20% - Accent2 10 2 2 2 2" xfId="4636"/>
    <cellStyle name="20% - Accent2 10 2 2 2 2 2" xfId="8227"/>
    <cellStyle name="20% - Accent2 10 2 2 2 2 2 2" xfId="16198"/>
    <cellStyle name="20% - Accent2 10 2 2 2 2 2 3" xfId="24144"/>
    <cellStyle name="20% - Accent2 10 2 2 2 2 3" xfId="12660"/>
    <cellStyle name="20% - Accent2 10 2 2 2 2 4" xfId="20615"/>
    <cellStyle name="20% - Accent2 10 2 2 2 3" xfId="6468"/>
    <cellStyle name="20% - Accent2 10 2 2 2 3 2" xfId="14440"/>
    <cellStyle name="20% - Accent2 10 2 2 2 3 3" xfId="22387"/>
    <cellStyle name="20% - Accent2 10 2 2 2 4" xfId="10904"/>
    <cellStyle name="20% - Accent2 10 2 2 2 5" xfId="18859"/>
    <cellStyle name="20% - Accent2 10 2 2 2_Exh G" xfId="2068"/>
    <cellStyle name="20% - Accent2 10 2 2 3" xfId="3757"/>
    <cellStyle name="20% - Accent2 10 2 2 3 2" xfId="7349"/>
    <cellStyle name="20% - Accent2 10 2 2 3 2 2" xfId="15320"/>
    <cellStyle name="20% - Accent2 10 2 2 3 2 3" xfId="23266"/>
    <cellStyle name="20% - Accent2 10 2 2 3 3" xfId="11782"/>
    <cellStyle name="20% - Accent2 10 2 2 3 4" xfId="19737"/>
    <cellStyle name="20% - Accent2 10 2 2 4" xfId="5577"/>
    <cellStyle name="20% - Accent2 10 2 2 4 2" xfId="13561"/>
    <cellStyle name="20% - Accent2 10 2 2 4 3" xfId="21509"/>
    <cellStyle name="20% - Accent2 10 2 2 5" xfId="9130"/>
    <cellStyle name="20% - Accent2 10 2 2 5 2" xfId="17088"/>
    <cellStyle name="20% - Accent2 10 2 2 5 3" xfId="25032"/>
    <cellStyle name="20% - Accent2 10 2 2 6" xfId="10026"/>
    <cellStyle name="20% - Accent2 10 2 2 7" xfId="17981"/>
    <cellStyle name="20% - Accent2 10 2 2_Exh G" xfId="2067"/>
    <cellStyle name="20% - Accent2 10 2 3" xfId="1105"/>
    <cellStyle name="20% - Accent2 10 2 3 2" xfId="4635"/>
    <cellStyle name="20% - Accent2 10 2 3 2 2" xfId="8226"/>
    <cellStyle name="20% - Accent2 10 2 3 2 2 2" xfId="16197"/>
    <cellStyle name="20% - Accent2 10 2 3 2 2 3" xfId="24143"/>
    <cellStyle name="20% - Accent2 10 2 3 2 3" xfId="12659"/>
    <cellStyle name="20% - Accent2 10 2 3 2 4" xfId="20614"/>
    <cellStyle name="20% - Accent2 10 2 3 3" xfId="6467"/>
    <cellStyle name="20% - Accent2 10 2 3 3 2" xfId="14439"/>
    <cellStyle name="20% - Accent2 10 2 3 3 3" xfId="22386"/>
    <cellStyle name="20% - Accent2 10 2 3 4" xfId="10903"/>
    <cellStyle name="20% - Accent2 10 2 3 5" xfId="18858"/>
    <cellStyle name="20% - Accent2 10 2 3_Exh G" xfId="2069"/>
    <cellStyle name="20% - Accent2 10 2 4" xfId="3756"/>
    <cellStyle name="20% - Accent2 10 2 4 2" xfId="7348"/>
    <cellStyle name="20% - Accent2 10 2 4 2 2" xfId="15319"/>
    <cellStyle name="20% - Accent2 10 2 4 2 3" xfId="23265"/>
    <cellStyle name="20% - Accent2 10 2 4 3" xfId="11781"/>
    <cellStyle name="20% - Accent2 10 2 4 4" xfId="19736"/>
    <cellStyle name="20% - Accent2 10 2 5" xfId="5576"/>
    <cellStyle name="20% - Accent2 10 2 5 2" xfId="13560"/>
    <cellStyle name="20% - Accent2 10 2 5 3" xfId="21508"/>
    <cellStyle name="20% - Accent2 10 2 6" xfId="9129"/>
    <cellStyle name="20% - Accent2 10 2 6 2" xfId="17087"/>
    <cellStyle name="20% - Accent2 10 2 6 3" xfId="25031"/>
    <cellStyle name="20% - Accent2 10 2 7" xfId="10025"/>
    <cellStyle name="20% - Accent2 10 2 8" xfId="17980"/>
    <cellStyle name="20% - Accent2 10 2_Exh G" xfId="2066"/>
    <cellStyle name="20% - Accent2 10 3" xfId="79"/>
    <cellStyle name="20% - Accent2 10 3 2" xfId="1107"/>
    <cellStyle name="20% - Accent2 10 3 2 2" xfId="4637"/>
    <cellStyle name="20% - Accent2 10 3 2 2 2" xfId="8228"/>
    <cellStyle name="20% - Accent2 10 3 2 2 2 2" xfId="16199"/>
    <cellStyle name="20% - Accent2 10 3 2 2 2 3" xfId="24145"/>
    <cellStyle name="20% - Accent2 10 3 2 2 3" xfId="12661"/>
    <cellStyle name="20% - Accent2 10 3 2 2 4" xfId="20616"/>
    <cellStyle name="20% - Accent2 10 3 2 3" xfId="6469"/>
    <cellStyle name="20% - Accent2 10 3 2 3 2" xfId="14441"/>
    <cellStyle name="20% - Accent2 10 3 2 3 3" xfId="22388"/>
    <cellStyle name="20% - Accent2 10 3 2 4" xfId="10905"/>
    <cellStyle name="20% - Accent2 10 3 2 5" xfId="18860"/>
    <cellStyle name="20% - Accent2 10 3 2_Exh G" xfId="2071"/>
    <cellStyle name="20% - Accent2 10 3 3" xfId="3758"/>
    <cellStyle name="20% - Accent2 10 3 3 2" xfId="7350"/>
    <cellStyle name="20% - Accent2 10 3 3 2 2" xfId="15321"/>
    <cellStyle name="20% - Accent2 10 3 3 2 3" xfId="23267"/>
    <cellStyle name="20% - Accent2 10 3 3 3" xfId="11783"/>
    <cellStyle name="20% - Accent2 10 3 3 4" xfId="19738"/>
    <cellStyle name="20% - Accent2 10 3 4" xfId="5578"/>
    <cellStyle name="20% - Accent2 10 3 4 2" xfId="13562"/>
    <cellStyle name="20% - Accent2 10 3 4 3" xfId="21510"/>
    <cellStyle name="20% - Accent2 10 3 5" xfId="9131"/>
    <cellStyle name="20% - Accent2 10 3 5 2" xfId="17089"/>
    <cellStyle name="20% - Accent2 10 3 5 3" xfId="25033"/>
    <cellStyle name="20% - Accent2 10 3 6" xfId="10027"/>
    <cellStyle name="20% - Accent2 10 3 7" xfId="17982"/>
    <cellStyle name="20% - Accent2 10 3_Exh G" xfId="2070"/>
    <cellStyle name="20% - Accent2 10 4" xfId="874"/>
    <cellStyle name="20% - Accent2 10 5" xfId="1104"/>
    <cellStyle name="20% - Accent2 10 5 2" xfId="4634"/>
    <cellStyle name="20% - Accent2 10 5 2 2" xfId="8225"/>
    <cellStyle name="20% - Accent2 10 5 2 2 2" xfId="16196"/>
    <cellStyle name="20% - Accent2 10 5 2 2 3" xfId="24142"/>
    <cellStyle name="20% - Accent2 10 5 2 3" xfId="12658"/>
    <cellStyle name="20% - Accent2 10 5 2 4" xfId="20613"/>
    <cellStyle name="20% - Accent2 10 5 3" xfId="6466"/>
    <cellStyle name="20% - Accent2 10 5 3 2" xfId="14438"/>
    <cellStyle name="20% - Accent2 10 5 3 3" xfId="22385"/>
    <cellStyle name="20% - Accent2 10 5 4" xfId="10902"/>
    <cellStyle name="20% - Accent2 10 5 5" xfId="18857"/>
    <cellStyle name="20% - Accent2 10 5_Exh G" xfId="2072"/>
    <cellStyle name="20% - Accent2 10 6" xfId="3755"/>
    <cellStyle name="20% - Accent2 10 6 2" xfId="7347"/>
    <cellStyle name="20% - Accent2 10 6 2 2" xfId="15318"/>
    <cellStyle name="20% - Accent2 10 6 2 3" xfId="23264"/>
    <cellStyle name="20% - Accent2 10 6 3" xfId="11780"/>
    <cellStyle name="20% - Accent2 10 6 4" xfId="19735"/>
    <cellStyle name="20% - Accent2 10 7" xfId="5575"/>
    <cellStyle name="20% - Accent2 10 7 2" xfId="13559"/>
    <cellStyle name="20% - Accent2 10 7 3" xfId="21507"/>
    <cellStyle name="20% - Accent2 10 8" xfId="9128"/>
    <cellStyle name="20% - Accent2 10 8 2" xfId="17086"/>
    <cellStyle name="20% - Accent2 10 8 3" xfId="25030"/>
    <cellStyle name="20% - Accent2 10 9" xfId="10024"/>
    <cellStyle name="20% - Accent2 10_Exh G" xfId="2065"/>
    <cellStyle name="20% - Accent2 11" xfId="80"/>
    <cellStyle name="20% - Accent2 11 2" xfId="81"/>
    <cellStyle name="20% - Accent2 11 2 2" xfId="82"/>
    <cellStyle name="20% - Accent2 11 2 2 2" xfId="1110"/>
    <cellStyle name="20% - Accent2 11 2 2 2 2" xfId="4640"/>
    <cellStyle name="20% - Accent2 11 2 2 2 2 2" xfId="8231"/>
    <cellStyle name="20% - Accent2 11 2 2 2 2 2 2" xfId="16202"/>
    <cellStyle name="20% - Accent2 11 2 2 2 2 2 3" xfId="24148"/>
    <cellStyle name="20% - Accent2 11 2 2 2 2 3" xfId="12664"/>
    <cellStyle name="20% - Accent2 11 2 2 2 2 4" xfId="20619"/>
    <cellStyle name="20% - Accent2 11 2 2 2 3" xfId="6472"/>
    <cellStyle name="20% - Accent2 11 2 2 2 3 2" xfId="14444"/>
    <cellStyle name="20% - Accent2 11 2 2 2 3 3" xfId="22391"/>
    <cellStyle name="20% - Accent2 11 2 2 2 4" xfId="10908"/>
    <cellStyle name="20% - Accent2 11 2 2 2 5" xfId="18863"/>
    <cellStyle name="20% - Accent2 11 2 2 2_Exh G" xfId="2076"/>
    <cellStyle name="20% - Accent2 11 2 2 3" xfId="3761"/>
    <cellStyle name="20% - Accent2 11 2 2 3 2" xfId="7353"/>
    <cellStyle name="20% - Accent2 11 2 2 3 2 2" xfId="15324"/>
    <cellStyle name="20% - Accent2 11 2 2 3 2 3" xfId="23270"/>
    <cellStyle name="20% - Accent2 11 2 2 3 3" xfId="11786"/>
    <cellStyle name="20% - Accent2 11 2 2 3 4" xfId="19741"/>
    <cellStyle name="20% - Accent2 11 2 2 4" xfId="5581"/>
    <cellStyle name="20% - Accent2 11 2 2 4 2" xfId="13565"/>
    <cellStyle name="20% - Accent2 11 2 2 4 3" xfId="21513"/>
    <cellStyle name="20% - Accent2 11 2 2 5" xfId="9134"/>
    <cellStyle name="20% - Accent2 11 2 2 5 2" xfId="17092"/>
    <cellStyle name="20% - Accent2 11 2 2 5 3" xfId="25036"/>
    <cellStyle name="20% - Accent2 11 2 2 6" xfId="10030"/>
    <cellStyle name="20% - Accent2 11 2 2 7" xfId="17985"/>
    <cellStyle name="20% - Accent2 11 2 2_Exh G" xfId="2075"/>
    <cellStyle name="20% - Accent2 11 2 3" xfId="1109"/>
    <cellStyle name="20% - Accent2 11 2 3 2" xfId="4639"/>
    <cellStyle name="20% - Accent2 11 2 3 2 2" xfId="8230"/>
    <cellStyle name="20% - Accent2 11 2 3 2 2 2" xfId="16201"/>
    <cellStyle name="20% - Accent2 11 2 3 2 2 3" xfId="24147"/>
    <cellStyle name="20% - Accent2 11 2 3 2 3" xfId="12663"/>
    <cellStyle name="20% - Accent2 11 2 3 2 4" xfId="20618"/>
    <cellStyle name="20% - Accent2 11 2 3 3" xfId="6471"/>
    <cellStyle name="20% - Accent2 11 2 3 3 2" xfId="14443"/>
    <cellStyle name="20% - Accent2 11 2 3 3 3" xfId="22390"/>
    <cellStyle name="20% - Accent2 11 2 3 4" xfId="10907"/>
    <cellStyle name="20% - Accent2 11 2 3 5" xfId="18862"/>
    <cellStyle name="20% - Accent2 11 2 3_Exh G" xfId="2077"/>
    <cellStyle name="20% - Accent2 11 2 4" xfId="3760"/>
    <cellStyle name="20% - Accent2 11 2 4 2" xfId="7352"/>
    <cellStyle name="20% - Accent2 11 2 4 2 2" xfId="15323"/>
    <cellStyle name="20% - Accent2 11 2 4 2 3" xfId="23269"/>
    <cellStyle name="20% - Accent2 11 2 4 3" xfId="11785"/>
    <cellStyle name="20% - Accent2 11 2 4 4" xfId="19740"/>
    <cellStyle name="20% - Accent2 11 2 5" xfId="5580"/>
    <cellStyle name="20% - Accent2 11 2 5 2" xfId="13564"/>
    <cellStyle name="20% - Accent2 11 2 5 3" xfId="21512"/>
    <cellStyle name="20% - Accent2 11 2 6" xfId="9133"/>
    <cellStyle name="20% - Accent2 11 2 6 2" xfId="17091"/>
    <cellStyle name="20% - Accent2 11 2 6 3" xfId="25035"/>
    <cellStyle name="20% - Accent2 11 2 7" xfId="10029"/>
    <cellStyle name="20% - Accent2 11 2 8" xfId="17984"/>
    <cellStyle name="20% - Accent2 11 2_Exh G" xfId="2074"/>
    <cellStyle name="20% - Accent2 11 3" xfId="83"/>
    <cellStyle name="20% - Accent2 11 3 2" xfId="1111"/>
    <cellStyle name="20% - Accent2 11 3 2 2" xfId="4641"/>
    <cellStyle name="20% - Accent2 11 3 2 2 2" xfId="8232"/>
    <cellStyle name="20% - Accent2 11 3 2 2 2 2" xfId="16203"/>
    <cellStyle name="20% - Accent2 11 3 2 2 2 3" xfId="24149"/>
    <cellStyle name="20% - Accent2 11 3 2 2 3" xfId="12665"/>
    <cellStyle name="20% - Accent2 11 3 2 2 4" xfId="20620"/>
    <cellStyle name="20% - Accent2 11 3 2 3" xfId="6473"/>
    <cellStyle name="20% - Accent2 11 3 2 3 2" xfId="14445"/>
    <cellStyle name="20% - Accent2 11 3 2 3 3" xfId="22392"/>
    <cellStyle name="20% - Accent2 11 3 2 4" xfId="10909"/>
    <cellStyle name="20% - Accent2 11 3 2 5" xfId="18864"/>
    <cellStyle name="20% - Accent2 11 3 2_Exh G" xfId="2079"/>
    <cellStyle name="20% - Accent2 11 3 3" xfId="3762"/>
    <cellStyle name="20% - Accent2 11 3 3 2" xfId="7354"/>
    <cellStyle name="20% - Accent2 11 3 3 2 2" xfId="15325"/>
    <cellStyle name="20% - Accent2 11 3 3 2 3" xfId="23271"/>
    <cellStyle name="20% - Accent2 11 3 3 3" xfId="11787"/>
    <cellStyle name="20% - Accent2 11 3 3 4" xfId="19742"/>
    <cellStyle name="20% - Accent2 11 3 4" xfId="5582"/>
    <cellStyle name="20% - Accent2 11 3 4 2" xfId="13566"/>
    <cellStyle name="20% - Accent2 11 3 4 3" xfId="21514"/>
    <cellStyle name="20% - Accent2 11 3 5" xfId="9135"/>
    <cellStyle name="20% - Accent2 11 3 5 2" xfId="17093"/>
    <cellStyle name="20% - Accent2 11 3 5 3" xfId="25037"/>
    <cellStyle name="20% - Accent2 11 3 6" xfId="10031"/>
    <cellStyle name="20% - Accent2 11 3 7" xfId="17986"/>
    <cellStyle name="20% - Accent2 11 3_Exh G" xfId="2078"/>
    <cellStyle name="20% - Accent2 11 4" xfId="1108"/>
    <cellStyle name="20% - Accent2 11 4 2" xfId="4638"/>
    <cellStyle name="20% - Accent2 11 4 2 2" xfId="8229"/>
    <cellStyle name="20% - Accent2 11 4 2 2 2" xfId="16200"/>
    <cellStyle name="20% - Accent2 11 4 2 2 3" xfId="24146"/>
    <cellStyle name="20% - Accent2 11 4 2 3" xfId="12662"/>
    <cellStyle name="20% - Accent2 11 4 2 4" xfId="20617"/>
    <cellStyle name="20% - Accent2 11 4 3" xfId="6470"/>
    <cellStyle name="20% - Accent2 11 4 3 2" xfId="14442"/>
    <cellStyle name="20% - Accent2 11 4 3 3" xfId="22389"/>
    <cellStyle name="20% - Accent2 11 4 4" xfId="10906"/>
    <cellStyle name="20% - Accent2 11 4 5" xfId="18861"/>
    <cellStyle name="20% - Accent2 11 4_Exh G" xfId="2080"/>
    <cellStyle name="20% - Accent2 11 5" xfId="3759"/>
    <cellStyle name="20% - Accent2 11 5 2" xfId="7351"/>
    <cellStyle name="20% - Accent2 11 5 2 2" xfId="15322"/>
    <cellStyle name="20% - Accent2 11 5 2 3" xfId="23268"/>
    <cellStyle name="20% - Accent2 11 5 3" xfId="11784"/>
    <cellStyle name="20% - Accent2 11 5 4" xfId="19739"/>
    <cellStyle name="20% - Accent2 11 6" xfId="5579"/>
    <cellStyle name="20% - Accent2 11 6 2" xfId="13563"/>
    <cellStyle name="20% - Accent2 11 6 3" xfId="21511"/>
    <cellStyle name="20% - Accent2 11 7" xfId="9132"/>
    <cellStyle name="20% - Accent2 11 7 2" xfId="17090"/>
    <cellStyle name="20% - Accent2 11 7 3" xfId="25034"/>
    <cellStyle name="20% - Accent2 11 8" xfId="10028"/>
    <cellStyle name="20% - Accent2 11 9" xfId="17983"/>
    <cellStyle name="20% - Accent2 11_Exh G" xfId="2073"/>
    <cellStyle name="20% - Accent2 12" xfId="84"/>
    <cellStyle name="20% - Accent2 12 2" xfId="85"/>
    <cellStyle name="20% - Accent2 12 2 2" xfId="86"/>
    <cellStyle name="20% - Accent2 12 2 2 2" xfId="1114"/>
    <cellStyle name="20% - Accent2 12 2 2 2 2" xfId="4644"/>
    <cellStyle name="20% - Accent2 12 2 2 2 2 2" xfId="8235"/>
    <cellStyle name="20% - Accent2 12 2 2 2 2 2 2" xfId="16206"/>
    <cellStyle name="20% - Accent2 12 2 2 2 2 2 3" xfId="24152"/>
    <cellStyle name="20% - Accent2 12 2 2 2 2 3" xfId="12668"/>
    <cellStyle name="20% - Accent2 12 2 2 2 2 4" xfId="20623"/>
    <cellStyle name="20% - Accent2 12 2 2 2 3" xfId="6476"/>
    <cellStyle name="20% - Accent2 12 2 2 2 3 2" xfId="14448"/>
    <cellStyle name="20% - Accent2 12 2 2 2 3 3" xfId="22395"/>
    <cellStyle name="20% - Accent2 12 2 2 2 4" xfId="10912"/>
    <cellStyle name="20% - Accent2 12 2 2 2 5" xfId="18867"/>
    <cellStyle name="20% - Accent2 12 2 2 2_Exh G" xfId="2084"/>
    <cellStyle name="20% - Accent2 12 2 2 3" xfId="3765"/>
    <cellStyle name="20% - Accent2 12 2 2 3 2" xfId="7357"/>
    <cellStyle name="20% - Accent2 12 2 2 3 2 2" xfId="15328"/>
    <cellStyle name="20% - Accent2 12 2 2 3 2 3" xfId="23274"/>
    <cellStyle name="20% - Accent2 12 2 2 3 3" xfId="11790"/>
    <cellStyle name="20% - Accent2 12 2 2 3 4" xfId="19745"/>
    <cellStyle name="20% - Accent2 12 2 2 4" xfId="5585"/>
    <cellStyle name="20% - Accent2 12 2 2 4 2" xfId="13569"/>
    <cellStyle name="20% - Accent2 12 2 2 4 3" xfId="21517"/>
    <cellStyle name="20% - Accent2 12 2 2 5" xfId="9138"/>
    <cellStyle name="20% - Accent2 12 2 2 5 2" xfId="17096"/>
    <cellStyle name="20% - Accent2 12 2 2 5 3" xfId="25040"/>
    <cellStyle name="20% - Accent2 12 2 2 6" xfId="10034"/>
    <cellStyle name="20% - Accent2 12 2 2 7" xfId="17989"/>
    <cellStyle name="20% - Accent2 12 2 2_Exh G" xfId="2083"/>
    <cellStyle name="20% - Accent2 12 2 3" xfId="1113"/>
    <cellStyle name="20% - Accent2 12 2 3 2" xfId="4643"/>
    <cellStyle name="20% - Accent2 12 2 3 2 2" xfId="8234"/>
    <cellStyle name="20% - Accent2 12 2 3 2 2 2" xfId="16205"/>
    <cellStyle name="20% - Accent2 12 2 3 2 2 3" xfId="24151"/>
    <cellStyle name="20% - Accent2 12 2 3 2 3" xfId="12667"/>
    <cellStyle name="20% - Accent2 12 2 3 2 4" xfId="20622"/>
    <cellStyle name="20% - Accent2 12 2 3 3" xfId="6475"/>
    <cellStyle name="20% - Accent2 12 2 3 3 2" xfId="14447"/>
    <cellStyle name="20% - Accent2 12 2 3 3 3" xfId="22394"/>
    <cellStyle name="20% - Accent2 12 2 3 4" xfId="10911"/>
    <cellStyle name="20% - Accent2 12 2 3 5" xfId="18866"/>
    <cellStyle name="20% - Accent2 12 2 3_Exh G" xfId="2085"/>
    <cellStyle name="20% - Accent2 12 2 4" xfId="3764"/>
    <cellStyle name="20% - Accent2 12 2 4 2" xfId="7356"/>
    <cellStyle name="20% - Accent2 12 2 4 2 2" xfId="15327"/>
    <cellStyle name="20% - Accent2 12 2 4 2 3" xfId="23273"/>
    <cellStyle name="20% - Accent2 12 2 4 3" xfId="11789"/>
    <cellStyle name="20% - Accent2 12 2 4 4" xfId="19744"/>
    <cellStyle name="20% - Accent2 12 2 5" xfId="5584"/>
    <cellStyle name="20% - Accent2 12 2 5 2" xfId="13568"/>
    <cellStyle name="20% - Accent2 12 2 5 3" xfId="21516"/>
    <cellStyle name="20% - Accent2 12 2 6" xfId="9137"/>
    <cellStyle name="20% - Accent2 12 2 6 2" xfId="17095"/>
    <cellStyle name="20% - Accent2 12 2 6 3" xfId="25039"/>
    <cellStyle name="20% - Accent2 12 2 7" xfId="10033"/>
    <cellStyle name="20% - Accent2 12 2 8" xfId="17988"/>
    <cellStyle name="20% - Accent2 12 2_Exh G" xfId="2082"/>
    <cellStyle name="20% - Accent2 12 3" xfId="87"/>
    <cellStyle name="20% - Accent2 12 3 2" xfId="1115"/>
    <cellStyle name="20% - Accent2 12 3 2 2" xfId="4645"/>
    <cellStyle name="20% - Accent2 12 3 2 2 2" xfId="8236"/>
    <cellStyle name="20% - Accent2 12 3 2 2 2 2" xfId="16207"/>
    <cellStyle name="20% - Accent2 12 3 2 2 2 3" xfId="24153"/>
    <cellStyle name="20% - Accent2 12 3 2 2 3" xfId="12669"/>
    <cellStyle name="20% - Accent2 12 3 2 2 4" xfId="20624"/>
    <cellStyle name="20% - Accent2 12 3 2 3" xfId="6477"/>
    <cellStyle name="20% - Accent2 12 3 2 3 2" xfId="14449"/>
    <cellStyle name="20% - Accent2 12 3 2 3 3" xfId="22396"/>
    <cellStyle name="20% - Accent2 12 3 2 4" xfId="10913"/>
    <cellStyle name="20% - Accent2 12 3 2 5" xfId="18868"/>
    <cellStyle name="20% - Accent2 12 3 2_Exh G" xfId="2087"/>
    <cellStyle name="20% - Accent2 12 3 3" xfId="3766"/>
    <cellStyle name="20% - Accent2 12 3 3 2" xfId="7358"/>
    <cellStyle name="20% - Accent2 12 3 3 2 2" xfId="15329"/>
    <cellStyle name="20% - Accent2 12 3 3 2 3" xfId="23275"/>
    <cellStyle name="20% - Accent2 12 3 3 3" xfId="11791"/>
    <cellStyle name="20% - Accent2 12 3 3 4" xfId="19746"/>
    <cellStyle name="20% - Accent2 12 3 4" xfId="5586"/>
    <cellStyle name="20% - Accent2 12 3 4 2" xfId="13570"/>
    <cellStyle name="20% - Accent2 12 3 4 3" xfId="21518"/>
    <cellStyle name="20% - Accent2 12 3 5" xfId="9139"/>
    <cellStyle name="20% - Accent2 12 3 5 2" xfId="17097"/>
    <cellStyle name="20% - Accent2 12 3 5 3" xfId="25041"/>
    <cellStyle name="20% - Accent2 12 3 6" xfId="10035"/>
    <cellStyle name="20% - Accent2 12 3 7" xfId="17990"/>
    <cellStyle name="20% - Accent2 12 3_Exh G" xfId="2086"/>
    <cellStyle name="20% - Accent2 12 4" xfId="1112"/>
    <cellStyle name="20% - Accent2 12 4 2" xfId="4642"/>
    <cellStyle name="20% - Accent2 12 4 2 2" xfId="8233"/>
    <cellStyle name="20% - Accent2 12 4 2 2 2" xfId="16204"/>
    <cellStyle name="20% - Accent2 12 4 2 2 3" xfId="24150"/>
    <cellStyle name="20% - Accent2 12 4 2 3" xfId="12666"/>
    <cellStyle name="20% - Accent2 12 4 2 4" xfId="20621"/>
    <cellStyle name="20% - Accent2 12 4 3" xfId="6474"/>
    <cellStyle name="20% - Accent2 12 4 3 2" xfId="14446"/>
    <cellStyle name="20% - Accent2 12 4 3 3" xfId="22393"/>
    <cellStyle name="20% - Accent2 12 4 4" xfId="10910"/>
    <cellStyle name="20% - Accent2 12 4 5" xfId="18865"/>
    <cellStyle name="20% - Accent2 12 4_Exh G" xfId="2088"/>
    <cellStyle name="20% - Accent2 12 5" xfId="3763"/>
    <cellStyle name="20% - Accent2 12 5 2" xfId="7355"/>
    <cellStyle name="20% - Accent2 12 5 2 2" xfId="15326"/>
    <cellStyle name="20% - Accent2 12 5 2 3" xfId="23272"/>
    <cellStyle name="20% - Accent2 12 5 3" xfId="11788"/>
    <cellStyle name="20% - Accent2 12 5 4" xfId="19743"/>
    <cellStyle name="20% - Accent2 12 6" xfId="5583"/>
    <cellStyle name="20% - Accent2 12 6 2" xfId="13567"/>
    <cellStyle name="20% - Accent2 12 6 3" xfId="21515"/>
    <cellStyle name="20% - Accent2 12 7" xfId="9136"/>
    <cellStyle name="20% - Accent2 12 7 2" xfId="17094"/>
    <cellStyle name="20% - Accent2 12 7 3" xfId="25038"/>
    <cellStyle name="20% - Accent2 12 8" xfId="10032"/>
    <cellStyle name="20% - Accent2 12 9" xfId="17987"/>
    <cellStyle name="20% - Accent2 12_Exh G" xfId="2081"/>
    <cellStyle name="20% - Accent2 13" xfId="88"/>
    <cellStyle name="20% - Accent2 13 2" xfId="89"/>
    <cellStyle name="20% - Accent2 13 2 2" xfId="90"/>
    <cellStyle name="20% - Accent2 13 2 2 2" xfId="1118"/>
    <cellStyle name="20% - Accent2 13 2 2 2 2" xfId="4648"/>
    <cellStyle name="20% - Accent2 13 2 2 2 2 2" xfId="8239"/>
    <cellStyle name="20% - Accent2 13 2 2 2 2 2 2" xfId="16210"/>
    <cellStyle name="20% - Accent2 13 2 2 2 2 2 3" xfId="24156"/>
    <cellStyle name="20% - Accent2 13 2 2 2 2 3" xfId="12672"/>
    <cellStyle name="20% - Accent2 13 2 2 2 2 4" xfId="20627"/>
    <cellStyle name="20% - Accent2 13 2 2 2 3" xfId="6480"/>
    <cellStyle name="20% - Accent2 13 2 2 2 3 2" xfId="14452"/>
    <cellStyle name="20% - Accent2 13 2 2 2 3 3" xfId="22399"/>
    <cellStyle name="20% - Accent2 13 2 2 2 4" xfId="10916"/>
    <cellStyle name="20% - Accent2 13 2 2 2 5" xfId="18871"/>
    <cellStyle name="20% - Accent2 13 2 2 2_Exh G" xfId="2092"/>
    <cellStyle name="20% - Accent2 13 2 2 3" xfId="3769"/>
    <cellStyle name="20% - Accent2 13 2 2 3 2" xfId="7361"/>
    <cellStyle name="20% - Accent2 13 2 2 3 2 2" xfId="15332"/>
    <cellStyle name="20% - Accent2 13 2 2 3 2 3" xfId="23278"/>
    <cellStyle name="20% - Accent2 13 2 2 3 3" xfId="11794"/>
    <cellStyle name="20% - Accent2 13 2 2 3 4" xfId="19749"/>
    <cellStyle name="20% - Accent2 13 2 2 4" xfId="5589"/>
    <cellStyle name="20% - Accent2 13 2 2 4 2" xfId="13573"/>
    <cellStyle name="20% - Accent2 13 2 2 4 3" xfId="21521"/>
    <cellStyle name="20% - Accent2 13 2 2 5" xfId="9142"/>
    <cellStyle name="20% - Accent2 13 2 2 5 2" xfId="17100"/>
    <cellStyle name="20% - Accent2 13 2 2 5 3" xfId="25044"/>
    <cellStyle name="20% - Accent2 13 2 2 6" xfId="10038"/>
    <cellStyle name="20% - Accent2 13 2 2 7" xfId="17993"/>
    <cellStyle name="20% - Accent2 13 2 2_Exh G" xfId="2091"/>
    <cellStyle name="20% - Accent2 13 2 3" xfId="1117"/>
    <cellStyle name="20% - Accent2 13 2 3 2" xfId="4647"/>
    <cellStyle name="20% - Accent2 13 2 3 2 2" xfId="8238"/>
    <cellStyle name="20% - Accent2 13 2 3 2 2 2" xfId="16209"/>
    <cellStyle name="20% - Accent2 13 2 3 2 2 3" xfId="24155"/>
    <cellStyle name="20% - Accent2 13 2 3 2 3" xfId="12671"/>
    <cellStyle name="20% - Accent2 13 2 3 2 4" xfId="20626"/>
    <cellStyle name="20% - Accent2 13 2 3 3" xfId="6479"/>
    <cellStyle name="20% - Accent2 13 2 3 3 2" xfId="14451"/>
    <cellStyle name="20% - Accent2 13 2 3 3 3" xfId="22398"/>
    <cellStyle name="20% - Accent2 13 2 3 4" xfId="10915"/>
    <cellStyle name="20% - Accent2 13 2 3 5" xfId="18870"/>
    <cellStyle name="20% - Accent2 13 2 3_Exh G" xfId="2093"/>
    <cellStyle name="20% - Accent2 13 2 4" xfId="3768"/>
    <cellStyle name="20% - Accent2 13 2 4 2" xfId="7360"/>
    <cellStyle name="20% - Accent2 13 2 4 2 2" xfId="15331"/>
    <cellStyle name="20% - Accent2 13 2 4 2 3" xfId="23277"/>
    <cellStyle name="20% - Accent2 13 2 4 3" xfId="11793"/>
    <cellStyle name="20% - Accent2 13 2 4 4" xfId="19748"/>
    <cellStyle name="20% - Accent2 13 2 5" xfId="5588"/>
    <cellStyle name="20% - Accent2 13 2 5 2" xfId="13572"/>
    <cellStyle name="20% - Accent2 13 2 5 3" xfId="21520"/>
    <cellStyle name="20% - Accent2 13 2 6" xfId="9141"/>
    <cellStyle name="20% - Accent2 13 2 6 2" xfId="17099"/>
    <cellStyle name="20% - Accent2 13 2 6 3" xfId="25043"/>
    <cellStyle name="20% - Accent2 13 2 7" xfId="10037"/>
    <cellStyle name="20% - Accent2 13 2 8" xfId="17992"/>
    <cellStyle name="20% - Accent2 13 2_Exh G" xfId="2090"/>
    <cellStyle name="20% - Accent2 13 3" xfId="91"/>
    <cellStyle name="20% - Accent2 13 3 2" xfId="1119"/>
    <cellStyle name="20% - Accent2 13 3 2 2" xfId="4649"/>
    <cellStyle name="20% - Accent2 13 3 2 2 2" xfId="8240"/>
    <cellStyle name="20% - Accent2 13 3 2 2 2 2" xfId="16211"/>
    <cellStyle name="20% - Accent2 13 3 2 2 2 3" xfId="24157"/>
    <cellStyle name="20% - Accent2 13 3 2 2 3" xfId="12673"/>
    <cellStyle name="20% - Accent2 13 3 2 2 4" xfId="20628"/>
    <cellStyle name="20% - Accent2 13 3 2 3" xfId="6481"/>
    <cellStyle name="20% - Accent2 13 3 2 3 2" xfId="14453"/>
    <cellStyle name="20% - Accent2 13 3 2 3 3" xfId="22400"/>
    <cellStyle name="20% - Accent2 13 3 2 4" xfId="10917"/>
    <cellStyle name="20% - Accent2 13 3 2 5" xfId="18872"/>
    <cellStyle name="20% - Accent2 13 3 2_Exh G" xfId="2095"/>
    <cellStyle name="20% - Accent2 13 3 3" xfId="3770"/>
    <cellStyle name="20% - Accent2 13 3 3 2" xfId="7362"/>
    <cellStyle name="20% - Accent2 13 3 3 2 2" xfId="15333"/>
    <cellStyle name="20% - Accent2 13 3 3 2 3" xfId="23279"/>
    <cellStyle name="20% - Accent2 13 3 3 3" xfId="11795"/>
    <cellStyle name="20% - Accent2 13 3 3 4" xfId="19750"/>
    <cellStyle name="20% - Accent2 13 3 4" xfId="5590"/>
    <cellStyle name="20% - Accent2 13 3 4 2" xfId="13574"/>
    <cellStyle name="20% - Accent2 13 3 4 3" xfId="21522"/>
    <cellStyle name="20% - Accent2 13 3 5" xfId="9143"/>
    <cellStyle name="20% - Accent2 13 3 5 2" xfId="17101"/>
    <cellStyle name="20% - Accent2 13 3 5 3" xfId="25045"/>
    <cellStyle name="20% - Accent2 13 3 6" xfId="10039"/>
    <cellStyle name="20% - Accent2 13 3 7" xfId="17994"/>
    <cellStyle name="20% - Accent2 13 3_Exh G" xfId="2094"/>
    <cellStyle name="20% - Accent2 13 4" xfId="1116"/>
    <cellStyle name="20% - Accent2 13 4 2" xfId="4646"/>
    <cellStyle name="20% - Accent2 13 4 2 2" xfId="8237"/>
    <cellStyle name="20% - Accent2 13 4 2 2 2" xfId="16208"/>
    <cellStyle name="20% - Accent2 13 4 2 2 3" xfId="24154"/>
    <cellStyle name="20% - Accent2 13 4 2 3" xfId="12670"/>
    <cellStyle name="20% - Accent2 13 4 2 4" xfId="20625"/>
    <cellStyle name="20% - Accent2 13 4 3" xfId="6478"/>
    <cellStyle name="20% - Accent2 13 4 3 2" xfId="14450"/>
    <cellStyle name="20% - Accent2 13 4 3 3" xfId="22397"/>
    <cellStyle name="20% - Accent2 13 4 4" xfId="10914"/>
    <cellStyle name="20% - Accent2 13 4 5" xfId="18869"/>
    <cellStyle name="20% - Accent2 13 4_Exh G" xfId="2096"/>
    <cellStyle name="20% - Accent2 13 5" xfId="3767"/>
    <cellStyle name="20% - Accent2 13 5 2" xfId="7359"/>
    <cellStyle name="20% - Accent2 13 5 2 2" xfId="15330"/>
    <cellStyle name="20% - Accent2 13 5 2 3" xfId="23276"/>
    <cellStyle name="20% - Accent2 13 5 3" xfId="11792"/>
    <cellStyle name="20% - Accent2 13 5 4" xfId="19747"/>
    <cellStyle name="20% - Accent2 13 6" xfId="5587"/>
    <cellStyle name="20% - Accent2 13 6 2" xfId="13571"/>
    <cellStyle name="20% - Accent2 13 6 3" xfId="21519"/>
    <cellStyle name="20% - Accent2 13 7" xfId="9140"/>
    <cellStyle name="20% - Accent2 13 7 2" xfId="17098"/>
    <cellStyle name="20% - Accent2 13 7 3" xfId="25042"/>
    <cellStyle name="20% - Accent2 13 8" xfId="10036"/>
    <cellStyle name="20% - Accent2 13 9" xfId="17991"/>
    <cellStyle name="20% - Accent2 13_Exh G" xfId="2089"/>
    <cellStyle name="20% - Accent2 14" xfId="92"/>
    <cellStyle name="20% - Accent2 14 2" xfId="93"/>
    <cellStyle name="20% - Accent2 14 2 2" xfId="1121"/>
    <cellStyle name="20% - Accent2 14 2 2 2" xfId="4651"/>
    <cellStyle name="20% - Accent2 14 2 2 2 2" xfId="8242"/>
    <cellStyle name="20% - Accent2 14 2 2 2 2 2" xfId="16213"/>
    <cellStyle name="20% - Accent2 14 2 2 2 2 3" xfId="24159"/>
    <cellStyle name="20% - Accent2 14 2 2 2 3" xfId="12675"/>
    <cellStyle name="20% - Accent2 14 2 2 2 4" xfId="20630"/>
    <cellStyle name="20% - Accent2 14 2 2 3" xfId="6483"/>
    <cellStyle name="20% - Accent2 14 2 2 3 2" xfId="14455"/>
    <cellStyle name="20% - Accent2 14 2 2 3 3" xfId="22402"/>
    <cellStyle name="20% - Accent2 14 2 2 4" xfId="10919"/>
    <cellStyle name="20% - Accent2 14 2 2 5" xfId="18874"/>
    <cellStyle name="20% - Accent2 14 2 2_Exh G" xfId="2099"/>
    <cellStyle name="20% - Accent2 14 2 3" xfId="3772"/>
    <cellStyle name="20% - Accent2 14 2 3 2" xfId="7364"/>
    <cellStyle name="20% - Accent2 14 2 3 2 2" xfId="15335"/>
    <cellStyle name="20% - Accent2 14 2 3 2 3" xfId="23281"/>
    <cellStyle name="20% - Accent2 14 2 3 3" xfId="11797"/>
    <cellStyle name="20% - Accent2 14 2 3 4" xfId="19752"/>
    <cellStyle name="20% - Accent2 14 2 4" xfId="5592"/>
    <cellStyle name="20% - Accent2 14 2 4 2" xfId="13576"/>
    <cellStyle name="20% - Accent2 14 2 4 3" xfId="21524"/>
    <cellStyle name="20% - Accent2 14 2 5" xfId="9145"/>
    <cellStyle name="20% - Accent2 14 2 5 2" xfId="17103"/>
    <cellStyle name="20% - Accent2 14 2 5 3" xfId="25047"/>
    <cellStyle name="20% - Accent2 14 2 6" xfId="10041"/>
    <cellStyle name="20% - Accent2 14 2 7" xfId="17996"/>
    <cellStyle name="20% - Accent2 14 2_Exh G" xfId="2098"/>
    <cellStyle name="20% - Accent2 14 3" xfId="1120"/>
    <cellStyle name="20% - Accent2 14 3 2" xfId="4650"/>
    <cellStyle name="20% - Accent2 14 3 2 2" xfId="8241"/>
    <cellStyle name="20% - Accent2 14 3 2 2 2" xfId="16212"/>
    <cellStyle name="20% - Accent2 14 3 2 2 3" xfId="24158"/>
    <cellStyle name="20% - Accent2 14 3 2 3" xfId="12674"/>
    <cellStyle name="20% - Accent2 14 3 2 4" xfId="20629"/>
    <cellStyle name="20% - Accent2 14 3 3" xfId="6482"/>
    <cellStyle name="20% - Accent2 14 3 3 2" xfId="14454"/>
    <cellStyle name="20% - Accent2 14 3 3 3" xfId="22401"/>
    <cellStyle name="20% - Accent2 14 3 4" xfId="10918"/>
    <cellStyle name="20% - Accent2 14 3 5" xfId="18873"/>
    <cellStyle name="20% - Accent2 14 3_Exh G" xfId="2100"/>
    <cellStyle name="20% - Accent2 14 4" xfId="3771"/>
    <cellStyle name="20% - Accent2 14 4 2" xfId="7363"/>
    <cellStyle name="20% - Accent2 14 4 2 2" xfId="15334"/>
    <cellStyle name="20% - Accent2 14 4 2 3" xfId="23280"/>
    <cellStyle name="20% - Accent2 14 4 3" xfId="11796"/>
    <cellStyle name="20% - Accent2 14 4 4" xfId="19751"/>
    <cellStyle name="20% - Accent2 14 5" xfId="5591"/>
    <cellStyle name="20% - Accent2 14 5 2" xfId="13575"/>
    <cellStyle name="20% - Accent2 14 5 3" xfId="21523"/>
    <cellStyle name="20% - Accent2 14 6" xfId="9144"/>
    <cellStyle name="20% - Accent2 14 6 2" xfId="17102"/>
    <cellStyle name="20% - Accent2 14 6 3" xfId="25046"/>
    <cellStyle name="20% - Accent2 14 7" xfId="10040"/>
    <cellStyle name="20% - Accent2 14 8" xfId="17995"/>
    <cellStyle name="20% - Accent2 14_Exh G" xfId="2097"/>
    <cellStyle name="20% - Accent2 15" xfId="94"/>
    <cellStyle name="20% - Accent2 15 2" xfId="1122"/>
    <cellStyle name="20% - Accent2 15 2 2" xfId="4652"/>
    <cellStyle name="20% - Accent2 15 2 2 2" xfId="8243"/>
    <cellStyle name="20% - Accent2 15 2 2 2 2" xfId="16214"/>
    <cellStyle name="20% - Accent2 15 2 2 2 3" xfId="24160"/>
    <cellStyle name="20% - Accent2 15 2 2 3" xfId="12676"/>
    <cellStyle name="20% - Accent2 15 2 2 4" xfId="20631"/>
    <cellStyle name="20% - Accent2 15 2 3" xfId="6484"/>
    <cellStyle name="20% - Accent2 15 2 3 2" xfId="14456"/>
    <cellStyle name="20% - Accent2 15 2 3 3" xfId="22403"/>
    <cellStyle name="20% - Accent2 15 2 4" xfId="10920"/>
    <cellStyle name="20% - Accent2 15 2 5" xfId="18875"/>
    <cellStyle name="20% - Accent2 15 2_Exh G" xfId="2102"/>
    <cellStyle name="20% - Accent2 15 3" xfId="3773"/>
    <cellStyle name="20% - Accent2 15 3 2" xfId="7365"/>
    <cellStyle name="20% - Accent2 15 3 2 2" xfId="15336"/>
    <cellStyle name="20% - Accent2 15 3 2 3" xfId="23282"/>
    <cellStyle name="20% - Accent2 15 3 3" xfId="11798"/>
    <cellStyle name="20% - Accent2 15 3 4" xfId="19753"/>
    <cellStyle name="20% - Accent2 15 4" xfId="5593"/>
    <cellStyle name="20% - Accent2 15 4 2" xfId="13577"/>
    <cellStyle name="20% - Accent2 15 4 3" xfId="21525"/>
    <cellStyle name="20% - Accent2 15 5" xfId="9146"/>
    <cellStyle name="20% - Accent2 15 5 2" xfId="17104"/>
    <cellStyle name="20% - Accent2 15 5 3" xfId="25048"/>
    <cellStyle name="20% - Accent2 15 6" xfId="10042"/>
    <cellStyle name="20% - Accent2 15 7" xfId="17997"/>
    <cellStyle name="20% - Accent2 15_Exh G" xfId="2101"/>
    <cellStyle name="20% - Accent2 16" xfId="844"/>
    <cellStyle name="20% - Accent2 16 2" xfId="1783"/>
    <cellStyle name="20% - Accent2 16 2 2" xfId="5304"/>
    <cellStyle name="20% - Accent2 16 2 2 2" xfId="8895"/>
    <cellStyle name="20% - Accent2 16 2 2 2 2" xfId="16866"/>
    <cellStyle name="20% - Accent2 16 2 2 2 3" xfId="24812"/>
    <cellStyle name="20% - Accent2 16 2 2 3" xfId="13328"/>
    <cellStyle name="20% - Accent2 16 2 2 4" xfId="21283"/>
    <cellStyle name="20% - Accent2 16 2 3" xfId="7136"/>
    <cellStyle name="20% - Accent2 16 2 3 2" xfId="15108"/>
    <cellStyle name="20% - Accent2 16 2 3 3" xfId="23055"/>
    <cellStyle name="20% - Accent2 16 2 4" xfId="11572"/>
    <cellStyle name="20% - Accent2 16 2 5" xfId="19527"/>
    <cellStyle name="20% - Accent2 16 2_Exh G" xfId="2104"/>
    <cellStyle name="20% - Accent2 16 3" xfId="4425"/>
    <cellStyle name="20% - Accent2 16 3 2" xfId="8017"/>
    <cellStyle name="20% - Accent2 16 3 2 2" xfId="15988"/>
    <cellStyle name="20% - Accent2 16 3 2 3" xfId="23934"/>
    <cellStyle name="20% - Accent2 16 3 3" xfId="12450"/>
    <cellStyle name="20% - Accent2 16 3 4" xfId="20405"/>
    <cellStyle name="20% - Accent2 16 4" xfId="6255"/>
    <cellStyle name="20% - Accent2 16 4 2" xfId="14230"/>
    <cellStyle name="20% - Accent2 16 4 3" xfId="22177"/>
    <cellStyle name="20% - Accent2 16 5" xfId="9798"/>
    <cellStyle name="20% - Accent2 16 5 2" xfId="17756"/>
    <cellStyle name="20% - Accent2 16 5 3" xfId="25700"/>
    <cellStyle name="20% - Accent2 16 6" xfId="10694"/>
    <cellStyle name="20% - Accent2 16 7" xfId="18649"/>
    <cellStyle name="20% - Accent2 16_Exh G" xfId="2103"/>
    <cellStyle name="20% - Accent2 2" xfId="95"/>
    <cellStyle name="20% - Accent2 2 10" xfId="17998"/>
    <cellStyle name="20% - Accent2 2 2" xfId="96"/>
    <cellStyle name="20% - Accent2 2 2 2" xfId="97"/>
    <cellStyle name="20% - Accent2 2 2 2 2" xfId="1125"/>
    <cellStyle name="20% - Accent2 2 2 2 2 2" xfId="4655"/>
    <cellStyle name="20% - Accent2 2 2 2 2 2 2" xfId="8246"/>
    <cellStyle name="20% - Accent2 2 2 2 2 2 2 2" xfId="16217"/>
    <cellStyle name="20% - Accent2 2 2 2 2 2 2 3" xfId="24163"/>
    <cellStyle name="20% - Accent2 2 2 2 2 2 3" xfId="12679"/>
    <cellStyle name="20% - Accent2 2 2 2 2 2 4" xfId="20634"/>
    <cellStyle name="20% - Accent2 2 2 2 2 3" xfId="6487"/>
    <cellStyle name="20% - Accent2 2 2 2 2 3 2" xfId="14459"/>
    <cellStyle name="20% - Accent2 2 2 2 2 3 3" xfId="22406"/>
    <cellStyle name="20% - Accent2 2 2 2 2 4" xfId="10923"/>
    <cellStyle name="20% - Accent2 2 2 2 2 5" xfId="18878"/>
    <cellStyle name="20% - Accent2 2 2 2 2_Exh G" xfId="2108"/>
    <cellStyle name="20% - Accent2 2 2 2 3" xfId="3776"/>
    <cellStyle name="20% - Accent2 2 2 2 3 2" xfId="7368"/>
    <cellStyle name="20% - Accent2 2 2 2 3 2 2" xfId="15339"/>
    <cellStyle name="20% - Accent2 2 2 2 3 2 3" xfId="23285"/>
    <cellStyle name="20% - Accent2 2 2 2 3 3" xfId="11801"/>
    <cellStyle name="20% - Accent2 2 2 2 3 4" xfId="19756"/>
    <cellStyle name="20% - Accent2 2 2 2 4" xfId="5596"/>
    <cellStyle name="20% - Accent2 2 2 2 4 2" xfId="13580"/>
    <cellStyle name="20% - Accent2 2 2 2 4 3" xfId="21528"/>
    <cellStyle name="20% - Accent2 2 2 2 5" xfId="9149"/>
    <cellStyle name="20% - Accent2 2 2 2 5 2" xfId="17107"/>
    <cellStyle name="20% - Accent2 2 2 2 5 3" xfId="25051"/>
    <cellStyle name="20% - Accent2 2 2 2 6" xfId="10045"/>
    <cellStyle name="20% - Accent2 2 2 2 7" xfId="18000"/>
    <cellStyle name="20% - Accent2 2 2 2_Exh G" xfId="2107"/>
    <cellStyle name="20% - Accent2 2 2 3" xfId="876"/>
    <cellStyle name="20% - Accent2 2 2 3 2" xfId="1810"/>
    <cellStyle name="20% - Accent2 2 2 3 2 2" xfId="5328"/>
    <cellStyle name="20% - Accent2 2 2 3 2 2 2" xfId="8919"/>
    <cellStyle name="20% - Accent2 2 2 3 2 2 2 2" xfId="16890"/>
    <cellStyle name="20% - Accent2 2 2 3 2 2 2 3" xfId="24836"/>
    <cellStyle name="20% - Accent2 2 2 3 2 2 3" xfId="13352"/>
    <cellStyle name="20% - Accent2 2 2 3 2 2 4" xfId="21307"/>
    <cellStyle name="20% - Accent2 2 2 3 2 3" xfId="7160"/>
    <cellStyle name="20% - Accent2 2 2 3 2 3 2" xfId="15132"/>
    <cellStyle name="20% - Accent2 2 2 3 2 3 3" xfId="23079"/>
    <cellStyle name="20% - Accent2 2 2 3 2 4" xfId="11596"/>
    <cellStyle name="20% - Accent2 2 2 3 2 5" xfId="19551"/>
    <cellStyle name="20% - Accent2 2 2 3 2_Exh G" xfId="2110"/>
    <cellStyle name="20% - Accent2 2 2 3 3" xfId="4449"/>
    <cellStyle name="20% - Accent2 2 2 3 3 2" xfId="8041"/>
    <cellStyle name="20% - Accent2 2 2 3 3 2 2" xfId="16012"/>
    <cellStyle name="20% - Accent2 2 2 3 3 2 3" xfId="23958"/>
    <cellStyle name="20% - Accent2 2 2 3 3 3" xfId="12474"/>
    <cellStyle name="20% - Accent2 2 2 3 3 4" xfId="20429"/>
    <cellStyle name="20% - Accent2 2 2 3 4" xfId="6279"/>
    <cellStyle name="20% - Accent2 2 2 3 4 2" xfId="14254"/>
    <cellStyle name="20% - Accent2 2 2 3 4 3" xfId="22201"/>
    <cellStyle name="20% - Accent2 2 2 3 5" xfId="9822"/>
    <cellStyle name="20% - Accent2 2 2 3 5 2" xfId="17780"/>
    <cellStyle name="20% - Accent2 2 2 3 5 3" xfId="25724"/>
    <cellStyle name="20% - Accent2 2 2 3 6" xfId="10718"/>
    <cellStyle name="20% - Accent2 2 2 3 7" xfId="18673"/>
    <cellStyle name="20% - Accent2 2 2 3_Exh G" xfId="2109"/>
    <cellStyle name="20% - Accent2 2 2 4" xfId="1124"/>
    <cellStyle name="20% - Accent2 2 2 4 2" xfId="4654"/>
    <cellStyle name="20% - Accent2 2 2 4 2 2" xfId="8245"/>
    <cellStyle name="20% - Accent2 2 2 4 2 2 2" xfId="16216"/>
    <cellStyle name="20% - Accent2 2 2 4 2 2 3" xfId="24162"/>
    <cellStyle name="20% - Accent2 2 2 4 2 3" xfId="12678"/>
    <cellStyle name="20% - Accent2 2 2 4 2 4" xfId="20633"/>
    <cellStyle name="20% - Accent2 2 2 4 3" xfId="6486"/>
    <cellStyle name="20% - Accent2 2 2 4 3 2" xfId="14458"/>
    <cellStyle name="20% - Accent2 2 2 4 3 3" xfId="22405"/>
    <cellStyle name="20% - Accent2 2 2 4 4" xfId="10922"/>
    <cellStyle name="20% - Accent2 2 2 4 5" xfId="18877"/>
    <cellStyle name="20% - Accent2 2 2 4_Exh G" xfId="2111"/>
    <cellStyle name="20% - Accent2 2 2 5" xfId="3775"/>
    <cellStyle name="20% - Accent2 2 2 5 2" xfId="7367"/>
    <cellStyle name="20% - Accent2 2 2 5 2 2" xfId="15338"/>
    <cellStyle name="20% - Accent2 2 2 5 2 3" xfId="23284"/>
    <cellStyle name="20% - Accent2 2 2 5 3" xfId="11800"/>
    <cellStyle name="20% - Accent2 2 2 5 4" xfId="19755"/>
    <cellStyle name="20% - Accent2 2 2 6" xfId="5595"/>
    <cellStyle name="20% - Accent2 2 2 6 2" xfId="13579"/>
    <cellStyle name="20% - Accent2 2 2 6 3" xfId="21527"/>
    <cellStyle name="20% - Accent2 2 2 7" xfId="9148"/>
    <cellStyle name="20% - Accent2 2 2 7 2" xfId="17106"/>
    <cellStyle name="20% - Accent2 2 2 7 3" xfId="25050"/>
    <cellStyle name="20% - Accent2 2 2 8" xfId="10044"/>
    <cellStyle name="20% - Accent2 2 2 9" xfId="17999"/>
    <cellStyle name="20% - Accent2 2 2_Exh G" xfId="2106"/>
    <cellStyle name="20% - Accent2 2 3" xfId="98"/>
    <cellStyle name="20% - Accent2 2 3 2" xfId="1126"/>
    <cellStyle name="20% - Accent2 2 3 2 2" xfId="4656"/>
    <cellStyle name="20% - Accent2 2 3 2 2 2" xfId="8247"/>
    <cellStyle name="20% - Accent2 2 3 2 2 2 2" xfId="16218"/>
    <cellStyle name="20% - Accent2 2 3 2 2 2 3" xfId="24164"/>
    <cellStyle name="20% - Accent2 2 3 2 2 3" xfId="12680"/>
    <cellStyle name="20% - Accent2 2 3 2 2 4" xfId="20635"/>
    <cellStyle name="20% - Accent2 2 3 2 3" xfId="6488"/>
    <cellStyle name="20% - Accent2 2 3 2 3 2" xfId="14460"/>
    <cellStyle name="20% - Accent2 2 3 2 3 3" xfId="22407"/>
    <cellStyle name="20% - Accent2 2 3 2 4" xfId="10924"/>
    <cellStyle name="20% - Accent2 2 3 2 5" xfId="18879"/>
    <cellStyle name="20% - Accent2 2 3 2_Exh G" xfId="2113"/>
    <cellStyle name="20% - Accent2 2 3 3" xfId="3777"/>
    <cellStyle name="20% - Accent2 2 3 3 2" xfId="7369"/>
    <cellStyle name="20% - Accent2 2 3 3 2 2" xfId="15340"/>
    <cellStyle name="20% - Accent2 2 3 3 2 3" xfId="23286"/>
    <cellStyle name="20% - Accent2 2 3 3 3" xfId="11802"/>
    <cellStyle name="20% - Accent2 2 3 3 4" xfId="19757"/>
    <cellStyle name="20% - Accent2 2 3 4" xfId="5597"/>
    <cellStyle name="20% - Accent2 2 3 4 2" xfId="13581"/>
    <cellStyle name="20% - Accent2 2 3 4 3" xfId="21529"/>
    <cellStyle name="20% - Accent2 2 3 5" xfId="9150"/>
    <cellStyle name="20% - Accent2 2 3 5 2" xfId="17108"/>
    <cellStyle name="20% - Accent2 2 3 5 3" xfId="25052"/>
    <cellStyle name="20% - Accent2 2 3 6" xfId="10046"/>
    <cellStyle name="20% - Accent2 2 3 7" xfId="18001"/>
    <cellStyle name="20% - Accent2 2 3_Exh G" xfId="2112"/>
    <cellStyle name="20% - Accent2 2 4" xfId="875"/>
    <cellStyle name="20% - Accent2 2 4 2" xfId="1809"/>
    <cellStyle name="20% - Accent2 2 4 2 2" xfId="5327"/>
    <cellStyle name="20% - Accent2 2 4 2 2 2" xfId="8918"/>
    <cellStyle name="20% - Accent2 2 4 2 2 2 2" xfId="16889"/>
    <cellStyle name="20% - Accent2 2 4 2 2 2 3" xfId="24835"/>
    <cellStyle name="20% - Accent2 2 4 2 2 3" xfId="13351"/>
    <cellStyle name="20% - Accent2 2 4 2 2 4" xfId="21306"/>
    <cellStyle name="20% - Accent2 2 4 2 3" xfId="7159"/>
    <cellStyle name="20% - Accent2 2 4 2 3 2" xfId="15131"/>
    <cellStyle name="20% - Accent2 2 4 2 3 3" xfId="23078"/>
    <cellStyle name="20% - Accent2 2 4 2 4" xfId="11595"/>
    <cellStyle name="20% - Accent2 2 4 2 5" xfId="19550"/>
    <cellStyle name="20% - Accent2 2 4 2_Exh G" xfId="2115"/>
    <cellStyle name="20% - Accent2 2 4 3" xfId="4448"/>
    <cellStyle name="20% - Accent2 2 4 3 2" xfId="8040"/>
    <cellStyle name="20% - Accent2 2 4 3 2 2" xfId="16011"/>
    <cellStyle name="20% - Accent2 2 4 3 2 3" xfId="23957"/>
    <cellStyle name="20% - Accent2 2 4 3 3" xfId="12473"/>
    <cellStyle name="20% - Accent2 2 4 3 4" xfId="20428"/>
    <cellStyle name="20% - Accent2 2 4 4" xfId="6278"/>
    <cellStyle name="20% - Accent2 2 4 4 2" xfId="14253"/>
    <cellStyle name="20% - Accent2 2 4 4 3" xfId="22200"/>
    <cellStyle name="20% - Accent2 2 4 5" xfId="9821"/>
    <cellStyle name="20% - Accent2 2 4 5 2" xfId="17779"/>
    <cellStyle name="20% - Accent2 2 4 5 3" xfId="25723"/>
    <cellStyle name="20% - Accent2 2 4 6" xfId="10717"/>
    <cellStyle name="20% - Accent2 2 4 7" xfId="18672"/>
    <cellStyle name="20% - Accent2 2 4_Exh G" xfId="2114"/>
    <cellStyle name="20% - Accent2 2 5" xfId="1123"/>
    <cellStyle name="20% - Accent2 2 5 2" xfId="4653"/>
    <cellStyle name="20% - Accent2 2 5 2 2" xfId="8244"/>
    <cellStyle name="20% - Accent2 2 5 2 2 2" xfId="16215"/>
    <cellStyle name="20% - Accent2 2 5 2 2 3" xfId="24161"/>
    <cellStyle name="20% - Accent2 2 5 2 3" xfId="12677"/>
    <cellStyle name="20% - Accent2 2 5 2 4" xfId="20632"/>
    <cellStyle name="20% - Accent2 2 5 3" xfId="6485"/>
    <cellStyle name="20% - Accent2 2 5 3 2" xfId="14457"/>
    <cellStyle name="20% - Accent2 2 5 3 3" xfId="22404"/>
    <cellStyle name="20% - Accent2 2 5 4" xfId="10921"/>
    <cellStyle name="20% - Accent2 2 5 5" xfId="18876"/>
    <cellStyle name="20% - Accent2 2 5_Exh G" xfId="2116"/>
    <cellStyle name="20% - Accent2 2 6" xfId="3774"/>
    <cellStyle name="20% - Accent2 2 6 2" xfId="7366"/>
    <cellStyle name="20% - Accent2 2 6 2 2" xfId="15337"/>
    <cellStyle name="20% - Accent2 2 6 2 3" xfId="23283"/>
    <cellStyle name="20% - Accent2 2 6 3" xfId="11799"/>
    <cellStyle name="20% - Accent2 2 6 4" xfId="19754"/>
    <cellStyle name="20% - Accent2 2 7" xfId="5594"/>
    <cellStyle name="20% - Accent2 2 7 2" xfId="13578"/>
    <cellStyle name="20% - Accent2 2 7 3" xfId="21526"/>
    <cellStyle name="20% - Accent2 2 8" xfId="9147"/>
    <cellStyle name="20% - Accent2 2 8 2" xfId="17105"/>
    <cellStyle name="20% - Accent2 2 8 3" xfId="25049"/>
    <cellStyle name="20% - Accent2 2 9" xfId="10043"/>
    <cellStyle name="20% - Accent2 2_Exh G" xfId="2105"/>
    <cellStyle name="20% - Accent2 3" xfId="99"/>
    <cellStyle name="20% - Accent2 3 10" xfId="18002"/>
    <cellStyle name="20% - Accent2 3 2" xfId="100"/>
    <cellStyle name="20% - Accent2 3 2 2" xfId="101"/>
    <cellStyle name="20% - Accent2 3 2 2 2" xfId="1129"/>
    <cellStyle name="20% - Accent2 3 2 2 2 2" xfId="4659"/>
    <cellStyle name="20% - Accent2 3 2 2 2 2 2" xfId="8250"/>
    <cellStyle name="20% - Accent2 3 2 2 2 2 2 2" xfId="16221"/>
    <cellStyle name="20% - Accent2 3 2 2 2 2 2 3" xfId="24167"/>
    <cellStyle name="20% - Accent2 3 2 2 2 2 3" xfId="12683"/>
    <cellStyle name="20% - Accent2 3 2 2 2 2 4" xfId="20638"/>
    <cellStyle name="20% - Accent2 3 2 2 2 3" xfId="6491"/>
    <cellStyle name="20% - Accent2 3 2 2 2 3 2" xfId="14463"/>
    <cellStyle name="20% - Accent2 3 2 2 2 3 3" xfId="22410"/>
    <cellStyle name="20% - Accent2 3 2 2 2 4" xfId="10927"/>
    <cellStyle name="20% - Accent2 3 2 2 2 5" xfId="18882"/>
    <cellStyle name="20% - Accent2 3 2 2 2_Exh G" xfId="2120"/>
    <cellStyle name="20% - Accent2 3 2 2 3" xfId="3780"/>
    <cellStyle name="20% - Accent2 3 2 2 3 2" xfId="7372"/>
    <cellStyle name="20% - Accent2 3 2 2 3 2 2" xfId="15343"/>
    <cellStyle name="20% - Accent2 3 2 2 3 2 3" xfId="23289"/>
    <cellStyle name="20% - Accent2 3 2 2 3 3" xfId="11805"/>
    <cellStyle name="20% - Accent2 3 2 2 3 4" xfId="19760"/>
    <cellStyle name="20% - Accent2 3 2 2 4" xfId="5600"/>
    <cellStyle name="20% - Accent2 3 2 2 4 2" xfId="13584"/>
    <cellStyle name="20% - Accent2 3 2 2 4 3" xfId="21532"/>
    <cellStyle name="20% - Accent2 3 2 2 5" xfId="9153"/>
    <cellStyle name="20% - Accent2 3 2 2 5 2" xfId="17111"/>
    <cellStyle name="20% - Accent2 3 2 2 5 3" xfId="25055"/>
    <cellStyle name="20% - Accent2 3 2 2 6" xfId="10049"/>
    <cellStyle name="20% - Accent2 3 2 2 7" xfId="18004"/>
    <cellStyle name="20% - Accent2 3 2 2_Exh G" xfId="2119"/>
    <cellStyle name="20% - Accent2 3 2 3" xfId="878"/>
    <cellStyle name="20% - Accent2 3 2 3 2" xfId="1812"/>
    <cellStyle name="20% - Accent2 3 2 3 2 2" xfId="5330"/>
    <cellStyle name="20% - Accent2 3 2 3 2 2 2" xfId="8921"/>
    <cellStyle name="20% - Accent2 3 2 3 2 2 2 2" xfId="16892"/>
    <cellStyle name="20% - Accent2 3 2 3 2 2 2 3" xfId="24838"/>
    <cellStyle name="20% - Accent2 3 2 3 2 2 3" xfId="13354"/>
    <cellStyle name="20% - Accent2 3 2 3 2 2 4" xfId="21309"/>
    <cellStyle name="20% - Accent2 3 2 3 2 3" xfId="7162"/>
    <cellStyle name="20% - Accent2 3 2 3 2 3 2" xfId="15134"/>
    <cellStyle name="20% - Accent2 3 2 3 2 3 3" xfId="23081"/>
    <cellStyle name="20% - Accent2 3 2 3 2 4" xfId="11598"/>
    <cellStyle name="20% - Accent2 3 2 3 2 5" xfId="19553"/>
    <cellStyle name="20% - Accent2 3 2 3 2_Exh G" xfId="2122"/>
    <cellStyle name="20% - Accent2 3 2 3 3" xfId="4451"/>
    <cellStyle name="20% - Accent2 3 2 3 3 2" xfId="8043"/>
    <cellStyle name="20% - Accent2 3 2 3 3 2 2" xfId="16014"/>
    <cellStyle name="20% - Accent2 3 2 3 3 2 3" xfId="23960"/>
    <cellStyle name="20% - Accent2 3 2 3 3 3" xfId="12476"/>
    <cellStyle name="20% - Accent2 3 2 3 3 4" xfId="20431"/>
    <cellStyle name="20% - Accent2 3 2 3 4" xfId="6281"/>
    <cellStyle name="20% - Accent2 3 2 3 4 2" xfId="14256"/>
    <cellStyle name="20% - Accent2 3 2 3 4 3" xfId="22203"/>
    <cellStyle name="20% - Accent2 3 2 3 5" xfId="9824"/>
    <cellStyle name="20% - Accent2 3 2 3 5 2" xfId="17782"/>
    <cellStyle name="20% - Accent2 3 2 3 5 3" xfId="25726"/>
    <cellStyle name="20% - Accent2 3 2 3 6" xfId="10720"/>
    <cellStyle name="20% - Accent2 3 2 3 7" xfId="18675"/>
    <cellStyle name="20% - Accent2 3 2 3_Exh G" xfId="2121"/>
    <cellStyle name="20% - Accent2 3 2 4" xfId="1128"/>
    <cellStyle name="20% - Accent2 3 2 4 2" xfId="4658"/>
    <cellStyle name="20% - Accent2 3 2 4 2 2" xfId="8249"/>
    <cellStyle name="20% - Accent2 3 2 4 2 2 2" xfId="16220"/>
    <cellStyle name="20% - Accent2 3 2 4 2 2 3" xfId="24166"/>
    <cellStyle name="20% - Accent2 3 2 4 2 3" xfId="12682"/>
    <cellStyle name="20% - Accent2 3 2 4 2 4" xfId="20637"/>
    <cellStyle name="20% - Accent2 3 2 4 3" xfId="6490"/>
    <cellStyle name="20% - Accent2 3 2 4 3 2" xfId="14462"/>
    <cellStyle name="20% - Accent2 3 2 4 3 3" xfId="22409"/>
    <cellStyle name="20% - Accent2 3 2 4 4" xfId="10926"/>
    <cellStyle name="20% - Accent2 3 2 4 5" xfId="18881"/>
    <cellStyle name="20% - Accent2 3 2 4_Exh G" xfId="2123"/>
    <cellStyle name="20% - Accent2 3 2 5" xfId="3779"/>
    <cellStyle name="20% - Accent2 3 2 5 2" xfId="7371"/>
    <cellStyle name="20% - Accent2 3 2 5 2 2" xfId="15342"/>
    <cellStyle name="20% - Accent2 3 2 5 2 3" xfId="23288"/>
    <cellStyle name="20% - Accent2 3 2 5 3" xfId="11804"/>
    <cellStyle name="20% - Accent2 3 2 5 4" xfId="19759"/>
    <cellStyle name="20% - Accent2 3 2 6" xfId="5599"/>
    <cellStyle name="20% - Accent2 3 2 6 2" xfId="13583"/>
    <cellStyle name="20% - Accent2 3 2 6 3" xfId="21531"/>
    <cellStyle name="20% - Accent2 3 2 7" xfId="9152"/>
    <cellStyle name="20% - Accent2 3 2 7 2" xfId="17110"/>
    <cellStyle name="20% - Accent2 3 2 7 3" xfId="25054"/>
    <cellStyle name="20% - Accent2 3 2 8" xfId="10048"/>
    <cellStyle name="20% - Accent2 3 2 9" xfId="18003"/>
    <cellStyle name="20% - Accent2 3 2_Exh G" xfId="2118"/>
    <cellStyle name="20% - Accent2 3 3" xfId="102"/>
    <cellStyle name="20% - Accent2 3 3 2" xfId="1130"/>
    <cellStyle name="20% - Accent2 3 3 2 2" xfId="4660"/>
    <cellStyle name="20% - Accent2 3 3 2 2 2" xfId="8251"/>
    <cellStyle name="20% - Accent2 3 3 2 2 2 2" xfId="16222"/>
    <cellStyle name="20% - Accent2 3 3 2 2 2 3" xfId="24168"/>
    <cellStyle name="20% - Accent2 3 3 2 2 3" xfId="12684"/>
    <cellStyle name="20% - Accent2 3 3 2 2 4" xfId="20639"/>
    <cellStyle name="20% - Accent2 3 3 2 3" xfId="6492"/>
    <cellStyle name="20% - Accent2 3 3 2 3 2" xfId="14464"/>
    <cellStyle name="20% - Accent2 3 3 2 3 3" xfId="22411"/>
    <cellStyle name="20% - Accent2 3 3 2 4" xfId="10928"/>
    <cellStyle name="20% - Accent2 3 3 2 5" xfId="18883"/>
    <cellStyle name="20% - Accent2 3 3 2_Exh G" xfId="2125"/>
    <cellStyle name="20% - Accent2 3 3 3" xfId="3781"/>
    <cellStyle name="20% - Accent2 3 3 3 2" xfId="7373"/>
    <cellStyle name="20% - Accent2 3 3 3 2 2" xfId="15344"/>
    <cellStyle name="20% - Accent2 3 3 3 2 3" xfId="23290"/>
    <cellStyle name="20% - Accent2 3 3 3 3" xfId="11806"/>
    <cellStyle name="20% - Accent2 3 3 3 4" xfId="19761"/>
    <cellStyle name="20% - Accent2 3 3 4" xfId="5601"/>
    <cellStyle name="20% - Accent2 3 3 4 2" xfId="13585"/>
    <cellStyle name="20% - Accent2 3 3 4 3" xfId="21533"/>
    <cellStyle name="20% - Accent2 3 3 5" xfId="9154"/>
    <cellStyle name="20% - Accent2 3 3 5 2" xfId="17112"/>
    <cellStyle name="20% - Accent2 3 3 5 3" xfId="25056"/>
    <cellStyle name="20% - Accent2 3 3 6" xfId="10050"/>
    <cellStyle name="20% - Accent2 3 3 7" xfId="18005"/>
    <cellStyle name="20% - Accent2 3 3_Exh G" xfId="2124"/>
    <cellStyle name="20% - Accent2 3 4" xfId="877"/>
    <cellStyle name="20% - Accent2 3 4 2" xfId="1811"/>
    <cellStyle name="20% - Accent2 3 4 2 2" xfId="5329"/>
    <cellStyle name="20% - Accent2 3 4 2 2 2" xfId="8920"/>
    <cellStyle name="20% - Accent2 3 4 2 2 2 2" xfId="16891"/>
    <cellStyle name="20% - Accent2 3 4 2 2 2 3" xfId="24837"/>
    <cellStyle name="20% - Accent2 3 4 2 2 3" xfId="13353"/>
    <cellStyle name="20% - Accent2 3 4 2 2 4" xfId="21308"/>
    <cellStyle name="20% - Accent2 3 4 2 3" xfId="7161"/>
    <cellStyle name="20% - Accent2 3 4 2 3 2" xfId="15133"/>
    <cellStyle name="20% - Accent2 3 4 2 3 3" xfId="23080"/>
    <cellStyle name="20% - Accent2 3 4 2 4" xfId="11597"/>
    <cellStyle name="20% - Accent2 3 4 2 5" xfId="19552"/>
    <cellStyle name="20% - Accent2 3 4 2_Exh G" xfId="2127"/>
    <cellStyle name="20% - Accent2 3 4 3" xfId="4450"/>
    <cellStyle name="20% - Accent2 3 4 3 2" xfId="8042"/>
    <cellStyle name="20% - Accent2 3 4 3 2 2" xfId="16013"/>
    <cellStyle name="20% - Accent2 3 4 3 2 3" xfId="23959"/>
    <cellStyle name="20% - Accent2 3 4 3 3" xfId="12475"/>
    <cellStyle name="20% - Accent2 3 4 3 4" xfId="20430"/>
    <cellStyle name="20% - Accent2 3 4 4" xfId="6280"/>
    <cellStyle name="20% - Accent2 3 4 4 2" xfId="14255"/>
    <cellStyle name="20% - Accent2 3 4 4 3" xfId="22202"/>
    <cellStyle name="20% - Accent2 3 4 5" xfId="9823"/>
    <cellStyle name="20% - Accent2 3 4 5 2" xfId="17781"/>
    <cellStyle name="20% - Accent2 3 4 5 3" xfId="25725"/>
    <cellStyle name="20% - Accent2 3 4 6" xfId="10719"/>
    <cellStyle name="20% - Accent2 3 4 7" xfId="18674"/>
    <cellStyle name="20% - Accent2 3 4_Exh G" xfId="2126"/>
    <cellStyle name="20% - Accent2 3 5" xfId="1127"/>
    <cellStyle name="20% - Accent2 3 5 2" xfId="4657"/>
    <cellStyle name="20% - Accent2 3 5 2 2" xfId="8248"/>
    <cellStyle name="20% - Accent2 3 5 2 2 2" xfId="16219"/>
    <cellStyle name="20% - Accent2 3 5 2 2 3" xfId="24165"/>
    <cellStyle name="20% - Accent2 3 5 2 3" xfId="12681"/>
    <cellStyle name="20% - Accent2 3 5 2 4" xfId="20636"/>
    <cellStyle name="20% - Accent2 3 5 3" xfId="6489"/>
    <cellStyle name="20% - Accent2 3 5 3 2" xfId="14461"/>
    <cellStyle name="20% - Accent2 3 5 3 3" xfId="22408"/>
    <cellStyle name="20% - Accent2 3 5 4" xfId="10925"/>
    <cellStyle name="20% - Accent2 3 5 5" xfId="18880"/>
    <cellStyle name="20% - Accent2 3 5_Exh G" xfId="2128"/>
    <cellStyle name="20% - Accent2 3 6" xfId="3778"/>
    <cellStyle name="20% - Accent2 3 6 2" xfId="7370"/>
    <cellStyle name="20% - Accent2 3 6 2 2" xfId="15341"/>
    <cellStyle name="20% - Accent2 3 6 2 3" xfId="23287"/>
    <cellStyle name="20% - Accent2 3 6 3" xfId="11803"/>
    <cellStyle name="20% - Accent2 3 6 4" xfId="19758"/>
    <cellStyle name="20% - Accent2 3 7" xfId="5598"/>
    <cellStyle name="20% - Accent2 3 7 2" xfId="13582"/>
    <cellStyle name="20% - Accent2 3 7 3" xfId="21530"/>
    <cellStyle name="20% - Accent2 3 8" xfId="9151"/>
    <cellStyle name="20% - Accent2 3 8 2" xfId="17109"/>
    <cellStyle name="20% - Accent2 3 8 3" xfId="25053"/>
    <cellStyle name="20% - Accent2 3 9" xfId="10047"/>
    <cellStyle name="20% - Accent2 3_Exh G" xfId="2117"/>
    <cellStyle name="20% - Accent2 4" xfId="103"/>
    <cellStyle name="20% - Accent2 4 10" xfId="18006"/>
    <cellStyle name="20% - Accent2 4 2" xfId="104"/>
    <cellStyle name="20% - Accent2 4 2 2" xfId="105"/>
    <cellStyle name="20% - Accent2 4 2 2 2" xfId="1133"/>
    <cellStyle name="20% - Accent2 4 2 2 2 2" xfId="4663"/>
    <cellStyle name="20% - Accent2 4 2 2 2 2 2" xfId="8254"/>
    <cellStyle name="20% - Accent2 4 2 2 2 2 2 2" xfId="16225"/>
    <cellStyle name="20% - Accent2 4 2 2 2 2 2 3" xfId="24171"/>
    <cellStyle name="20% - Accent2 4 2 2 2 2 3" xfId="12687"/>
    <cellStyle name="20% - Accent2 4 2 2 2 2 4" xfId="20642"/>
    <cellStyle name="20% - Accent2 4 2 2 2 3" xfId="6495"/>
    <cellStyle name="20% - Accent2 4 2 2 2 3 2" xfId="14467"/>
    <cellStyle name="20% - Accent2 4 2 2 2 3 3" xfId="22414"/>
    <cellStyle name="20% - Accent2 4 2 2 2 4" xfId="10931"/>
    <cellStyle name="20% - Accent2 4 2 2 2 5" xfId="18886"/>
    <cellStyle name="20% - Accent2 4 2 2 2_Exh G" xfId="2132"/>
    <cellStyle name="20% - Accent2 4 2 2 3" xfId="3784"/>
    <cellStyle name="20% - Accent2 4 2 2 3 2" xfId="7376"/>
    <cellStyle name="20% - Accent2 4 2 2 3 2 2" xfId="15347"/>
    <cellStyle name="20% - Accent2 4 2 2 3 2 3" xfId="23293"/>
    <cellStyle name="20% - Accent2 4 2 2 3 3" xfId="11809"/>
    <cellStyle name="20% - Accent2 4 2 2 3 4" xfId="19764"/>
    <cellStyle name="20% - Accent2 4 2 2 4" xfId="5604"/>
    <cellStyle name="20% - Accent2 4 2 2 4 2" xfId="13588"/>
    <cellStyle name="20% - Accent2 4 2 2 4 3" xfId="21536"/>
    <cellStyle name="20% - Accent2 4 2 2 5" xfId="9157"/>
    <cellStyle name="20% - Accent2 4 2 2 5 2" xfId="17115"/>
    <cellStyle name="20% - Accent2 4 2 2 5 3" xfId="25059"/>
    <cellStyle name="20% - Accent2 4 2 2 6" xfId="10053"/>
    <cellStyle name="20% - Accent2 4 2 2 7" xfId="18008"/>
    <cellStyle name="20% - Accent2 4 2 2_Exh G" xfId="2131"/>
    <cellStyle name="20% - Accent2 4 2 3" xfId="880"/>
    <cellStyle name="20% - Accent2 4 2 3 2" xfId="1814"/>
    <cellStyle name="20% - Accent2 4 2 3 2 2" xfId="5332"/>
    <cellStyle name="20% - Accent2 4 2 3 2 2 2" xfId="8923"/>
    <cellStyle name="20% - Accent2 4 2 3 2 2 2 2" xfId="16894"/>
    <cellStyle name="20% - Accent2 4 2 3 2 2 2 3" xfId="24840"/>
    <cellStyle name="20% - Accent2 4 2 3 2 2 3" xfId="13356"/>
    <cellStyle name="20% - Accent2 4 2 3 2 2 4" xfId="21311"/>
    <cellStyle name="20% - Accent2 4 2 3 2 3" xfId="7164"/>
    <cellStyle name="20% - Accent2 4 2 3 2 3 2" xfId="15136"/>
    <cellStyle name="20% - Accent2 4 2 3 2 3 3" xfId="23083"/>
    <cellStyle name="20% - Accent2 4 2 3 2 4" xfId="11600"/>
    <cellStyle name="20% - Accent2 4 2 3 2 5" xfId="19555"/>
    <cellStyle name="20% - Accent2 4 2 3 2_Exh G" xfId="2134"/>
    <cellStyle name="20% - Accent2 4 2 3 3" xfId="4453"/>
    <cellStyle name="20% - Accent2 4 2 3 3 2" xfId="8045"/>
    <cellStyle name="20% - Accent2 4 2 3 3 2 2" xfId="16016"/>
    <cellStyle name="20% - Accent2 4 2 3 3 2 3" xfId="23962"/>
    <cellStyle name="20% - Accent2 4 2 3 3 3" xfId="12478"/>
    <cellStyle name="20% - Accent2 4 2 3 3 4" xfId="20433"/>
    <cellStyle name="20% - Accent2 4 2 3 4" xfId="6283"/>
    <cellStyle name="20% - Accent2 4 2 3 4 2" xfId="14258"/>
    <cellStyle name="20% - Accent2 4 2 3 4 3" xfId="22205"/>
    <cellStyle name="20% - Accent2 4 2 3 5" xfId="9826"/>
    <cellStyle name="20% - Accent2 4 2 3 5 2" xfId="17784"/>
    <cellStyle name="20% - Accent2 4 2 3 5 3" xfId="25728"/>
    <cellStyle name="20% - Accent2 4 2 3 6" xfId="10722"/>
    <cellStyle name="20% - Accent2 4 2 3 7" xfId="18677"/>
    <cellStyle name="20% - Accent2 4 2 3_Exh G" xfId="2133"/>
    <cellStyle name="20% - Accent2 4 2 4" xfId="1132"/>
    <cellStyle name="20% - Accent2 4 2 4 2" xfId="4662"/>
    <cellStyle name="20% - Accent2 4 2 4 2 2" xfId="8253"/>
    <cellStyle name="20% - Accent2 4 2 4 2 2 2" xfId="16224"/>
    <cellStyle name="20% - Accent2 4 2 4 2 2 3" xfId="24170"/>
    <cellStyle name="20% - Accent2 4 2 4 2 3" xfId="12686"/>
    <cellStyle name="20% - Accent2 4 2 4 2 4" xfId="20641"/>
    <cellStyle name="20% - Accent2 4 2 4 3" xfId="6494"/>
    <cellStyle name="20% - Accent2 4 2 4 3 2" xfId="14466"/>
    <cellStyle name="20% - Accent2 4 2 4 3 3" xfId="22413"/>
    <cellStyle name="20% - Accent2 4 2 4 4" xfId="10930"/>
    <cellStyle name="20% - Accent2 4 2 4 5" xfId="18885"/>
    <cellStyle name="20% - Accent2 4 2 4_Exh G" xfId="2135"/>
    <cellStyle name="20% - Accent2 4 2 5" xfId="3783"/>
    <cellStyle name="20% - Accent2 4 2 5 2" xfId="7375"/>
    <cellStyle name="20% - Accent2 4 2 5 2 2" xfId="15346"/>
    <cellStyle name="20% - Accent2 4 2 5 2 3" xfId="23292"/>
    <cellStyle name="20% - Accent2 4 2 5 3" xfId="11808"/>
    <cellStyle name="20% - Accent2 4 2 5 4" xfId="19763"/>
    <cellStyle name="20% - Accent2 4 2 6" xfId="5603"/>
    <cellStyle name="20% - Accent2 4 2 6 2" xfId="13587"/>
    <cellStyle name="20% - Accent2 4 2 6 3" xfId="21535"/>
    <cellStyle name="20% - Accent2 4 2 7" xfId="9156"/>
    <cellStyle name="20% - Accent2 4 2 7 2" xfId="17114"/>
    <cellStyle name="20% - Accent2 4 2 7 3" xfId="25058"/>
    <cellStyle name="20% - Accent2 4 2 8" xfId="10052"/>
    <cellStyle name="20% - Accent2 4 2 9" xfId="18007"/>
    <cellStyle name="20% - Accent2 4 2_Exh G" xfId="2130"/>
    <cellStyle name="20% - Accent2 4 3" xfId="106"/>
    <cellStyle name="20% - Accent2 4 3 2" xfId="1134"/>
    <cellStyle name="20% - Accent2 4 3 2 2" xfId="4664"/>
    <cellStyle name="20% - Accent2 4 3 2 2 2" xfId="8255"/>
    <cellStyle name="20% - Accent2 4 3 2 2 2 2" xfId="16226"/>
    <cellStyle name="20% - Accent2 4 3 2 2 2 3" xfId="24172"/>
    <cellStyle name="20% - Accent2 4 3 2 2 3" xfId="12688"/>
    <cellStyle name="20% - Accent2 4 3 2 2 4" xfId="20643"/>
    <cellStyle name="20% - Accent2 4 3 2 3" xfId="6496"/>
    <cellStyle name="20% - Accent2 4 3 2 3 2" xfId="14468"/>
    <cellStyle name="20% - Accent2 4 3 2 3 3" xfId="22415"/>
    <cellStyle name="20% - Accent2 4 3 2 4" xfId="10932"/>
    <cellStyle name="20% - Accent2 4 3 2 5" xfId="18887"/>
    <cellStyle name="20% - Accent2 4 3 2_Exh G" xfId="2137"/>
    <cellStyle name="20% - Accent2 4 3 3" xfId="3785"/>
    <cellStyle name="20% - Accent2 4 3 3 2" xfId="7377"/>
    <cellStyle name="20% - Accent2 4 3 3 2 2" xfId="15348"/>
    <cellStyle name="20% - Accent2 4 3 3 2 3" xfId="23294"/>
    <cellStyle name="20% - Accent2 4 3 3 3" xfId="11810"/>
    <cellStyle name="20% - Accent2 4 3 3 4" xfId="19765"/>
    <cellStyle name="20% - Accent2 4 3 4" xfId="5605"/>
    <cellStyle name="20% - Accent2 4 3 4 2" xfId="13589"/>
    <cellStyle name="20% - Accent2 4 3 4 3" xfId="21537"/>
    <cellStyle name="20% - Accent2 4 3 5" xfId="9158"/>
    <cellStyle name="20% - Accent2 4 3 5 2" xfId="17116"/>
    <cellStyle name="20% - Accent2 4 3 5 3" xfId="25060"/>
    <cellStyle name="20% - Accent2 4 3 6" xfId="10054"/>
    <cellStyle name="20% - Accent2 4 3 7" xfId="18009"/>
    <cellStyle name="20% - Accent2 4 3_Exh G" xfId="2136"/>
    <cellStyle name="20% - Accent2 4 4" xfId="879"/>
    <cellStyle name="20% - Accent2 4 4 2" xfId="1813"/>
    <cellStyle name="20% - Accent2 4 4 2 2" xfId="5331"/>
    <cellStyle name="20% - Accent2 4 4 2 2 2" xfId="8922"/>
    <cellStyle name="20% - Accent2 4 4 2 2 2 2" xfId="16893"/>
    <cellStyle name="20% - Accent2 4 4 2 2 2 3" xfId="24839"/>
    <cellStyle name="20% - Accent2 4 4 2 2 3" xfId="13355"/>
    <cellStyle name="20% - Accent2 4 4 2 2 4" xfId="21310"/>
    <cellStyle name="20% - Accent2 4 4 2 3" xfId="7163"/>
    <cellStyle name="20% - Accent2 4 4 2 3 2" xfId="15135"/>
    <cellStyle name="20% - Accent2 4 4 2 3 3" xfId="23082"/>
    <cellStyle name="20% - Accent2 4 4 2 4" xfId="11599"/>
    <cellStyle name="20% - Accent2 4 4 2 5" xfId="19554"/>
    <cellStyle name="20% - Accent2 4 4 2_Exh G" xfId="2139"/>
    <cellStyle name="20% - Accent2 4 4 3" xfId="4452"/>
    <cellStyle name="20% - Accent2 4 4 3 2" xfId="8044"/>
    <cellStyle name="20% - Accent2 4 4 3 2 2" xfId="16015"/>
    <cellStyle name="20% - Accent2 4 4 3 2 3" xfId="23961"/>
    <cellStyle name="20% - Accent2 4 4 3 3" xfId="12477"/>
    <cellStyle name="20% - Accent2 4 4 3 4" xfId="20432"/>
    <cellStyle name="20% - Accent2 4 4 4" xfId="6282"/>
    <cellStyle name="20% - Accent2 4 4 4 2" xfId="14257"/>
    <cellStyle name="20% - Accent2 4 4 4 3" xfId="22204"/>
    <cellStyle name="20% - Accent2 4 4 5" xfId="9825"/>
    <cellStyle name="20% - Accent2 4 4 5 2" xfId="17783"/>
    <cellStyle name="20% - Accent2 4 4 5 3" xfId="25727"/>
    <cellStyle name="20% - Accent2 4 4 6" xfId="10721"/>
    <cellStyle name="20% - Accent2 4 4 7" xfId="18676"/>
    <cellStyle name="20% - Accent2 4 4_Exh G" xfId="2138"/>
    <cellStyle name="20% - Accent2 4 5" xfId="1131"/>
    <cellStyle name="20% - Accent2 4 5 2" xfId="4661"/>
    <cellStyle name="20% - Accent2 4 5 2 2" xfId="8252"/>
    <cellStyle name="20% - Accent2 4 5 2 2 2" xfId="16223"/>
    <cellStyle name="20% - Accent2 4 5 2 2 3" xfId="24169"/>
    <cellStyle name="20% - Accent2 4 5 2 3" xfId="12685"/>
    <cellStyle name="20% - Accent2 4 5 2 4" xfId="20640"/>
    <cellStyle name="20% - Accent2 4 5 3" xfId="6493"/>
    <cellStyle name="20% - Accent2 4 5 3 2" xfId="14465"/>
    <cellStyle name="20% - Accent2 4 5 3 3" xfId="22412"/>
    <cellStyle name="20% - Accent2 4 5 4" xfId="10929"/>
    <cellStyle name="20% - Accent2 4 5 5" xfId="18884"/>
    <cellStyle name="20% - Accent2 4 5_Exh G" xfId="2140"/>
    <cellStyle name="20% - Accent2 4 6" xfId="3782"/>
    <cellStyle name="20% - Accent2 4 6 2" xfId="7374"/>
    <cellStyle name="20% - Accent2 4 6 2 2" xfId="15345"/>
    <cellStyle name="20% - Accent2 4 6 2 3" xfId="23291"/>
    <cellStyle name="20% - Accent2 4 6 3" xfId="11807"/>
    <cellStyle name="20% - Accent2 4 6 4" xfId="19762"/>
    <cellStyle name="20% - Accent2 4 7" xfId="5602"/>
    <cellStyle name="20% - Accent2 4 7 2" xfId="13586"/>
    <cellStyle name="20% - Accent2 4 7 3" xfId="21534"/>
    <cellStyle name="20% - Accent2 4 8" xfId="9155"/>
    <cellStyle name="20% - Accent2 4 8 2" xfId="17113"/>
    <cellStyle name="20% - Accent2 4 8 3" xfId="25057"/>
    <cellStyle name="20% - Accent2 4 9" xfId="10051"/>
    <cellStyle name="20% - Accent2 4_Exh G" xfId="2129"/>
    <cellStyle name="20% - Accent2 5" xfId="107"/>
    <cellStyle name="20% - Accent2 5 10" xfId="18010"/>
    <cellStyle name="20% - Accent2 5 2" xfId="108"/>
    <cellStyle name="20% - Accent2 5 2 2" xfId="109"/>
    <cellStyle name="20% - Accent2 5 2 2 2" xfId="1137"/>
    <cellStyle name="20% - Accent2 5 2 2 2 2" xfId="4667"/>
    <cellStyle name="20% - Accent2 5 2 2 2 2 2" xfId="8258"/>
    <cellStyle name="20% - Accent2 5 2 2 2 2 2 2" xfId="16229"/>
    <cellStyle name="20% - Accent2 5 2 2 2 2 2 3" xfId="24175"/>
    <cellStyle name="20% - Accent2 5 2 2 2 2 3" xfId="12691"/>
    <cellStyle name="20% - Accent2 5 2 2 2 2 4" xfId="20646"/>
    <cellStyle name="20% - Accent2 5 2 2 2 3" xfId="6499"/>
    <cellStyle name="20% - Accent2 5 2 2 2 3 2" xfId="14471"/>
    <cellStyle name="20% - Accent2 5 2 2 2 3 3" xfId="22418"/>
    <cellStyle name="20% - Accent2 5 2 2 2 4" xfId="10935"/>
    <cellStyle name="20% - Accent2 5 2 2 2 5" xfId="18890"/>
    <cellStyle name="20% - Accent2 5 2 2 2_Exh G" xfId="2144"/>
    <cellStyle name="20% - Accent2 5 2 2 3" xfId="3788"/>
    <cellStyle name="20% - Accent2 5 2 2 3 2" xfId="7380"/>
    <cellStyle name="20% - Accent2 5 2 2 3 2 2" xfId="15351"/>
    <cellStyle name="20% - Accent2 5 2 2 3 2 3" xfId="23297"/>
    <cellStyle name="20% - Accent2 5 2 2 3 3" xfId="11813"/>
    <cellStyle name="20% - Accent2 5 2 2 3 4" xfId="19768"/>
    <cellStyle name="20% - Accent2 5 2 2 4" xfId="5608"/>
    <cellStyle name="20% - Accent2 5 2 2 4 2" xfId="13592"/>
    <cellStyle name="20% - Accent2 5 2 2 4 3" xfId="21540"/>
    <cellStyle name="20% - Accent2 5 2 2 5" xfId="9161"/>
    <cellStyle name="20% - Accent2 5 2 2 5 2" xfId="17119"/>
    <cellStyle name="20% - Accent2 5 2 2 5 3" xfId="25063"/>
    <cellStyle name="20% - Accent2 5 2 2 6" xfId="10057"/>
    <cellStyle name="20% - Accent2 5 2 2 7" xfId="18012"/>
    <cellStyle name="20% - Accent2 5 2 2_Exh G" xfId="2143"/>
    <cellStyle name="20% - Accent2 5 2 3" xfId="1136"/>
    <cellStyle name="20% - Accent2 5 2 3 2" xfId="4666"/>
    <cellStyle name="20% - Accent2 5 2 3 2 2" xfId="8257"/>
    <cellStyle name="20% - Accent2 5 2 3 2 2 2" xfId="16228"/>
    <cellStyle name="20% - Accent2 5 2 3 2 2 3" xfId="24174"/>
    <cellStyle name="20% - Accent2 5 2 3 2 3" xfId="12690"/>
    <cellStyle name="20% - Accent2 5 2 3 2 4" xfId="20645"/>
    <cellStyle name="20% - Accent2 5 2 3 3" xfId="6498"/>
    <cellStyle name="20% - Accent2 5 2 3 3 2" xfId="14470"/>
    <cellStyle name="20% - Accent2 5 2 3 3 3" xfId="22417"/>
    <cellStyle name="20% - Accent2 5 2 3 4" xfId="10934"/>
    <cellStyle name="20% - Accent2 5 2 3 5" xfId="18889"/>
    <cellStyle name="20% - Accent2 5 2 3_Exh G" xfId="2145"/>
    <cellStyle name="20% - Accent2 5 2 4" xfId="3787"/>
    <cellStyle name="20% - Accent2 5 2 4 2" xfId="7379"/>
    <cellStyle name="20% - Accent2 5 2 4 2 2" xfId="15350"/>
    <cellStyle name="20% - Accent2 5 2 4 2 3" xfId="23296"/>
    <cellStyle name="20% - Accent2 5 2 4 3" xfId="11812"/>
    <cellStyle name="20% - Accent2 5 2 4 4" xfId="19767"/>
    <cellStyle name="20% - Accent2 5 2 5" xfId="5607"/>
    <cellStyle name="20% - Accent2 5 2 5 2" xfId="13591"/>
    <cellStyle name="20% - Accent2 5 2 5 3" xfId="21539"/>
    <cellStyle name="20% - Accent2 5 2 6" xfId="9160"/>
    <cellStyle name="20% - Accent2 5 2 6 2" xfId="17118"/>
    <cellStyle name="20% - Accent2 5 2 6 3" xfId="25062"/>
    <cellStyle name="20% - Accent2 5 2 7" xfId="10056"/>
    <cellStyle name="20% - Accent2 5 2 8" xfId="18011"/>
    <cellStyle name="20% - Accent2 5 2_Exh G" xfId="2142"/>
    <cellStyle name="20% - Accent2 5 3" xfId="110"/>
    <cellStyle name="20% - Accent2 5 3 2" xfId="1138"/>
    <cellStyle name="20% - Accent2 5 3 2 2" xfId="4668"/>
    <cellStyle name="20% - Accent2 5 3 2 2 2" xfId="8259"/>
    <cellStyle name="20% - Accent2 5 3 2 2 2 2" xfId="16230"/>
    <cellStyle name="20% - Accent2 5 3 2 2 2 3" xfId="24176"/>
    <cellStyle name="20% - Accent2 5 3 2 2 3" xfId="12692"/>
    <cellStyle name="20% - Accent2 5 3 2 2 4" xfId="20647"/>
    <cellStyle name="20% - Accent2 5 3 2 3" xfId="6500"/>
    <cellStyle name="20% - Accent2 5 3 2 3 2" xfId="14472"/>
    <cellStyle name="20% - Accent2 5 3 2 3 3" xfId="22419"/>
    <cellStyle name="20% - Accent2 5 3 2 4" xfId="10936"/>
    <cellStyle name="20% - Accent2 5 3 2 5" xfId="18891"/>
    <cellStyle name="20% - Accent2 5 3 2_Exh G" xfId="2147"/>
    <cellStyle name="20% - Accent2 5 3 3" xfId="3789"/>
    <cellStyle name="20% - Accent2 5 3 3 2" xfId="7381"/>
    <cellStyle name="20% - Accent2 5 3 3 2 2" xfId="15352"/>
    <cellStyle name="20% - Accent2 5 3 3 2 3" xfId="23298"/>
    <cellStyle name="20% - Accent2 5 3 3 3" xfId="11814"/>
    <cellStyle name="20% - Accent2 5 3 3 4" xfId="19769"/>
    <cellStyle name="20% - Accent2 5 3 4" xfId="5609"/>
    <cellStyle name="20% - Accent2 5 3 4 2" xfId="13593"/>
    <cellStyle name="20% - Accent2 5 3 4 3" xfId="21541"/>
    <cellStyle name="20% - Accent2 5 3 5" xfId="9162"/>
    <cellStyle name="20% - Accent2 5 3 5 2" xfId="17120"/>
    <cellStyle name="20% - Accent2 5 3 5 3" xfId="25064"/>
    <cellStyle name="20% - Accent2 5 3 6" xfId="10058"/>
    <cellStyle name="20% - Accent2 5 3 7" xfId="18013"/>
    <cellStyle name="20% - Accent2 5 3_Exh G" xfId="2146"/>
    <cellStyle name="20% - Accent2 5 4" xfId="881"/>
    <cellStyle name="20% - Accent2 5 5" xfId="1135"/>
    <cellStyle name="20% - Accent2 5 5 2" xfId="4665"/>
    <cellStyle name="20% - Accent2 5 5 2 2" xfId="8256"/>
    <cellStyle name="20% - Accent2 5 5 2 2 2" xfId="16227"/>
    <cellStyle name="20% - Accent2 5 5 2 2 3" xfId="24173"/>
    <cellStyle name="20% - Accent2 5 5 2 3" xfId="12689"/>
    <cellStyle name="20% - Accent2 5 5 2 4" xfId="20644"/>
    <cellStyle name="20% - Accent2 5 5 3" xfId="6497"/>
    <cellStyle name="20% - Accent2 5 5 3 2" xfId="14469"/>
    <cellStyle name="20% - Accent2 5 5 3 3" xfId="22416"/>
    <cellStyle name="20% - Accent2 5 5 4" xfId="10933"/>
    <cellStyle name="20% - Accent2 5 5 5" xfId="18888"/>
    <cellStyle name="20% - Accent2 5 5_Exh G" xfId="2148"/>
    <cellStyle name="20% - Accent2 5 6" xfId="3786"/>
    <cellStyle name="20% - Accent2 5 6 2" xfId="7378"/>
    <cellStyle name="20% - Accent2 5 6 2 2" xfId="15349"/>
    <cellStyle name="20% - Accent2 5 6 2 3" xfId="23295"/>
    <cellStyle name="20% - Accent2 5 6 3" xfId="11811"/>
    <cellStyle name="20% - Accent2 5 6 4" xfId="19766"/>
    <cellStyle name="20% - Accent2 5 7" xfId="5606"/>
    <cellStyle name="20% - Accent2 5 7 2" xfId="13590"/>
    <cellStyle name="20% - Accent2 5 7 3" xfId="21538"/>
    <cellStyle name="20% - Accent2 5 8" xfId="9159"/>
    <cellStyle name="20% - Accent2 5 8 2" xfId="17117"/>
    <cellStyle name="20% - Accent2 5 8 3" xfId="25061"/>
    <cellStyle name="20% - Accent2 5 9" xfId="10055"/>
    <cellStyle name="20% - Accent2 5_Exh G" xfId="2141"/>
    <cellStyle name="20% - Accent2 6" xfId="111"/>
    <cellStyle name="20% - Accent2 6 10" xfId="18014"/>
    <cellStyle name="20% - Accent2 6 2" xfId="112"/>
    <cellStyle name="20% - Accent2 6 2 2" xfId="113"/>
    <cellStyle name="20% - Accent2 6 2 2 2" xfId="1141"/>
    <cellStyle name="20% - Accent2 6 2 2 2 2" xfId="4671"/>
    <cellStyle name="20% - Accent2 6 2 2 2 2 2" xfId="8262"/>
    <cellStyle name="20% - Accent2 6 2 2 2 2 2 2" xfId="16233"/>
    <cellStyle name="20% - Accent2 6 2 2 2 2 2 3" xfId="24179"/>
    <cellStyle name="20% - Accent2 6 2 2 2 2 3" xfId="12695"/>
    <cellStyle name="20% - Accent2 6 2 2 2 2 4" xfId="20650"/>
    <cellStyle name="20% - Accent2 6 2 2 2 3" xfId="6503"/>
    <cellStyle name="20% - Accent2 6 2 2 2 3 2" xfId="14475"/>
    <cellStyle name="20% - Accent2 6 2 2 2 3 3" xfId="22422"/>
    <cellStyle name="20% - Accent2 6 2 2 2 4" xfId="10939"/>
    <cellStyle name="20% - Accent2 6 2 2 2 5" xfId="18894"/>
    <cellStyle name="20% - Accent2 6 2 2 2_Exh G" xfId="2152"/>
    <cellStyle name="20% - Accent2 6 2 2 3" xfId="3792"/>
    <cellStyle name="20% - Accent2 6 2 2 3 2" xfId="7384"/>
    <cellStyle name="20% - Accent2 6 2 2 3 2 2" xfId="15355"/>
    <cellStyle name="20% - Accent2 6 2 2 3 2 3" xfId="23301"/>
    <cellStyle name="20% - Accent2 6 2 2 3 3" xfId="11817"/>
    <cellStyle name="20% - Accent2 6 2 2 3 4" xfId="19772"/>
    <cellStyle name="20% - Accent2 6 2 2 4" xfId="5612"/>
    <cellStyle name="20% - Accent2 6 2 2 4 2" xfId="13596"/>
    <cellStyle name="20% - Accent2 6 2 2 4 3" xfId="21544"/>
    <cellStyle name="20% - Accent2 6 2 2 5" xfId="9165"/>
    <cellStyle name="20% - Accent2 6 2 2 5 2" xfId="17123"/>
    <cellStyle name="20% - Accent2 6 2 2 5 3" xfId="25067"/>
    <cellStyle name="20% - Accent2 6 2 2 6" xfId="10061"/>
    <cellStyle name="20% - Accent2 6 2 2 7" xfId="18016"/>
    <cellStyle name="20% - Accent2 6 2 2_Exh G" xfId="2151"/>
    <cellStyle name="20% - Accent2 6 2 3" xfId="1140"/>
    <cellStyle name="20% - Accent2 6 2 3 2" xfId="4670"/>
    <cellStyle name="20% - Accent2 6 2 3 2 2" xfId="8261"/>
    <cellStyle name="20% - Accent2 6 2 3 2 2 2" xfId="16232"/>
    <cellStyle name="20% - Accent2 6 2 3 2 2 3" xfId="24178"/>
    <cellStyle name="20% - Accent2 6 2 3 2 3" xfId="12694"/>
    <cellStyle name="20% - Accent2 6 2 3 2 4" xfId="20649"/>
    <cellStyle name="20% - Accent2 6 2 3 3" xfId="6502"/>
    <cellStyle name="20% - Accent2 6 2 3 3 2" xfId="14474"/>
    <cellStyle name="20% - Accent2 6 2 3 3 3" xfId="22421"/>
    <cellStyle name="20% - Accent2 6 2 3 4" xfId="10938"/>
    <cellStyle name="20% - Accent2 6 2 3 5" xfId="18893"/>
    <cellStyle name="20% - Accent2 6 2 3_Exh G" xfId="2153"/>
    <cellStyle name="20% - Accent2 6 2 4" xfId="3791"/>
    <cellStyle name="20% - Accent2 6 2 4 2" xfId="7383"/>
    <cellStyle name="20% - Accent2 6 2 4 2 2" xfId="15354"/>
    <cellStyle name="20% - Accent2 6 2 4 2 3" xfId="23300"/>
    <cellStyle name="20% - Accent2 6 2 4 3" xfId="11816"/>
    <cellStyle name="20% - Accent2 6 2 4 4" xfId="19771"/>
    <cellStyle name="20% - Accent2 6 2 5" xfId="5611"/>
    <cellStyle name="20% - Accent2 6 2 5 2" xfId="13595"/>
    <cellStyle name="20% - Accent2 6 2 5 3" xfId="21543"/>
    <cellStyle name="20% - Accent2 6 2 6" xfId="9164"/>
    <cellStyle name="20% - Accent2 6 2 6 2" xfId="17122"/>
    <cellStyle name="20% - Accent2 6 2 6 3" xfId="25066"/>
    <cellStyle name="20% - Accent2 6 2 7" xfId="10060"/>
    <cellStyle name="20% - Accent2 6 2 8" xfId="18015"/>
    <cellStyle name="20% - Accent2 6 2_Exh G" xfId="2150"/>
    <cellStyle name="20% - Accent2 6 3" xfId="114"/>
    <cellStyle name="20% - Accent2 6 3 2" xfId="1142"/>
    <cellStyle name="20% - Accent2 6 3 2 2" xfId="4672"/>
    <cellStyle name="20% - Accent2 6 3 2 2 2" xfId="8263"/>
    <cellStyle name="20% - Accent2 6 3 2 2 2 2" xfId="16234"/>
    <cellStyle name="20% - Accent2 6 3 2 2 2 3" xfId="24180"/>
    <cellStyle name="20% - Accent2 6 3 2 2 3" xfId="12696"/>
    <cellStyle name="20% - Accent2 6 3 2 2 4" xfId="20651"/>
    <cellStyle name="20% - Accent2 6 3 2 3" xfId="6504"/>
    <cellStyle name="20% - Accent2 6 3 2 3 2" xfId="14476"/>
    <cellStyle name="20% - Accent2 6 3 2 3 3" xfId="22423"/>
    <cellStyle name="20% - Accent2 6 3 2 4" xfId="10940"/>
    <cellStyle name="20% - Accent2 6 3 2 5" xfId="18895"/>
    <cellStyle name="20% - Accent2 6 3 2_Exh G" xfId="2155"/>
    <cellStyle name="20% - Accent2 6 3 3" xfId="3793"/>
    <cellStyle name="20% - Accent2 6 3 3 2" xfId="7385"/>
    <cellStyle name="20% - Accent2 6 3 3 2 2" xfId="15356"/>
    <cellStyle name="20% - Accent2 6 3 3 2 3" xfId="23302"/>
    <cellStyle name="20% - Accent2 6 3 3 3" xfId="11818"/>
    <cellStyle name="20% - Accent2 6 3 3 4" xfId="19773"/>
    <cellStyle name="20% - Accent2 6 3 4" xfId="5613"/>
    <cellStyle name="20% - Accent2 6 3 4 2" xfId="13597"/>
    <cellStyle name="20% - Accent2 6 3 4 3" xfId="21545"/>
    <cellStyle name="20% - Accent2 6 3 5" xfId="9166"/>
    <cellStyle name="20% - Accent2 6 3 5 2" xfId="17124"/>
    <cellStyle name="20% - Accent2 6 3 5 3" xfId="25068"/>
    <cellStyle name="20% - Accent2 6 3 6" xfId="10062"/>
    <cellStyle name="20% - Accent2 6 3 7" xfId="18017"/>
    <cellStyle name="20% - Accent2 6 3_Exh G" xfId="2154"/>
    <cellStyle name="20% - Accent2 6 4" xfId="882"/>
    <cellStyle name="20% - Accent2 6 4 2" xfId="1815"/>
    <cellStyle name="20% - Accent2 6 4 2 2" xfId="5333"/>
    <cellStyle name="20% - Accent2 6 4 2 2 2" xfId="8924"/>
    <cellStyle name="20% - Accent2 6 4 2 2 2 2" xfId="16895"/>
    <cellStyle name="20% - Accent2 6 4 2 2 2 3" xfId="24841"/>
    <cellStyle name="20% - Accent2 6 4 2 2 3" xfId="13357"/>
    <cellStyle name="20% - Accent2 6 4 2 2 4" xfId="21312"/>
    <cellStyle name="20% - Accent2 6 4 2 3" xfId="7165"/>
    <cellStyle name="20% - Accent2 6 4 2 3 2" xfId="15137"/>
    <cellStyle name="20% - Accent2 6 4 2 3 3" xfId="23084"/>
    <cellStyle name="20% - Accent2 6 4 2 4" xfId="11601"/>
    <cellStyle name="20% - Accent2 6 4 2 5" xfId="19556"/>
    <cellStyle name="20% - Accent2 6 4 2_Exh G" xfId="2157"/>
    <cellStyle name="20% - Accent2 6 4 3" xfId="4454"/>
    <cellStyle name="20% - Accent2 6 4 3 2" xfId="8046"/>
    <cellStyle name="20% - Accent2 6 4 3 2 2" xfId="16017"/>
    <cellStyle name="20% - Accent2 6 4 3 2 3" xfId="23963"/>
    <cellStyle name="20% - Accent2 6 4 3 3" xfId="12479"/>
    <cellStyle name="20% - Accent2 6 4 3 4" xfId="20434"/>
    <cellStyle name="20% - Accent2 6 4 4" xfId="6284"/>
    <cellStyle name="20% - Accent2 6 4 4 2" xfId="14259"/>
    <cellStyle name="20% - Accent2 6 4 4 3" xfId="22206"/>
    <cellStyle name="20% - Accent2 6 4 5" xfId="9827"/>
    <cellStyle name="20% - Accent2 6 4 5 2" xfId="17785"/>
    <cellStyle name="20% - Accent2 6 4 5 3" xfId="25729"/>
    <cellStyle name="20% - Accent2 6 4 6" xfId="10723"/>
    <cellStyle name="20% - Accent2 6 4 7" xfId="18678"/>
    <cellStyle name="20% - Accent2 6 4_Exh G" xfId="2156"/>
    <cellStyle name="20% - Accent2 6 5" xfId="1139"/>
    <cellStyle name="20% - Accent2 6 5 2" xfId="4669"/>
    <cellStyle name="20% - Accent2 6 5 2 2" xfId="8260"/>
    <cellStyle name="20% - Accent2 6 5 2 2 2" xfId="16231"/>
    <cellStyle name="20% - Accent2 6 5 2 2 3" xfId="24177"/>
    <cellStyle name="20% - Accent2 6 5 2 3" xfId="12693"/>
    <cellStyle name="20% - Accent2 6 5 2 4" xfId="20648"/>
    <cellStyle name="20% - Accent2 6 5 3" xfId="6501"/>
    <cellStyle name="20% - Accent2 6 5 3 2" xfId="14473"/>
    <cellStyle name="20% - Accent2 6 5 3 3" xfId="22420"/>
    <cellStyle name="20% - Accent2 6 5 4" xfId="10937"/>
    <cellStyle name="20% - Accent2 6 5 5" xfId="18892"/>
    <cellStyle name="20% - Accent2 6 5_Exh G" xfId="2158"/>
    <cellStyle name="20% - Accent2 6 6" xfId="3790"/>
    <cellStyle name="20% - Accent2 6 6 2" xfId="7382"/>
    <cellStyle name="20% - Accent2 6 6 2 2" xfId="15353"/>
    <cellStyle name="20% - Accent2 6 6 2 3" xfId="23299"/>
    <cellStyle name="20% - Accent2 6 6 3" xfId="11815"/>
    <cellStyle name="20% - Accent2 6 6 4" xfId="19770"/>
    <cellStyle name="20% - Accent2 6 7" xfId="5610"/>
    <cellStyle name="20% - Accent2 6 7 2" xfId="13594"/>
    <cellStyle name="20% - Accent2 6 7 3" xfId="21542"/>
    <cellStyle name="20% - Accent2 6 8" xfId="9163"/>
    <cellStyle name="20% - Accent2 6 8 2" xfId="17121"/>
    <cellStyle name="20% - Accent2 6 8 3" xfId="25065"/>
    <cellStyle name="20% - Accent2 6 9" xfId="10059"/>
    <cellStyle name="20% - Accent2 6_Exh G" xfId="2149"/>
    <cellStyle name="20% - Accent2 7" xfId="115"/>
    <cellStyle name="20% - Accent2 7 10" xfId="18018"/>
    <cellStyle name="20% - Accent2 7 2" xfId="116"/>
    <cellStyle name="20% - Accent2 7 2 2" xfId="117"/>
    <cellStyle name="20% - Accent2 7 2 2 2" xfId="1145"/>
    <cellStyle name="20% - Accent2 7 2 2 2 2" xfId="4675"/>
    <cellStyle name="20% - Accent2 7 2 2 2 2 2" xfId="8266"/>
    <cellStyle name="20% - Accent2 7 2 2 2 2 2 2" xfId="16237"/>
    <cellStyle name="20% - Accent2 7 2 2 2 2 2 3" xfId="24183"/>
    <cellStyle name="20% - Accent2 7 2 2 2 2 3" xfId="12699"/>
    <cellStyle name="20% - Accent2 7 2 2 2 2 4" xfId="20654"/>
    <cellStyle name="20% - Accent2 7 2 2 2 3" xfId="6507"/>
    <cellStyle name="20% - Accent2 7 2 2 2 3 2" xfId="14479"/>
    <cellStyle name="20% - Accent2 7 2 2 2 3 3" xfId="22426"/>
    <cellStyle name="20% - Accent2 7 2 2 2 4" xfId="10943"/>
    <cellStyle name="20% - Accent2 7 2 2 2 5" xfId="18898"/>
    <cellStyle name="20% - Accent2 7 2 2 2_Exh G" xfId="2162"/>
    <cellStyle name="20% - Accent2 7 2 2 3" xfId="3796"/>
    <cellStyle name="20% - Accent2 7 2 2 3 2" xfId="7388"/>
    <cellStyle name="20% - Accent2 7 2 2 3 2 2" xfId="15359"/>
    <cellStyle name="20% - Accent2 7 2 2 3 2 3" xfId="23305"/>
    <cellStyle name="20% - Accent2 7 2 2 3 3" xfId="11821"/>
    <cellStyle name="20% - Accent2 7 2 2 3 4" xfId="19776"/>
    <cellStyle name="20% - Accent2 7 2 2 4" xfId="5616"/>
    <cellStyle name="20% - Accent2 7 2 2 4 2" xfId="13600"/>
    <cellStyle name="20% - Accent2 7 2 2 4 3" xfId="21548"/>
    <cellStyle name="20% - Accent2 7 2 2 5" xfId="9169"/>
    <cellStyle name="20% - Accent2 7 2 2 5 2" xfId="17127"/>
    <cellStyle name="20% - Accent2 7 2 2 5 3" xfId="25071"/>
    <cellStyle name="20% - Accent2 7 2 2 6" xfId="10065"/>
    <cellStyle name="20% - Accent2 7 2 2 7" xfId="18020"/>
    <cellStyle name="20% - Accent2 7 2 2_Exh G" xfId="2161"/>
    <cellStyle name="20% - Accent2 7 2 3" xfId="1144"/>
    <cellStyle name="20% - Accent2 7 2 3 2" xfId="4674"/>
    <cellStyle name="20% - Accent2 7 2 3 2 2" xfId="8265"/>
    <cellStyle name="20% - Accent2 7 2 3 2 2 2" xfId="16236"/>
    <cellStyle name="20% - Accent2 7 2 3 2 2 3" xfId="24182"/>
    <cellStyle name="20% - Accent2 7 2 3 2 3" xfId="12698"/>
    <cellStyle name="20% - Accent2 7 2 3 2 4" xfId="20653"/>
    <cellStyle name="20% - Accent2 7 2 3 3" xfId="6506"/>
    <cellStyle name="20% - Accent2 7 2 3 3 2" xfId="14478"/>
    <cellStyle name="20% - Accent2 7 2 3 3 3" xfId="22425"/>
    <cellStyle name="20% - Accent2 7 2 3 4" xfId="10942"/>
    <cellStyle name="20% - Accent2 7 2 3 5" xfId="18897"/>
    <cellStyle name="20% - Accent2 7 2 3_Exh G" xfId="2163"/>
    <cellStyle name="20% - Accent2 7 2 4" xfId="3795"/>
    <cellStyle name="20% - Accent2 7 2 4 2" xfId="7387"/>
    <cellStyle name="20% - Accent2 7 2 4 2 2" xfId="15358"/>
    <cellStyle name="20% - Accent2 7 2 4 2 3" xfId="23304"/>
    <cellStyle name="20% - Accent2 7 2 4 3" xfId="11820"/>
    <cellStyle name="20% - Accent2 7 2 4 4" xfId="19775"/>
    <cellStyle name="20% - Accent2 7 2 5" xfId="5615"/>
    <cellStyle name="20% - Accent2 7 2 5 2" xfId="13599"/>
    <cellStyle name="20% - Accent2 7 2 5 3" xfId="21547"/>
    <cellStyle name="20% - Accent2 7 2 6" xfId="9168"/>
    <cellStyle name="20% - Accent2 7 2 6 2" xfId="17126"/>
    <cellStyle name="20% - Accent2 7 2 6 3" xfId="25070"/>
    <cellStyle name="20% - Accent2 7 2 7" xfId="10064"/>
    <cellStyle name="20% - Accent2 7 2 8" xfId="18019"/>
    <cellStyle name="20% - Accent2 7 2_Exh G" xfId="2160"/>
    <cellStyle name="20% - Accent2 7 3" xfId="118"/>
    <cellStyle name="20% - Accent2 7 3 2" xfId="1146"/>
    <cellStyle name="20% - Accent2 7 3 2 2" xfId="4676"/>
    <cellStyle name="20% - Accent2 7 3 2 2 2" xfId="8267"/>
    <cellStyle name="20% - Accent2 7 3 2 2 2 2" xfId="16238"/>
    <cellStyle name="20% - Accent2 7 3 2 2 2 3" xfId="24184"/>
    <cellStyle name="20% - Accent2 7 3 2 2 3" xfId="12700"/>
    <cellStyle name="20% - Accent2 7 3 2 2 4" xfId="20655"/>
    <cellStyle name="20% - Accent2 7 3 2 3" xfId="6508"/>
    <cellStyle name="20% - Accent2 7 3 2 3 2" xfId="14480"/>
    <cellStyle name="20% - Accent2 7 3 2 3 3" xfId="22427"/>
    <cellStyle name="20% - Accent2 7 3 2 4" xfId="10944"/>
    <cellStyle name="20% - Accent2 7 3 2 5" xfId="18899"/>
    <cellStyle name="20% - Accent2 7 3 2_Exh G" xfId="2165"/>
    <cellStyle name="20% - Accent2 7 3 3" xfId="3797"/>
    <cellStyle name="20% - Accent2 7 3 3 2" xfId="7389"/>
    <cellStyle name="20% - Accent2 7 3 3 2 2" xfId="15360"/>
    <cellStyle name="20% - Accent2 7 3 3 2 3" xfId="23306"/>
    <cellStyle name="20% - Accent2 7 3 3 3" xfId="11822"/>
    <cellStyle name="20% - Accent2 7 3 3 4" xfId="19777"/>
    <cellStyle name="20% - Accent2 7 3 4" xfId="5617"/>
    <cellStyle name="20% - Accent2 7 3 4 2" xfId="13601"/>
    <cellStyle name="20% - Accent2 7 3 4 3" xfId="21549"/>
    <cellStyle name="20% - Accent2 7 3 5" xfId="9170"/>
    <cellStyle name="20% - Accent2 7 3 5 2" xfId="17128"/>
    <cellStyle name="20% - Accent2 7 3 5 3" xfId="25072"/>
    <cellStyle name="20% - Accent2 7 3 6" xfId="10066"/>
    <cellStyle name="20% - Accent2 7 3 7" xfId="18021"/>
    <cellStyle name="20% - Accent2 7 3_Exh G" xfId="2164"/>
    <cellStyle name="20% - Accent2 7 4" xfId="883"/>
    <cellStyle name="20% - Accent2 7 4 2" xfId="1816"/>
    <cellStyle name="20% - Accent2 7 4 2 2" xfId="5334"/>
    <cellStyle name="20% - Accent2 7 4 2 2 2" xfId="8925"/>
    <cellStyle name="20% - Accent2 7 4 2 2 2 2" xfId="16896"/>
    <cellStyle name="20% - Accent2 7 4 2 2 2 3" xfId="24842"/>
    <cellStyle name="20% - Accent2 7 4 2 2 3" xfId="13358"/>
    <cellStyle name="20% - Accent2 7 4 2 2 4" xfId="21313"/>
    <cellStyle name="20% - Accent2 7 4 2 3" xfId="7166"/>
    <cellStyle name="20% - Accent2 7 4 2 3 2" xfId="15138"/>
    <cellStyle name="20% - Accent2 7 4 2 3 3" xfId="23085"/>
    <cellStyle name="20% - Accent2 7 4 2 4" xfId="11602"/>
    <cellStyle name="20% - Accent2 7 4 2 5" xfId="19557"/>
    <cellStyle name="20% - Accent2 7 4 2_Exh G" xfId="2167"/>
    <cellStyle name="20% - Accent2 7 4 3" xfId="4455"/>
    <cellStyle name="20% - Accent2 7 4 3 2" xfId="8047"/>
    <cellStyle name="20% - Accent2 7 4 3 2 2" xfId="16018"/>
    <cellStyle name="20% - Accent2 7 4 3 2 3" xfId="23964"/>
    <cellStyle name="20% - Accent2 7 4 3 3" xfId="12480"/>
    <cellStyle name="20% - Accent2 7 4 3 4" xfId="20435"/>
    <cellStyle name="20% - Accent2 7 4 4" xfId="6285"/>
    <cellStyle name="20% - Accent2 7 4 4 2" xfId="14260"/>
    <cellStyle name="20% - Accent2 7 4 4 3" xfId="22207"/>
    <cellStyle name="20% - Accent2 7 4 5" xfId="9828"/>
    <cellStyle name="20% - Accent2 7 4 5 2" xfId="17786"/>
    <cellStyle name="20% - Accent2 7 4 5 3" xfId="25730"/>
    <cellStyle name="20% - Accent2 7 4 6" xfId="10724"/>
    <cellStyle name="20% - Accent2 7 4 7" xfId="18679"/>
    <cellStyle name="20% - Accent2 7 4_Exh G" xfId="2166"/>
    <cellStyle name="20% - Accent2 7 5" xfId="1143"/>
    <cellStyle name="20% - Accent2 7 5 2" xfId="4673"/>
    <cellStyle name="20% - Accent2 7 5 2 2" xfId="8264"/>
    <cellStyle name="20% - Accent2 7 5 2 2 2" xfId="16235"/>
    <cellStyle name="20% - Accent2 7 5 2 2 3" xfId="24181"/>
    <cellStyle name="20% - Accent2 7 5 2 3" xfId="12697"/>
    <cellStyle name="20% - Accent2 7 5 2 4" xfId="20652"/>
    <cellStyle name="20% - Accent2 7 5 3" xfId="6505"/>
    <cellStyle name="20% - Accent2 7 5 3 2" xfId="14477"/>
    <cellStyle name="20% - Accent2 7 5 3 3" xfId="22424"/>
    <cellStyle name="20% - Accent2 7 5 4" xfId="10941"/>
    <cellStyle name="20% - Accent2 7 5 5" xfId="18896"/>
    <cellStyle name="20% - Accent2 7 5_Exh G" xfId="2168"/>
    <cellStyle name="20% - Accent2 7 6" xfId="3794"/>
    <cellStyle name="20% - Accent2 7 6 2" xfId="7386"/>
    <cellStyle name="20% - Accent2 7 6 2 2" xfId="15357"/>
    <cellStyle name="20% - Accent2 7 6 2 3" xfId="23303"/>
    <cellStyle name="20% - Accent2 7 6 3" xfId="11819"/>
    <cellStyle name="20% - Accent2 7 6 4" xfId="19774"/>
    <cellStyle name="20% - Accent2 7 7" xfId="5614"/>
    <cellStyle name="20% - Accent2 7 7 2" xfId="13598"/>
    <cellStyle name="20% - Accent2 7 7 3" xfId="21546"/>
    <cellStyle name="20% - Accent2 7 8" xfId="9167"/>
    <cellStyle name="20% - Accent2 7 8 2" xfId="17125"/>
    <cellStyle name="20% - Accent2 7 8 3" xfId="25069"/>
    <cellStyle name="20% - Accent2 7 9" xfId="10063"/>
    <cellStyle name="20% - Accent2 7_Exh G" xfId="2159"/>
    <cellStyle name="20% - Accent2 8" xfId="119"/>
    <cellStyle name="20% - Accent2 8 10" xfId="18022"/>
    <cellStyle name="20% - Accent2 8 2" xfId="120"/>
    <cellStyle name="20% - Accent2 8 2 2" xfId="121"/>
    <cellStyle name="20% - Accent2 8 2 2 2" xfId="1149"/>
    <cellStyle name="20% - Accent2 8 2 2 2 2" xfId="4679"/>
    <cellStyle name="20% - Accent2 8 2 2 2 2 2" xfId="8270"/>
    <cellStyle name="20% - Accent2 8 2 2 2 2 2 2" xfId="16241"/>
    <cellStyle name="20% - Accent2 8 2 2 2 2 2 3" xfId="24187"/>
    <cellStyle name="20% - Accent2 8 2 2 2 2 3" xfId="12703"/>
    <cellStyle name="20% - Accent2 8 2 2 2 2 4" xfId="20658"/>
    <cellStyle name="20% - Accent2 8 2 2 2 3" xfId="6511"/>
    <cellStyle name="20% - Accent2 8 2 2 2 3 2" xfId="14483"/>
    <cellStyle name="20% - Accent2 8 2 2 2 3 3" xfId="22430"/>
    <cellStyle name="20% - Accent2 8 2 2 2 4" xfId="10947"/>
    <cellStyle name="20% - Accent2 8 2 2 2 5" xfId="18902"/>
    <cellStyle name="20% - Accent2 8 2 2 2_Exh G" xfId="2172"/>
    <cellStyle name="20% - Accent2 8 2 2 3" xfId="3800"/>
    <cellStyle name="20% - Accent2 8 2 2 3 2" xfId="7392"/>
    <cellStyle name="20% - Accent2 8 2 2 3 2 2" xfId="15363"/>
    <cellStyle name="20% - Accent2 8 2 2 3 2 3" xfId="23309"/>
    <cellStyle name="20% - Accent2 8 2 2 3 3" xfId="11825"/>
    <cellStyle name="20% - Accent2 8 2 2 3 4" xfId="19780"/>
    <cellStyle name="20% - Accent2 8 2 2 4" xfId="5620"/>
    <cellStyle name="20% - Accent2 8 2 2 4 2" xfId="13604"/>
    <cellStyle name="20% - Accent2 8 2 2 4 3" xfId="21552"/>
    <cellStyle name="20% - Accent2 8 2 2 5" xfId="9173"/>
    <cellStyle name="20% - Accent2 8 2 2 5 2" xfId="17131"/>
    <cellStyle name="20% - Accent2 8 2 2 5 3" xfId="25075"/>
    <cellStyle name="20% - Accent2 8 2 2 6" xfId="10069"/>
    <cellStyle name="20% - Accent2 8 2 2 7" xfId="18024"/>
    <cellStyle name="20% - Accent2 8 2 2_Exh G" xfId="2171"/>
    <cellStyle name="20% - Accent2 8 2 3" xfId="1148"/>
    <cellStyle name="20% - Accent2 8 2 3 2" xfId="4678"/>
    <cellStyle name="20% - Accent2 8 2 3 2 2" xfId="8269"/>
    <cellStyle name="20% - Accent2 8 2 3 2 2 2" xfId="16240"/>
    <cellStyle name="20% - Accent2 8 2 3 2 2 3" xfId="24186"/>
    <cellStyle name="20% - Accent2 8 2 3 2 3" xfId="12702"/>
    <cellStyle name="20% - Accent2 8 2 3 2 4" xfId="20657"/>
    <cellStyle name="20% - Accent2 8 2 3 3" xfId="6510"/>
    <cellStyle name="20% - Accent2 8 2 3 3 2" xfId="14482"/>
    <cellStyle name="20% - Accent2 8 2 3 3 3" xfId="22429"/>
    <cellStyle name="20% - Accent2 8 2 3 4" xfId="10946"/>
    <cellStyle name="20% - Accent2 8 2 3 5" xfId="18901"/>
    <cellStyle name="20% - Accent2 8 2 3_Exh G" xfId="2173"/>
    <cellStyle name="20% - Accent2 8 2 4" xfId="3799"/>
    <cellStyle name="20% - Accent2 8 2 4 2" xfId="7391"/>
    <cellStyle name="20% - Accent2 8 2 4 2 2" xfId="15362"/>
    <cellStyle name="20% - Accent2 8 2 4 2 3" xfId="23308"/>
    <cellStyle name="20% - Accent2 8 2 4 3" xfId="11824"/>
    <cellStyle name="20% - Accent2 8 2 4 4" xfId="19779"/>
    <cellStyle name="20% - Accent2 8 2 5" xfId="5619"/>
    <cellStyle name="20% - Accent2 8 2 5 2" xfId="13603"/>
    <cellStyle name="20% - Accent2 8 2 5 3" xfId="21551"/>
    <cellStyle name="20% - Accent2 8 2 6" xfId="9172"/>
    <cellStyle name="20% - Accent2 8 2 6 2" xfId="17130"/>
    <cellStyle name="20% - Accent2 8 2 6 3" xfId="25074"/>
    <cellStyle name="20% - Accent2 8 2 7" xfId="10068"/>
    <cellStyle name="20% - Accent2 8 2 8" xfId="18023"/>
    <cellStyle name="20% - Accent2 8 2_Exh G" xfId="2170"/>
    <cellStyle name="20% - Accent2 8 3" xfId="122"/>
    <cellStyle name="20% - Accent2 8 3 2" xfId="1150"/>
    <cellStyle name="20% - Accent2 8 3 2 2" xfId="4680"/>
    <cellStyle name="20% - Accent2 8 3 2 2 2" xfId="8271"/>
    <cellStyle name="20% - Accent2 8 3 2 2 2 2" xfId="16242"/>
    <cellStyle name="20% - Accent2 8 3 2 2 2 3" xfId="24188"/>
    <cellStyle name="20% - Accent2 8 3 2 2 3" xfId="12704"/>
    <cellStyle name="20% - Accent2 8 3 2 2 4" xfId="20659"/>
    <cellStyle name="20% - Accent2 8 3 2 3" xfId="6512"/>
    <cellStyle name="20% - Accent2 8 3 2 3 2" xfId="14484"/>
    <cellStyle name="20% - Accent2 8 3 2 3 3" xfId="22431"/>
    <cellStyle name="20% - Accent2 8 3 2 4" xfId="10948"/>
    <cellStyle name="20% - Accent2 8 3 2 5" xfId="18903"/>
    <cellStyle name="20% - Accent2 8 3 2_Exh G" xfId="2175"/>
    <cellStyle name="20% - Accent2 8 3 3" xfId="3801"/>
    <cellStyle name="20% - Accent2 8 3 3 2" xfId="7393"/>
    <cellStyle name="20% - Accent2 8 3 3 2 2" xfId="15364"/>
    <cellStyle name="20% - Accent2 8 3 3 2 3" xfId="23310"/>
    <cellStyle name="20% - Accent2 8 3 3 3" xfId="11826"/>
    <cellStyle name="20% - Accent2 8 3 3 4" xfId="19781"/>
    <cellStyle name="20% - Accent2 8 3 4" xfId="5621"/>
    <cellStyle name="20% - Accent2 8 3 4 2" xfId="13605"/>
    <cellStyle name="20% - Accent2 8 3 4 3" xfId="21553"/>
    <cellStyle name="20% - Accent2 8 3 5" xfId="9174"/>
    <cellStyle name="20% - Accent2 8 3 5 2" xfId="17132"/>
    <cellStyle name="20% - Accent2 8 3 5 3" xfId="25076"/>
    <cellStyle name="20% - Accent2 8 3 6" xfId="10070"/>
    <cellStyle name="20% - Accent2 8 3 7" xfId="18025"/>
    <cellStyle name="20% - Accent2 8 3_Exh G" xfId="2174"/>
    <cellStyle name="20% - Accent2 8 4" xfId="884"/>
    <cellStyle name="20% - Accent2 8 4 2" xfId="1817"/>
    <cellStyle name="20% - Accent2 8 4 2 2" xfId="5335"/>
    <cellStyle name="20% - Accent2 8 4 2 2 2" xfId="8926"/>
    <cellStyle name="20% - Accent2 8 4 2 2 2 2" xfId="16897"/>
    <cellStyle name="20% - Accent2 8 4 2 2 2 3" xfId="24843"/>
    <cellStyle name="20% - Accent2 8 4 2 2 3" xfId="13359"/>
    <cellStyle name="20% - Accent2 8 4 2 2 4" xfId="21314"/>
    <cellStyle name="20% - Accent2 8 4 2 3" xfId="7167"/>
    <cellStyle name="20% - Accent2 8 4 2 3 2" xfId="15139"/>
    <cellStyle name="20% - Accent2 8 4 2 3 3" xfId="23086"/>
    <cellStyle name="20% - Accent2 8 4 2 4" xfId="11603"/>
    <cellStyle name="20% - Accent2 8 4 2 5" xfId="19558"/>
    <cellStyle name="20% - Accent2 8 4 2_Exh G" xfId="2177"/>
    <cellStyle name="20% - Accent2 8 4 3" xfId="4456"/>
    <cellStyle name="20% - Accent2 8 4 3 2" xfId="8048"/>
    <cellStyle name="20% - Accent2 8 4 3 2 2" xfId="16019"/>
    <cellStyle name="20% - Accent2 8 4 3 2 3" xfId="23965"/>
    <cellStyle name="20% - Accent2 8 4 3 3" xfId="12481"/>
    <cellStyle name="20% - Accent2 8 4 3 4" xfId="20436"/>
    <cellStyle name="20% - Accent2 8 4 4" xfId="6286"/>
    <cellStyle name="20% - Accent2 8 4 4 2" xfId="14261"/>
    <cellStyle name="20% - Accent2 8 4 4 3" xfId="22208"/>
    <cellStyle name="20% - Accent2 8 4 5" xfId="9829"/>
    <cellStyle name="20% - Accent2 8 4 5 2" xfId="17787"/>
    <cellStyle name="20% - Accent2 8 4 5 3" xfId="25731"/>
    <cellStyle name="20% - Accent2 8 4 6" xfId="10725"/>
    <cellStyle name="20% - Accent2 8 4 7" xfId="18680"/>
    <cellStyle name="20% - Accent2 8 4_Exh G" xfId="2176"/>
    <cellStyle name="20% - Accent2 8 5" xfId="1147"/>
    <cellStyle name="20% - Accent2 8 5 2" xfId="4677"/>
    <cellStyle name="20% - Accent2 8 5 2 2" xfId="8268"/>
    <cellStyle name="20% - Accent2 8 5 2 2 2" xfId="16239"/>
    <cellStyle name="20% - Accent2 8 5 2 2 3" xfId="24185"/>
    <cellStyle name="20% - Accent2 8 5 2 3" xfId="12701"/>
    <cellStyle name="20% - Accent2 8 5 2 4" xfId="20656"/>
    <cellStyle name="20% - Accent2 8 5 3" xfId="6509"/>
    <cellStyle name="20% - Accent2 8 5 3 2" xfId="14481"/>
    <cellStyle name="20% - Accent2 8 5 3 3" xfId="22428"/>
    <cellStyle name="20% - Accent2 8 5 4" xfId="10945"/>
    <cellStyle name="20% - Accent2 8 5 5" xfId="18900"/>
    <cellStyle name="20% - Accent2 8 5_Exh G" xfId="2178"/>
    <cellStyle name="20% - Accent2 8 6" xfId="3798"/>
    <cellStyle name="20% - Accent2 8 6 2" xfId="7390"/>
    <cellStyle name="20% - Accent2 8 6 2 2" xfId="15361"/>
    <cellStyle name="20% - Accent2 8 6 2 3" xfId="23307"/>
    <cellStyle name="20% - Accent2 8 6 3" xfId="11823"/>
    <cellStyle name="20% - Accent2 8 6 4" xfId="19778"/>
    <cellStyle name="20% - Accent2 8 7" xfId="5618"/>
    <cellStyle name="20% - Accent2 8 7 2" xfId="13602"/>
    <cellStyle name="20% - Accent2 8 7 3" xfId="21550"/>
    <cellStyle name="20% - Accent2 8 8" xfId="9171"/>
    <cellStyle name="20% - Accent2 8 8 2" xfId="17129"/>
    <cellStyle name="20% - Accent2 8 8 3" xfId="25073"/>
    <cellStyle name="20% - Accent2 8 9" xfId="10067"/>
    <cellStyle name="20% - Accent2 8_Exh G" xfId="2169"/>
    <cellStyle name="20% - Accent2 9" xfId="123"/>
    <cellStyle name="20% - Accent2 9 10" xfId="18026"/>
    <cellStyle name="20% - Accent2 9 2" xfId="124"/>
    <cellStyle name="20% - Accent2 9 2 2" xfId="125"/>
    <cellStyle name="20% - Accent2 9 2 2 2" xfId="1153"/>
    <cellStyle name="20% - Accent2 9 2 2 2 2" xfId="4683"/>
    <cellStyle name="20% - Accent2 9 2 2 2 2 2" xfId="8274"/>
    <cellStyle name="20% - Accent2 9 2 2 2 2 2 2" xfId="16245"/>
    <cellStyle name="20% - Accent2 9 2 2 2 2 2 3" xfId="24191"/>
    <cellStyle name="20% - Accent2 9 2 2 2 2 3" xfId="12707"/>
    <cellStyle name="20% - Accent2 9 2 2 2 2 4" xfId="20662"/>
    <cellStyle name="20% - Accent2 9 2 2 2 3" xfId="6515"/>
    <cellStyle name="20% - Accent2 9 2 2 2 3 2" xfId="14487"/>
    <cellStyle name="20% - Accent2 9 2 2 2 3 3" xfId="22434"/>
    <cellStyle name="20% - Accent2 9 2 2 2 4" xfId="10951"/>
    <cellStyle name="20% - Accent2 9 2 2 2 5" xfId="18906"/>
    <cellStyle name="20% - Accent2 9 2 2 2_Exh G" xfId="2182"/>
    <cellStyle name="20% - Accent2 9 2 2 3" xfId="3804"/>
    <cellStyle name="20% - Accent2 9 2 2 3 2" xfId="7396"/>
    <cellStyle name="20% - Accent2 9 2 2 3 2 2" xfId="15367"/>
    <cellStyle name="20% - Accent2 9 2 2 3 2 3" xfId="23313"/>
    <cellStyle name="20% - Accent2 9 2 2 3 3" xfId="11829"/>
    <cellStyle name="20% - Accent2 9 2 2 3 4" xfId="19784"/>
    <cellStyle name="20% - Accent2 9 2 2 4" xfId="5624"/>
    <cellStyle name="20% - Accent2 9 2 2 4 2" xfId="13608"/>
    <cellStyle name="20% - Accent2 9 2 2 4 3" xfId="21556"/>
    <cellStyle name="20% - Accent2 9 2 2 5" xfId="9177"/>
    <cellStyle name="20% - Accent2 9 2 2 5 2" xfId="17135"/>
    <cellStyle name="20% - Accent2 9 2 2 5 3" xfId="25079"/>
    <cellStyle name="20% - Accent2 9 2 2 6" xfId="10073"/>
    <cellStyle name="20% - Accent2 9 2 2 7" xfId="18028"/>
    <cellStyle name="20% - Accent2 9 2 2_Exh G" xfId="2181"/>
    <cellStyle name="20% - Accent2 9 2 3" xfId="1152"/>
    <cellStyle name="20% - Accent2 9 2 3 2" xfId="4682"/>
    <cellStyle name="20% - Accent2 9 2 3 2 2" xfId="8273"/>
    <cellStyle name="20% - Accent2 9 2 3 2 2 2" xfId="16244"/>
    <cellStyle name="20% - Accent2 9 2 3 2 2 3" xfId="24190"/>
    <cellStyle name="20% - Accent2 9 2 3 2 3" xfId="12706"/>
    <cellStyle name="20% - Accent2 9 2 3 2 4" xfId="20661"/>
    <cellStyle name="20% - Accent2 9 2 3 3" xfId="6514"/>
    <cellStyle name="20% - Accent2 9 2 3 3 2" xfId="14486"/>
    <cellStyle name="20% - Accent2 9 2 3 3 3" xfId="22433"/>
    <cellStyle name="20% - Accent2 9 2 3 4" xfId="10950"/>
    <cellStyle name="20% - Accent2 9 2 3 5" xfId="18905"/>
    <cellStyle name="20% - Accent2 9 2 3_Exh G" xfId="2183"/>
    <cellStyle name="20% - Accent2 9 2 4" xfId="3803"/>
    <cellStyle name="20% - Accent2 9 2 4 2" xfId="7395"/>
    <cellStyle name="20% - Accent2 9 2 4 2 2" xfId="15366"/>
    <cellStyle name="20% - Accent2 9 2 4 2 3" xfId="23312"/>
    <cellStyle name="20% - Accent2 9 2 4 3" xfId="11828"/>
    <cellStyle name="20% - Accent2 9 2 4 4" xfId="19783"/>
    <cellStyle name="20% - Accent2 9 2 5" xfId="5623"/>
    <cellStyle name="20% - Accent2 9 2 5 2" xfId="13607"/>
    <cellStyle name="20% - Accent2 9 2 5 3" xfId="21555"/>
    <cellStyle name="20% - Accent2 9 2 6" xfId="9176"/>
    <cellStyle name="20% - Accent2 9 2 6 2" xfId="17134"/>
    <cellStyle name="20% - Accent2 9 2 6 3" xfId="25078"/>
    <cellStyle name="20% - Accent2 9 2 7" xfId="10072"/>
    <cellStyle name="20% - Accent2 9 2 8" xfId="18027"/>
    <cellStyle name="20% - Accent2 9 2_Exh G" xfId="2180"/>
    <cellStyle name="20% - Accent2 9 3" xfId="126"/>
    <cellStyle name="20% - Accent2 9 3 2" xfId="1154"/>
    <cellStyle name="20% - Accent2 9 3 2 2" xfId="4684"/>
    <cellStyle name="20% - Accent2 9 3 2 2 2" xfId="8275"/>
    <cellStyle name="20% - Accent2 9 3 2 2 2 2" xfId="16246"/>
    <cellStyle name="20% - Accent2 9 3 2 2 2 3" xfId="24192"/>
    <cellStyle name="20% - Accent2 9 3 2 2 3" xfId="12708"/>
    <cellStyle name="20% - Accent2 9 3 2 2 4" xfId="20663"/>
    <cellStyle name="20% - Accent2 9 3 2 3" xfId="6516"/>
    <cellStyle name="20% - Accent2 9 3 2 3 2" xfId="14488"/>
    <cellStyle name="20% - Accent2 9 3 2 3 3" xfId="22435"/>
    <cellStyle name="20% - Accent2 9 3 2 4" xfId="10952"/>
    <cellStyle name="20% - Accent2 9 3 2 5" xfId="18907"/>
    <cellStyle name="20% - Accent2 9 3 2_Exh G" xfId="2185"/>
    <cellStyle name="20% - Accent2 9 3 3" xfId="3805"/>
    <cellStyle name="20% - Accent2 9 3 3 2" xfId="7397"/>
    <cellStyle name="20% - Accent2 9 3 3 2 2" xfId="15368"/>
    <cellStyle name="20% - Accent2 9 3 3 2 3" xfId="23314"/>
    <cellStyle name="20% - Accent2 9 3 3 3" xfId="11830"/>
    <cellStyle name="20% - Accent2 9 3 3 4" xfId="19785"/>
    <cellStyle name="20% - Accent2 9 3 4" xfId="5625"/>
    <cellStyle name="20% - Accent2 9 3 4 2" xfId="13609"/>
    <cellStyle name="20% - Accent2 9 3 4 3" xfId="21557"/>
    <cellStyle name="20% - Accent2 9 3 5" xfId="9178"/>
    <cellStyle name="20% - Accent2 9 3 5 2" xfId="17136"/>
    <cellStyle name="20% - Accent2 9 3 5 3" xfId="25080"/>
    <cellStyle name="20% - Accent2 9 3 6" xfId="10074"/>
    <cellStyle name="20% - Accent2 9 3 7" xfId="18029"/>
    <cellStyle name="20% - Accent2 9 3_Exh G" xfId="2184"/>
    <cellStyle name="20% - Accent2 9 4" xfId="885"/>
    <cellStyle name="20% - Accent2 9 4 2" xfId="1818"/>
    <cellStyle name="20% - Accent2 9 4 2 2" xfId="5336"/>
    <cellStyle name="20% - Accent2 9 4 2 2 2" xfId="8927"/>
    <cellStyle name="20% - Accent2 9 4 2 2 2 2" xfId="16898"/>
    <cellStyle name="20% - Accent2 9 4 2 2 2 3" xfId="24844"/>
    <cellStyle name="20% - Accent2 9 4 2 2 3" xfId="13360"/>
    <cellStyle name="20% - Accent2 9 4 2 2 4" xfId="21315"/>
    <cellStyle name="20% - Accent2 9 4 2 3" xfId="7168"/>
    <cellStyle name="20% - Accent2 9 4 2 3 2" xfId="15140"/>
    <cellStyle name="20% - Accent2 9 4 2 3 3" xfId="23087"/>
    <cellStyle name="20% - Accent2 9 4 2 4" xfId="11604"/>
    <cellStyle name="20% - Accent2 9 4 2 5" xfId="19559"/>
    <cellStyle name="20% - Accent2 9 4 2_Exh G" xfId="2187"/>
    <cellStyle name="20% - Accent2 9 4 3" xfId="4457"/>
    <cellStyle name="20% - Accent2 9 4 3 2" xfId="8049"/>
    <cellStyle name="20% - Accent2 9 4 3 2 2" xfId="16020"/>
    <cellStyle name="20% - Accent2 9 4 3 2 3" xfId="23966"/>
    <cellStyle name="20% - Accent2 9 4 3 3" xfId="12482"/>
    <cellStyle name="20% - Accent2 9 4 3 4" xfId="20437"/>
    <cellStyle name="20% - Accent2 9 4 4" xfId="6287"/>
    <cellStyle name="20% - Accent2 9 4 4 2" xfId="14262"/>
    <cellStyle name="20% - Accent2 9 4 4 3" xfId="22209"/>
    <cellStyle name="20% - Accent2 9 4 5" xfId="9830"/>
    <cellStyle name="20% - Accent2 9 4 5 2" xfId="17788"/>
    <cellStyle name="20% - Accent2 9 4 5 3" xfId="25732"/>
    <cellStyle name="20% - Accent2 9 4 6" xfId="10726"/>
    <cellStyle name="20% - Accent2 9 4 7" xfId="18681"/>
    <cellStyle name="20% - Accent2 9 4_Exh G" xfId="2186"/>
    <cellStyle name="20% - Accent2 9 5" xfId="1151"/>
    <cellStyle name="20% - Accent2 9 5 2" xfId="4681"/>
    <cellStyle name="20% - Accent2 9 5 2 2" xfId="8272"/>
    <cellStyle name="20% - Accent2 9 5 2 2 2" xfId="16243"/>
    <cellStyle name="20% - Accent2 9 5 2 2 3" xfId="24189"/>
    <cellStyle name="20% - Accent2 9 5 2 3" xfId="12705"/>
    <cellStyle name="20% - Accent2 9 5 2 4" xfId="20660"/>
    <cellStyle name="20% - Accent2 9 5 3" xfId="6513"/>
    <cellStyle name="20% - Accent2 9 5 3 2" xfId="14485"/>
    <cellStyle name="20% - Accent2 9 5 3 3" xfId="22432"/>
    <cellStyle name="20% - Accent2 9 5 4" xfId="10949"/>
    <cellStyle name="20% - Accent2 9 5 5" xfId="18904"/>
    <cellStyle name="20% - Accent2 9 5_Exh G" xfId="2188"/>
    <cellStyle name="20% - Accent2 9 6" xfId="3802"/>
    <cellStyle name="20% - Accent2 9 6 2" xfId="7394"/>
    <cellStyle name="20% - Accent2 9 6 2 2" xfId="15365"/>
    <cellStyle name="20% - Accent2 9 6 2 3" xfId="23311"/>
    <cellStyle name="20% - Accent2 9 6 3" xfId="11827"/>
    <cellStyle name="20% - Accent2 9 6 4" xfId="19782"/>
    <cellStyle name="20% - Accent2 9 7" xfId="5622"/>
    <cellStyle name="20% - Accent2 9 7 2" xfId="13606"/>
    <cellStyle name="20% - Accent2 9 7 3" xfId="21554"/>
    <cellStyle name="20% - Accent2 9 8" xfId="9175"/>
    <cellStyle name="20% - Accent2 9 8 2" xfId="17133"/>
    <cellStyle name="20% - Accent2 9 8 3" xfId="25077"/>
    <cellStyle name="20% - Accent2 9 9" xfId="10071"/>
    <cellStyle name="20% - Accent2 9_Exh G" xfId="2179"/>
    <cellStyle name="20% - Accent3 10" xfId="127"/>
    <cellStyle name="20% - Accent3 10 10" xfId="18030"/>
    <cellStyle name="20% - Accent3 10 2" xfId="128"/>
    <cellStyle name="20% - Accent3 10 2 2" xfId="129"/>
    <cellStyle name="20% - Accent3 10 2 2 2" xfId="1157"/>
    <cellStyle name="20% - Accent3 10 2 2 2 2" xfId="4687"/>
    <cellStyle name="20% - Accent3 10 2 2 2 2 2" xfId="8278"/>
    <cellStyle name="20% - Accent3 10 2 2 2 2 2 2" xfId="16249"/>
    <cellStyle name="20% - Accent3 10 2 2 2 2 2 3" xfId="24195"/>
    <cellStyle name="20% - Accent3 10 2 2 2 2 3" xfId="12711"/>
    <cellStyle name="20% - Accent3 10 2 2 2 2 4" xfId="20666"/>
    <cellStyle name="20% - Accent3 10 2 2 2 3" xfId="6519"/>
    <cellStyle name="20% - Accent3 10 2 2 2 3 2" xfId="14491"/>
    <cellStyle name="20% - Accent3 10 2 2 2 3 3" xfId="22438"/>
    <cellStyle name="20% - Accent3 10 2 2 2 4" xfId="10955"/>
    <cellStyle name="20% - Accent3 10 2 2 2 5" xfId="18910"/>
    <cellStyle name="20% - Accent3 10 2 2 2_Exh G" xfId="2192"/>
    <cellStyle name="20% - Accent3 10 2 2 3" xfId="3808"/>
    <cellStyle name="20% - Accent3 10 2 2 3 2" xfId="7400"/>
    <cellStyle name="20% - Accent3 10 2 2 3 2 2" xfId="15371"/>
    <cellStyle name="20% - Accent3 10 2 2 3 2 3" xfId="23317"/>
    <cellStyle name="20% - Accent3 10 2 2 3 3" xfId="11833"/>
    <cellStyle name="20% - Accent3 10 2 2 3 4" xfId="19788"/>
    <cellStyle name="20% - Accent3 10 2 2 4" xfId="5628"/>
    <cellStyle name="20% - Accent3 10 2 2 4 2" xfId="13612"/>
    <cellStyle name="20% - Accent3 10 2 2 4 3" xfId="21560"/>
    <cellStyle name="20% - Accent3 10 2 2 5" xfId="9181"/>
    <cellStyle name="20% - Accent3 10 2 2 5 2" xfId="17139"/>
    <cellStyle name="20% - Accent3 10 2 2 5 3" xfId="25083"/>
    <cellStyle name="20% - Accent3 10 2 2 6" xfId="10077"/>
    <cellStyle name="20% - Accent3 10 2 2 7" xfId="18032"/>
    <cellStyle name="20% - Accent3 10 2 2_Exh G" xfId="2191"/>
    <cellStyle name="20% - Accent3 10 2 3" xfId="1156"/>
    <cellStyle name="20% - Accent3 10 2 3 2" xfId="4686"/>
    <cellStyle name="20% - Accent3 10 2 3 2 2" xfId="8277"/>
    <cellStyle name="20% - Accent3 10 2 3 2 2 2" xfId="16248"/>
    <cellStyle name="20% - Accent3 10 2 3 2 2 3" xfId="24194"/>
    <cellStyle name="20% - Accent3 10 2 3 2 3" xfId="12710"/>
    <cellStyle name="20% - Accent3 10 2 3 2 4" xfId="20665"/>
    <cellStyle name="20% - Accent3 10 2 3 3" xfId="6518"/>
    <cellStyle name="20% - Accent3 10 2 3 3 2" xfId="14490"/>
    <cellStyle name="20% - Accent3 10 2 3 3 3" xfId="22437"/>
    <cellStyle name="20% - Accent3 10 2 3 4" xfId="10954"/>
    <cellStyle name="20% - Accent3 10 2 3 5" xfId="18909"/>
    <cellStyle name="20% - Accent3 10 2 3_Exh G" xfId="2193"/>
    <cellStyle name="20% - Accent3 10 2 4" xfId="3807"/>
    <cellStyle name="20% - Accent3 10 2 4 2" xfId="7399"/>
    <cellStyle name="20% - Accent3 10 2 4 2 2" xfId="15370"/>
    <cellStyle name="20% - Accent3 10 2 4 2 3" xfId="23316"/>
    <cellStyle name="20% - Accent3 10 2 4 3" xfId="11832"/>
    <cellStyle name="20% - Accent3 10 2 4 4" xfId="19787"/>
    <cellStyle name="20% - Accent3 10 2 5" xfId="5627"/>
    <cellStyle name="20% - Accent3 10 2 5 2" xfId="13611"/>
    <cellStyle name="20% - Accent3 10 2 5 3" xfId="21559"/>
    <cellStyle name="20% - Accent3 10 2 6" xfId="9180"/>
    <cellStyle name="20% - Accent3 10 2 6 2" xfId="17138"/>
    <cellStyle name="20% - Accent3 10 2 6 3" xfId="25082"/>
    <cellStyle name="20% - Accent3 10 2 7" xfId="10076"/>
    <cellStyle name="20% - Accent3 10 2 8" xfId="18031"/>
    <cellStyle name="20% - Accent3 10 2_Exh G" xfId="2190"/>
    <cellStyle name="20% - Accent3 10 3" xfId="130"/>
    <cellStyle name="20% - Accent3 10 3 2" xfId="1158"/>
    <cellStyle name="20% - Accent3 10 3 2 2" xfId="4688"/>
    <cellStyle name="20% - Accent3 10 3 2 2 2" xfId="8279"/>
    <cellStyle name="20% - Accent3 10 3 2 2 2 2" xfId="16250"/>
    <cellStyle name="20% - Accent3 10 3 2 2 2 3" xfId="24196"/>
    <cellStyle name="20% - Accent3 10 3 2 2 3" xfId="12712"/>
    <cellStyle name="20% - Accent3 10 3 2 2 4" xfId="20667"/>
    <cellStyle name="20% - Accent3 10 3 2 3" xfId="6520"/>
    <cellStyle name="20% - Accent3 10 3 2 3 2" xfId="14492"/>
    <cellStyle name="20% - Accent3 10 3 2 3 3" xfId="22439"/>
    <cellStyle name="20% - Accent3 10 3 2 4" xfId="10956"/>
    <cellStyle name="20% - Accent3 10 3 2 5" xfId="18911"/>
    <cellStyle name="20% - Accent3 10 3 2_Exh G" xfId="2195"/>
    <cellStyle name="20% - Accent3 10 3 3" xfId="3809"/>
    <cellStyle name="20% - Accent3 10 3 3 2" xfId="7401"/>
    <cellStyle name="20% - Accent3 10 3 3 2 2" xfId="15372"/>
    <cellStyle name="20% - Accent3 10 3 3 2 3" xfId="23318"/>
    <cellStyle name="20% - Accent3 10 3 3 3" xfId="11834"/>
    <cellStyle name="20% - Accent3 10 3 3 4" xfId="19789"/>
    <cellStyle name="20% - Accent3 10 3 4" xfId="5629"/>
    <cellStyle name="20% - Accent3 10 3 4 2" xfId="13613"/>
    <cellStyle name="20% - Accent3 10 3 4 3" xfId="21561"/>
    <cellStyle name="20% - Accent3 10 3 5" xfId="9182"/>
    <cellStyle name="20% - Accent3 10 3 5 2" xfId="17140"/>
    <cellStyle name="20% - Accent3 10 3 5 3" xfId="25084"/>
    <cellStyle name="20% - Accent3 10 3 6" xfId="10078"/>
    <cellStyle name="20% - Accent3 10 3 7" xfId="18033"/>
    <cellStyle name="20% - Accent3 10 3_Exh G" xfId="2194"/>
    <cellStyle name="20% - Accent3 10 4" xfId="886"/>
    <cellStyle name="20% - Accent3 10 5" xfId="1155"/>
    <cellStyle name="20% - Accent3 10 5 2" xfId="4685"/>
    <cellStyle name="20% - Accent3 10 5 2 2" xfId="8276"/>
    <cellStyle name="20% - Accent3 10 5 2 2 2" xfId="16247"/>
    <cellStyle name="20% - Accent3 10 5 2 2 3" xfId="24193"/>
    <cellStyle name="20% - Accent3 10 5 2 3" xfId="12709"/>
    <cellStyle name="20% - Accent3 10 5 2 4" xfId="20664"/>
    <cellStyle name="20% - Accent3 10 5 3" xfId="6517"/>
    <cellStyle name="20% - Accent3 10 5 3 2" xfId="14489"/>
    <cellStyle name="20% - Accent3 10 5 3 3" xfId="22436"/>
    <cellStyle name="20% - Accent3 10 5 4" xfId="10953"/>
    <cellStyle name="20% - Accent3 10 5 5" xfId="18908"/>
    <cellStyle name="20% - Accent3 10 5_Exh G" xfId="2196"/>
    <cellStyle name="20% - Accent3 10 6" xfId="3806"/>
    <cellStyle name="20% - Accent3 10 6 2" xfId="7398"/>
    <cellStyle name="20% - Accent3 10 6 2 2" xfId="15369"/>
    <cellStyle name="20% - Accent3 10 6 2 3" xfId="23315"/>
    <cellStyle name="20% - Accent3 10 6 3" xfId="11831"/>
    <cellStyle name="20% - Accent3 10 6 4" xfId="19786"/>
    <cellStyle name="20% - Accent3 10 7" xfId="5626"/>
    <cellStyle name="20% - Accent3 10 7 2" xfId="13610"/>
    <cellStyle name="20% - Accent3 10 7 3" xfId="21558"/>
    <cellStyle name="20% - Accent3 10 8" xfId="9179"/>
    <cellStyle name="20% - Accent3 10 8 2" xfId="17137"/>
    <cellStyle name="20% - Accent3 10 8 3" xfId="25081"/>
    <cellStyle name="20% - Accent3 10 9" xfId="10075"/>
    <cellStyle name="20% - Accent3 10_Exh G" xfId="2189"/>
    <cellStyle name="20% - Accent3 11" xfId="131"/>
    <cellStyle name="20% - Accent3 11 2" xfId="132"/>
    <cellStyle name="20% - Accent3 11 2 2" xfId="133"/>
    <cellStyle name="20% - Accent3 11 2 2 2" xfId="1161"/>
    <cellStyle name="20% - Accent3 11 2 2 2 2" xfId="4691"/>
    <cellStyle name="20% - Accent3 11 2 2 2 2 2" xfId="8282"/>
    <cellStyle name="20% - Accent3 11 2 2 2 2 2 2" xfId="16253"/>
    <cellStyle name="20% - Accent3 11 2 2 2 2 2 3" xfId="24199"/>
    <cellStyle name="20% - Accent3 11 2 2 2 2 3" xfId="12715"/>
    <cellStyle name="20% - Accent3 11 2 2 2 2 4" xfId="20670"/>
    <cellStyle name="20% - Accent3 11 2 2 2 3" xfId="6523"/>
    <cellStyle name="20% - Accent3 11 2 2 2 3 2" xfId="14495"/>
    <cellStyle name="20% - Accent3 11 2 2 2 3 3" xfId="22442"/>
    <cellStyle name="20% - Accent3 11 2 2 2 4" xfId="10959"/>
    <cellStyle name="20% - Accent3 11 2 2 2 5" xfId="18914"/>
    <cellStyle name="20% - Accent3 11 2 2 2_Exh G" xfId="2200"/>
    <cellStyle name="20% - Accent3 11 2 2 3" xfId="3812"/>
    <cellStyle name="20% - Accent3 11 2 2 3 2" xfId="7404"/>
    <cellStyle name="20% - Accent3 11 2 2 3 2 2" xfId="15375"/>
    <cellStyle name="20% - Accent3 11 2 2 3 2 3" xfId="23321"/>
    <cellStyle name="20% - Accent3 11 2 2 3 3" xfId="11837"/>
    <cellStyle name="20% - Accent3 11 2 2 3 4" xfId="19792"/>
    <cellStyle name="20% - Accent3 11 2 2 4" xfId="5632"/>
    <cellStyle name="20% - Accent3 11 2 2 4 2" xfId="13616"/>
    <cellStyle name="20% - Accent3 11 2 2 4 3" xfId="21564"/>
    <cellStyle name="20% - Accent3 11 2 2 5" xfId="9185"/>
    <cellStyle name="20% - Accent3 11 2 2 5 2" xfId="17143"/>
    <cellStyle name="20% - Accent3 11 2 2 5 3" xfId="25087"/>
    <cellStyle name="20% - Accent3 11 2 2 6" xfId="10081"/>
    <cellStyle name="20% - Accent3 11 2 2 7" xfId="18036"/>
    <cellStyle name="20% - Accent3 11 2 2_Exh G" xfId="2199"/>
    <cellStyle name="20% - Accent3 11 2 3" xfId="1160"/>
    <cellStyle name="20% - Accent3 11 2 3 2" xfId="4690"/>
    <cellStyle name="20% - Accent3 11 2 3 2 2" xfId="8281"/>
    <cellStyle name="20% - Accent3 11 2 3 2 2 2" xfId="16252"/>
    <cellStyle name="20% - Accent3 11 2 3 2 2 3" xfId="24198"/>
    <cellStyle name="20% - Accent3 11 2 3 2 3" xfId="12714"/>
    <cellStyle name="20% - Accent3 11 2 3 2 4" xfId="20669"/>
    <cellStyle name="20% - Accent3 11 2 3 3" xfId="6522"/>
    <cellStyle name="20% - Accent3 11 2 3 3 2" xfId="14494"/>
    <cellStyle name="20% - Accent3 11 2 3 3 3" xfId="22441"/>
    <cellStyle name="20% - Accent3 11 2 3 4" xfId="10958"/>
    <cellStyle name="20% - Accent3 11 2 3 5" xfId="18913"/>
    <cellStyle name="20% - Accent3 11 2 3_Exh G" xfId="2201"/>
    <cellStyle name="20% - Accent3 11 2 4" xfId="3811"/>
    <cellStyle name="20% - Accent3 11 2 4 2" xfId="7403"/>
    <cellStyle name="20% - Accent3 11 2 4 2 2" xfId="15374"/>
    <cellStyle name="20% - Accent3 11 2 4 2 3" xfId="23320"/>
    <cellStyle name="20% - Accent3 11 2 4 3" xfId="11836"/>
    <cellStyle name="20% - Accent3 11 2 4 4" xfId="19791"/>
    <cellStyle name="20% - Accent3 11 2 5" xfId="5631"/>
    <cellStyle name="20% - Accent3 11 2 5 2" xfId="13615"/>
    <cellStyle name="20% - Accent3 11 2 5 3" xfId="21563"/>
    <cellStyle name="20% - Accent3 11 2 6" xfId="9184"/>
    <cellStyle name="20% - Accent3 11 2 6 2" xfId="17142"/>
    <cellStyle name="20% - Accent3 11 2 6 3" xfId="25086"/>
    <cellStyle name="20% - Accent3 11 2 7" xfId="10080"/>
    <cellStyle name="20% - Accent3 11 2 8" xfId="18035"/>
    <cellStyle name="20% - Accent3 11 2_Exh G" xfId="2198"/>
    <cellStyle name="20% - Accent3 11 3" xfId="134"/>
    <cellStyle name="20% - Accent3 11 3 2" xfId="1162"/>
    <cellStyle name="20% - Accent3 11 3 2 2" xfId="4692"/>
    <cellStyle name="20% - Accent3 11 3 2 2 2" xfId="8283"/>
    <cellStyle name="20% - Accent3 11 3 2 2 2 2" xfId="16254"/>
    <cellStyle name="20% - Accent3 11 3 2 2 2 3" xfId="24200"/>
    <cellStyle name="20% - Accent3 11 3 2 2 3" xfId="12716"/>
    <cellStyle name="20% - Accent3 11 3 2 2 4" xfId="20671"/>
    <cellStyle name="20% - Accent3 11 3 2 3" xfId="6524"/>
    <cellStyle name="20% - Accent3 11 3 2 3 2" xfId="14496"/>
    <cellStyle name="20% - Accent3 11 3 2 3 3" xfId="22443"/>
    <cellStyle name="20% - Accent3 11 3 2 4" xfId="10960"/>
    <cellStyle name="20% - Accent3 11 3 2 5" xfId="18915"/>
    <cellStyle name="20% - Accent3 11 3 2_Exh G" xfId="2203"/>
    <cellStyle name="20% - Accent3 11 3 3" xfId="3813"/>
    <cellStyle name="20% - Accent3 11 3 3 2" xfId="7405"/>
    <cellStyle name="20% - Accent3 11 3 3 2 2" xfId="15376"/>
    <cellStyle name="20% - Accent3 11 3 3 2 3" xfId="23322"/>
    <cellStyle name="20% - Accent3 11 3 3 3" xfId="11838"/>
    <cellStyle name="20% - Accent3 11 3 3 4" xfId="19793"/>
    <cellStyle name="20% - Accent3 11 3 4" xfId="5633"/>
    <cellStyle name="20% - Accent3 11 3 4 2" xfId="13617"/>
    <cellStyle name="20% - Accent3 11 3 4 3" xfId="21565"/>
    <cellStyle name="20% - Accent3 11 3 5" xfId="9186"/>
    <cellStyle name="20% - Accent3 11 3 5 2" xfId="17144"/>
    <cellStyle name="20% - Accent3 11 3 5 3" xfId="25088"/>
    <cellStyle name="20% - Accent3 11 3 6" xfId="10082"/>
    <cellStyle name="20% - Accent3 11 3 7" xfId="18037"/>
    <cellStyle name="20% - Accent3 11 3_Exh G" xfId="2202"/>
    <cellStyle name="20% - Accent3 11 4" xfId="1159"/>
    <cellStyle name="20% - Accent3 11 4 2" xfId="4689"/>
    <cellStyle name="20% - Accent3 11 4 2 2" xfId="8280"/>
    <cellStyle name="20% - Accent3 11 4 2 2 2" xfId="16251"/>
    <cellStyle name="20% - Accent3 11 4 2 2 3" xfId="24197"/>
    <cellStyle name="20% - Accent3 11 4 2 3" xfId="12713"/>
    <cellStyle name="20% - Accent3 11 4 2 4" xfId="20668"/>
    <cellStyle name="20% - Accent3 11 4 3" xfId="6521"/>
    <cellStyle name="20% - Accent3 11 4 3 2" xfId="14493"/>
    <cellStyle name="20% - Accent3 11 4 3 3" xfId="22440"/>
    <cellStyle name="20% - Accent3 11 4 4" xfId="10957"/>
    <cellStyle name="20% - Accent3 11 4 5" xfId="18912"/>
    <cellStyle name="20% - Accent3 11 4_Exh G" xfId="2204"/>
    <cellStyle name="20% - Accent3 11 5" xfId="3810"/>
    <cellStyle name="20% - Accent3 11 5 2" xfId="7402"/>
    <cellStyle name="20% - Accent3 11 5 2 2" xfId="15373"/>
    <cellStyle name="20% - Accent3 11 5 2 3" xfId="23319"/>
    <cellStyle name="20% - Accent3 11 5 3" xfId="11835"/>
    <cellStyle name="20% - Accent3 11 5 4" xfId="19790"/>
    <cellStyle name="20% - Accent3 11 6" xfId="5630"/>
    <cellStyle name="20% - Accent3 11 6 2" xfId="13614"/>
    <cellStyle name="20% - Accent3 11 6 3" xfId="21562"/>
    <cellStyle name="20% - Accent3 11 7" xfId="9183"/>
    <cellStyle name="20% - Accent3 11 7 2" xfId="17141"/>
    <cellStyle name="20% - Accent3 11 7 3" xfId="25085"/>
    <cellStyle name="20% - Accent3 11 8" xfId="10079"/>
    <cellStyle name="20% - Accent3 11 9" xfId="18034"/>
    <cellStyle name="20% - Accent3 11_Exh G" xfId="2197"/>
    <cellStyle name="20% - Accent3 12" xfId="135"/>
    <cellStyle name="20% - Accent3 12 2" xfId="136"/>
    <cellStyle name="20% - Accent3 12 2 2" xfId="137"/>
    <cellStyle name="20% - Accent3 12 2 2 2" xfId="1165"/>
    <cellStyle name="20% - Accent3 12 2 2 2 2" xfId="4695"/>
    <cellStyle name="20% - Accent3 12 2 2 2 2 2" xfId="8286"/>
    <cellStyle name="20% - Accent3 12 2 2 2 2 2 2" xfId="16257"/>
    <cellStyle name="20% - Accent3 12 2 2 2 2 2 3" xfId="24203"/>
    <cellStyle name="20% - Accent3 12 2 2 2 2 3" xfId="12719"/>
    <cellStyle name="20% - Accent3 12 2 2 2 2 4" xfId="20674"/>
    <cellStyle name="20% - Accent3 12 2 2 2 3" xfId="6527"/>
    <cellStyle name="20% - Accent3 12 2 2 2 3 2" xfId="14499"/>
    <cellStyle name="20% - Accent3 12 2 2 2 3 3" xfId="22446"/>
    <cellStyle name="20% - Accent3 12 2 2 2 4" xfId="10963"/>
    <cellStyle name="20% - Accent3 12 2 2 2 5" xfId="18918"/>
    <cellStyle name="20% - Accent3 12 2 2 2_Exh G" xfId="2208"/>
    <cellStyle name="20% - Accent3 12 2 2 3" xfId="3816"/>
    <cellStyle name="20% - Accent3 12 2 2 3 2" xfId="7408"/>
    <cellStyle name="20% - Accent3 12 2 2 3 2 2" xfId="15379"/>
    <cellStyle name="20% - Accent3 12 2 2 3 2 3" xfId="23325"/>
    <cellStyle name="20% - Accent3 12 2 2 3 3" xfId="11841"/>
    <cellStyle name="20% - Accent3 12 2 2 3 4" xfId="19796"/>
    <cellStyle name="20% - Accent3 12 2 2 4" xfId="5636"/>
    <cellStyle name="20% - Accent3 12 2 2 4 2" xfId="13620"/>
    <cellStyle name="20% - Accent3 12 2 2 4 3" xfId="21568"/>
    <cellStyle name="20% - Accent3 12 2 2 5" xfId="9189"/>
    <cellStyle name="20% - Accent3 12 2 2 5 2" xfId="17147"/>
    <cellStyle name="20% - Accent3 12 2 2 5 3" xfId="25091"/>
    <cellStyle name="20% - Accent3 12 2 2 6" xfId="10085"/>
    <cellStyle name="20% - Accent3 12 2 2 7" xfId="18040"/>
    <cellStyle name="20% - Accent3 12 2 2_Exh G" xfId="2207"/>
    <cellStyle name="20% - Accent3 12 2 3" xfId="1164"/>
    <cellStyle name="20% - Accent3 12 2 3 2" xfId="4694"/>
    <cellStyle name="20% - Accent3 12 2 3 2 2" xfId="8285"/>
    <cellStyle name="20% - Accent3 12 2 3 2 2 2" xfId="16256"/>
    <cellStyle name="20% - Accent3 12 2 3 2 2 3" xfId="24202"/>
    <cellStyle name="20% - Accent3 12 2 3 2 3" xfId="12718"/>
    <cellStyle name="20% - Accent3 12 2 3 2 4" xfId="20673"/>
    <cellStyle name="20% - Accent3 12 2 3 3" xfId="6526"/>
    <cellStyle name="20% - Accent3 12 2 3 3 2" xfId="14498"/>
    <cellStyle name="20% - Accent3 12 2 3 3 3" xfId="22445"/>
    <cellStyle name="20% - Accent3 12 2 3 4" xfId="10962"/>
    <cellStyle name="20% - Accent3 12 2 3 5" xfId="18917"/>
    <cellStyle name="20% - Accent3 12 2 3_Exh G" xfId="2209"/>
    <cellStyle name="20% - Accent3 12 2 4" xfId="3815"/>
    <cellStyle name="20% - Accent3 12 2 4 2" xfId="7407"/>
    <cellStyle name="20% - Accent3 12 2 4 2 2" xfId="15378"/>
    <cellStyle name="20% - Accent3 12 2 4 2 3" xfId="23324"/>
    <cellStyle name="20% - Accent3 12 2 4 3" xfId="11840"/>
    <cellStyle name="20% - Accent3 12 2 4 4" xfId="19795"/>
    <cellStyle name="20% - Accent3 12 2 5" xfId="5635"/>
    <cellStyle name="20% - Accent3 12 2 5 2" xfId="13619"/>
    <cellStyle name="20% - Accent3 12 2 5 3" xfId="21567"/>
    <cellStyle name="20% - Accent3 12 2 6" xfId="9188"/>
    <cellStyle name="20% - Accent3 12 2 6 2" xfId="17146"/>
    <cellStyle name="20% - Accent3 12 2 6 3" xfId="25090"/>
    <cellStyle name="20% - Accent3 12 2 7" xfId="10084"/>
    <cellStyle name="20% - Accent3 12 2 8" xfId="18039"/>
    <cellStyle name="20% - Accent3 12 2_Exh G" xfId="2206"/>
    <cellStyle name="20% - Accent3 12 3" xfId="138"/>
    <cellStyle name="20% - Accent3 12 3 2" xfId="1166"/>
    <cellStyle name="20% - Accent3 12 3 2 2" xfId="4696"/>
    <cellStyle name="20% - Accent3 12 3 2 2 2" xfId="8287"/>
    <cellStyle name="20% - Accent3 12 3 2 2 2 2" xfId="16258"/>
    <cellStyle name="20% - Accent3 12 3 2 2 2 3" xfId="24204"/>
    <cellStyle name="20% - Accent3 12 3 2 2 3" xfId="12720"/>
    <cellStyle name="20% - Accent3 12 3 2 2 4" xfId="20675"/>
    <cellStyle name="20% - Accent3 12 3 2 3" xfId="6528"/>
    <cellStyle name="20% - Accent3 12 3 2 3 2" xfId="14500"/>
    <cellStyle name="20% - Accent3 12 3 2 3 3" xfId="22447"/>
    <cellStyle name="20% - Accent3 12 3 2 4" xfId="10964"/>
    <cellStyle name="20% - Accent3 12 3 2 5" xfId="18919"/>
    <cellStyle name="20% - Accent3 12 3 2_Exh G" xfId="2211"/>
    <cellStyle name="20% - Accent3 12 3 3" xfId="3817"/>
    <cellStyle name="20% - Accent3 12 3 3 2" xfId="7409"/>
    <cellStyle name="20% - Accent3 12 3 3 2 2" xfId="15380"/>
    <cellStyle name="20% - Accent3 12 3 3 2 3" xfId="23326"/>
    <cellStyle name="20% - Accent3 12 3 3 3" xfId="11842"/>
    <cellStyle name="20% - Accent3 12 3 3 4" xfId="19797"/>
    <cellStyle name="20% - Accent3 12 3 4" xfId="5637"/>
    <cellStyle name="20% - Accent3 12 3 4 2" xfId="13621"/>
    <cellStyle name="20% - Accent3 12 3 4 3" xfId="21569"/>
    <cellStyle name="20% - Accent3 12 3 5" xfId="9190"/>
    <cellStyle name="20% - Accent3 12 3 5 2" xfId="17148"/>
    <cellStyle name="20% - Accent3 12 3 5 3" xfId="25092"/>
    <cellStyle name="20% - Accent3 12 3 6" xfId="10086"/>
    <cellStyle name="20% - Accent3 12 3 7" xfId="18041"/>
    <cellStyle name="20% - Accent3 12 3_Exh G" xfId="2210"/>
    <cellStyle name="20% - Accent3 12 4" xfId="1163"/>
    <cellStyle name="20% - Accent3 12 4 2" xfId="4693"/>
    <cellStyle name="20% - Accent3 12 4 2 2" xfId="8284"/>
    <cellStyle name="20% - Accent3 12 4 2 2 2" xfId="16255"/>
    <cellStyle name="20% - Accent3 12 4 2 2 3" xfId="24201"/>
    <cellStyle name="20% - Accent3 12 4 2 3" xfId="12717"/>
    <cellStyle name="20% - Accent3 12 4 2 4" xfId="20672"/>
    <cellStyle name="20% - Accent3 12 4 3" xfId="6525"/>
    <cellStyle name="20% - Accent3 12 4 3 2" xfId="14497"/>
    <cellStyle name="20% - Accent3 12 4 3 3" xfId="22444"/>
    <cellStyle name="20% - Accent3 12 4 4" xfId="10961"/>
    <cellStyle name="20% - Accent3 12 4 5" xfId="18916"/>
    <cellStyle name="20% - Accent3 12 4_Exh G" xfId="2212"/>
    <cellStyle name="20% - Accent3 12 5" xfId="3814"/>
    <cellStyle name="20% - Accent3 12 5 2" xfId="7406"/>
    <cellStyle name="20% - Accent3 12 5 2 2" xfId="15377"/>
    <cellStyle name="20% - Accent3 12 5 2 3" xfId="23323"/>
    <cellStyle name="20% - Accent3 12 5 3" xfId="11839"/>
    <cellStyle name="20% - Accent3 12 5 4" xfId="19794"/>
    <cellStyle name="20% - Accent3 12 6" xfId="5634"/>
    <cellStyle name="20% - Accent3 12 6 2" xfId="13618"/>
    <cellStyle name="20% - Accent3 12 6 3" xfId="21566"/>
    <cellStyle name="20% - Accent3 12 7" xfId="9187"/>
    <cellStyle name="20% - Accent3 12 7 2" xfId="17145"/>
    <cellStyle name="20% - Accent3 12 7 3" xfId="25089"/>
    <cellStyle name="20% - Accent3 12 8" xfId="10083"/>
    <cellStyle name="20% - Accent3 12 9" xfId="18038"/>
    <cellStyle name="20% - Accent3 12_Exh G" xfId="2205"/>
    <cellStyle name="20% - Accent3 13" xfId="139"/>
    <cellStyle name="20% - Accent3 13 2" xfId="140"/>
    <cellStyle name="20% - Accent3 13 2 2" xfId="141"/>
    <cellStyle name="20% - Accent3 13 2 2 2" xfId="1169"/>
    <cellStyle name="20% - Accent3 13 2 2 2 2" xfId="4699"/>
    <cellStyle name="20% - Accent3 13 2 2 2 2 2" xfId="8290"/>
    <cellStyle name="20% - Accent3 13 2 2 2 2 2 2" xfId="16261"/>
    <cellStyle name="20% - Accent3 13 2 2 2 2 2 3" xfId="24207"/>
    <cellStyle name="20% - Accent3 13 2 2 2 2 3" xfId="12723"/>
    <cellStyle name="20% - Accent3 13 2 2 2 2 4" xfId="20678"/>
    <cellStyle name="20% - Accent3 13 2 2 2 3" xfId="6531"/>
    <cellStyle name="20% - Accent3 13 2 2 2 3 2" xfId="14503"/>
    <cellStyle name="20% - Accent3 13 2 2 2 3 3" xfId="22450"/>
    <cellStyle name="20% - Accent3 13 2 2 2 4" xfId="10967"/>
    <cellStyle name="20% - Accent3 13 2 2 2 5" xfId="18922"/>
    <cellStyle name="20% - Accent3 13 2 2 2_Exh G" xfId="2216"/>
    <cellStyle name="20% - Accent3 13 2 2 3" xfId="3820"/>
    <cellStyle name="20% - Accent3 13 2 2 3 2" xfId="7412"/>
    <cellStyle name="20% - Accent3 13 2 2 3 2 2" xfId="15383"/>
    <cellStyle name="20% - Accent3 13 2 2 3 2 3" xfId="23329"/>
    <cellStyle name="20% - Accent3 13 2 2 3 3" xfId="11845"/>
    <cellStyle name="20% - Accent3 13 2 2 3 4" xfId="19800"/>
    <cellStyle name="20% - Accent3 13 2 2 4" xfId="5640"/>
    <cellStyle name="20% - Accent3 13 2 2 4 2" xfId="13624"/>
    <cellStyle name="20% - Accent3 13 2 2 4 3" xfId="21572"/>
    <cellStyle name="20% - Accent3 13 2 2 5" xfId="9193"/>
    <cellStyle name="20% - Accent3 13 2 2 5 2" xfId="17151"/>
    <cellStyle name="20% - Accent3 13 2 2 5 3" xfId="25095"/>
    <cellStyle name="20% - Accent3 13 2 2 6" xfId="10089"/>
    <cellStyle name="20% - Accent3 13 2 2 7" xfId="18044"/>
    <cellStyle name="20% - Accent3 13 2 2_Exh G" xfId="2215"/>
    <cellStyle name="20% - Accent3 13 2 3" xfId="1168"/>
    <cellStyle name="20% - Accent3 13 2 3 2" xfId="4698"/>
    <cellStyle name="20% - Accent3 13 2 3 2 2" xfId="8289"/>
    <cellStyle name="20% - Accent3 13 2 3 2 2 2" xfId="16260"/>
    <cellStyle name="20% - Accent3 13 2 3 2 2 3" xfId="24206"/>
    <cellStyle name="20% - Accent3 13 2 3 2 3" xfId="12722"/>
    <cellStyle name="20% - Accent3 13 2 3 2 4" xfId="20677"/>
    <cellStyle name="20% - Accent3 13 2 3 3" xfId="6530"/>
    <cellStyle name="20% - Accent3 13 2 3 3 2" xfId="14502"/>
    <cellStyle name="20% - Accent3 13 2 3 3 3" xfId="22449"/>
    <cellStyle name="20% - Accent3 13 2 3 4" xfId="10966"/>
    <cellStyle name="20% - Accent3 13 2 3 5" xfId="18921"/>
    <cellStyle name="20% - Accent3 13 2 3_Exh G" xfId="2217"/>
    <cellStyle name="20% - Accent3 13 2 4" xfId="3819"/>
    <cellStyle name="20% - Accent3 13 2 4 2" xfId="7411"/>
    <cellStyle name="20% - Accent3 13 2 4 2 2" xfId="15382"/>
    <cellStyle name="20% - Accent3 13 2 4 2 3" xfId="23328"/>
    <cellStyle name="20% - Accent3 13 2 4 3" xfId="11844"/>
    <cellStyle name="20% - Accent3 13 2 4 4" xfId="19799"/>
    <cellStyle name="20% - Accent3 13 2 5" xfId="5639"/>
    <cellStyle name="20% - Accent3 13 2 5 2" xfId="13623"/>
    <cellStyle name="20% - Accent3 13 2 5 3" xfId="21571"/>
    <cellStyle name="20% - Accent3 13 2 6" xfId="9192"/>
    <cellStyle name="20% - Accent3 13 2 6 2" xfId="17150"/>
    <cellStyle name="20% - Accent3 13 2 6 3" xfId="25094"/>
    <cellStyle name="20% - Accent3 13 2 7" xfId="10088"/>
    <cellStyle name="20% - Accent3 13 2 8" xfId="18043"/>
    <cellStyle name="20% - Accent3 13 2_Exh G" xfId="2214"/>
    <cellStyle name="20% - Accent3 13 3" xfId="142"/>
    <cellStyle name="20% - Accent3 13 3 2" xfId="1170"/>
    <cellStyle name="20% - Accent3 13 3 2 2" xfId="4700"/>
    <cellStyle name="20% - Accent3 13 3 2 2 2" xfId="8291"/>
    <cellStyle name="20% - Accent3 13 3 2 2 2 2" xfId="16262"/>
    <cellStyle name="20% - Accent3 13 3 2 2 2 3" xfId="24208"/>
    <cellStyle name="20% - Accent3 13 3 2 2 3" xfId="12724"/>
    <cellStyle name="20% - Accent3 13 3 2 2 4" xfId="20679"/>
    <cellStyle name="20% - Accent3 13 3 2 3" xfId="6532"/>
    <cellStyle name="20% - Accent3 13 3 2 3 2" xfId="14504"/>
    <cellStyle name="20% - Accent3 13 3 2 3 3" xfId="22451"/>
    <cellStyle name="20% - Accent3 13 3 2 4" xfId="10968"/>
    <cellStyle name="20% - Accent3 13 3 2 5" xfId="18923"/>
    <cellStyle name="20% - Accent3 13 3 2_Exh G" xfId="2219"/>
    <cellStyle name="20% - Accent3 13 3 3" xfId="3821"/>
    <cellStyle name="20% - Accent3 13 3 3 2" xfId="7413"/>
    <cellStyle name="20% - Accent3 13 3 3 2 2" xfId="15384"/>
    <cellStyle name="20% - Accent3 13 3 3 2 3" xfId="23330"/>
    <cellStyle name="20% - Accent3 13 3 3 3" xfId="11846"/>
    <cellStyle name="20% - Accent3 13 3 3 4" xfId="19801"/>
    <cellStyle name="20% - Accent3 13 3 4" xfId="5641"/>
    <cellStyle name="20% - Accent3 13 3 4 2" xfId="13625"/>
    <cellStyle name="20% - Accent3 13 3 4 3" xfId="21573"/>
    <cellStyle name="20% - Accent3 13 3 5" xfId="9194"/>
    <cellStyle name="20% - Accent3 13 3 5 2" xfId="17152"/>
    <cellStyle name="20% - Accent3 13 3 5 3" xfId="25096"/>
    <cellStyle name="20% - Accent3 13 3 6" xfId="10090"/>
    <cellStyle name="20% - Accent3 13 3 7" xfId="18045"/>
    <cellStyle name="20% - Accent3 13 3_Exh G" xfId="2218"/>
    <cellStyle name="20% - Accent3 13 4" xfId="1167"/>
    <cellStyle name="20% - Accent3 13 4 2" xfId="4697"/>
    <cellStyle name="20% - Accent3 13 4 2 2" xfId="8288"/>
    <cellStyle name="20% - Accent3 13 4 2 2 2" xfId="16259"/>
    <cellStyle name="20% - Accent3 13 4 2 2 3" xfId="24205"/>
    <cellStyle name="20% - Accent3 13 4 2 3" xfId="12721"/>
    <cellStyle name="20% - Accent3 13 4 2 4" xfId="20676"/>
    <cellStyle name="20% - Accent3 13 4 3" xfId="6529"/>
    <cellStyle name="20% - Accent3 13 4 3 2" xfId="14501"/>
    <cellStyle name="20% - Accent3 13 4 3 3" xfId="22448"/>
    <cellStyle name="20% - Accent3 13 4 4" xfId="10965"/>
    <cellStyle name="20% - Accent3 13 4 5" xfId="18920"/>
    <cellStyle name="20% - Accent3 13 4_Exh G" xfId="2220"/>
    <cellStyle name="20% - Accent3 13 5" xfId="3818"/>
    <cellStyle name="20% - Accent3 13 5 2" xfId="7410"/>
    <cellStyle name="20% - Accent3 13 5 2 2" xfId="15381"/>
    <cellStyle name="20% - Accent3 13 5 2 3" xfId="23327"/>
    <cellStyle name="20% - Accent3 13 5 3" xfId="11843"/>
    <cellStyle name="20% - Accent3 13 5 4" xfId="19798"/>
    <cellStyle name="20% - Accent3 13 6" xfId="5638"/>
    <cellStyle name="20% - Accent3 13 6 2" xfId="13622"/>
    <cellStyle name="20% - Accent3 13 6 3" xfId="21570"/>
    <cellStyle name="20% - Accent3 13 7" xfId="9191"/>
    <cellStyle name="20% - Accent3 13 7 2" xfId="17149"/>
    <cellStyle name="20% - Accent3 13 7 3" xfId="25093"/>
    <cellStyle name="20% - Accent3 13 8" xfId="10087"/>
    <cellStyle name="20% - Accent3 13 9" xfId="18042"/>
    <cellStyle name="20% - Accent3 13_Exh G" xfId="2213"/>
    <cellStyle name="20% - Accent3 14" xfId="143"/>
    <cellStyle name="20% - Accent3 14 2" xfId="144"/>
    <cellStyle name="20% - Accent3 14 2 2" xfId="1172"/>
    <cellStyle name="20% - Accent3 14 2 2 2" xfId="4702"/>
    <cellStyle name="20% - Accent3 14 2 2 2 2" xfId="8293"/>
    <cellStyle name="20% - Accent3 14 2 2 2 2 2" xfId="16264"/>
    <cellStyle name="20% - Accent3 14 2 2 2 2 3" xfId="24210"/>
    <cellStyle name="20% - Accent3 14 2 2 2 3" xfId="12726"/>
    <cellStyle name="20% - Accent3 14 2 2 2 4" xfId="20681"/>
    <cellStyle name="20% - Accent3 14 2 2 3" xfId="6534"/>
    <cellStyle name="20% - Accent3 14 2 2 3 2" xfId="14506"/>
    <cellStyle name="20% - Accent3 14 2 2 3 3" xfId="22453"/>
    <cellStyle name="20% - Accent3 14 2 2 4" xfId="10970"/>
    <cellStyle name="20% - Accent3 14 2 2 5" xfId="18925"/>
    <cellStyle name="20% - Accent3 14 2 2_Exh G" xfId="2223"/>
    <cellStyle name="20% - Accent3 14 2 3" xfId="3823"/>
    <cellStyle name="20% - Accent3 14 2 3 2" xfId="7415"/>
    <cellStyle name="20% - Accent3 14 2 3 2 2" xfId="15386"/>
    <cellStyle name="20% - Accent3 14 2 3 2 3" xfId="23332"/>
    <cellStyle name="20% - Accent3 14 2 3 3" xfId="11848"/>
    <cellStyle name="20% - Accent3 14 2 3 4" xfId="19803"/>
    <cellStyle name="20% - Accent3 14 2 4" xfId="5643"/>
    <cellStyle name="20% - Accent3 14 2 4 2" xfId="13627"/>
    <cellStyle name="20% - Accent3 14 2 4 3" xfId="21575"/>
    <cellStyle name="20% - Accent3 14 2 5" xfId="9196"/>
    <cellStyle name="20% - Accent3 14 2 5 2" xfId="17154"/>
    <cellStyle name="20% - Accent3 14 2 5 3" xfId="25098"/>
    <cellStyle name="20% - Accent3 14 2 6" xfId="10092"/>
    <cellStyle name="20% - Accent3 14 2 7" xfId="18047"/>
    <cellStyle name="20% - Accent3 14 2_Exh G" xfId="2222"/>
    <cellStyle name="20% - Accent3 14 3" xfId="1171"/>
    <cellStyle name="20% - Accent3 14 3 2" xfId="4701"/>
    <cellStyle name="20% - Accent3 14 3 2 2" xfId="8292"/>
    <cellStyle name="20% - Accent3 14 3 2 2 2" xfId="16263"/>
    <cellStyle name="20% - Accent3 14 3 2 2 3" xfId="24209"/>
    <cellStyle name="20% - Accent3 14 3 2 3" xfId="12725"/>
    <cellStyle name="20% - Accent3 14 3 2 4" xfId="20680"/>
    <cellStyle name="20% - Accent3 14 3 3" xfId="6533"/>
    <cellStyle name="20% - Accent3 14 3 3 2" xfId="14505"/>
    <cellStyle name="20% - Accent3 14 3 3 3" xfId="22452"/>
    <cellStyle name="20% - Accent3 14 3 4" xfId="10969"/>
    <cellStyle name="20% - Accent3 14 3 5" xfId="18924"/>
    <cellStyle name="20% - Accent3 14 3_Exh G" xfId="2224"/>
    <cellStyle name="20% - Accent3 14 4" xfId="3822"/>
    <cellStyle name="20% - Accent3 14 4 2" xfId="7414"/>
    <cellStyle name="20% - Accent3 14 4 2 2" xfId="15385"/>
    <cellStyle name="20% - Accent3 14 4 2 3" xfId="23331"/>
    <cellStyle name="20% - Accent3 14 4 3" xfId="11847"/>
    <cellStyle name="20% - Accent3 14 4 4" xfId="19802"/>
    <cellStyle name="20% - Accent3 14 5" xfId="5642"/>
    <cellStyle name="20% - Accent3 14 5 2" xfId="13626"/>
    <cellStyle name="20% - Accent3 14 5 3" xfId="21574"/>
    <cellStyle name="20% - Accent3 14 6" xfId="9195"/>
    <cellStyle name="20% - Accent3 14 6 2" xfId="17153"/>
    <cellStyle name="20% - Accent3 14 6 3" xfId="25097"/>
    <cellStyle name="20% - Accent3 14 7" xfId="10091"/>
    <cellStyle name="20% - Accent3 14 8" xfId="18046"/>
    <cellStyle name="20% - Accent3 14_Exh G" xfId="2221"/>
    <cellStyle name="20% - Accent3 15" xfId="145"/>
    <cellStyle name="20% - Accent3 15 2" xfId="1173"/>
    <cellStyle name="20% - Accent3 15 2 2" xfId="4703"/>
    <cellStyle name="20% - Accent3 15 2 2 2" xfId="8294"/>
    <cellStyle name="20% - Accent3 15 2 2 2 2" xfId="16265"/>
    <cellStyle name="20% - Accent3 15 2 2 2 3" xfId="24211"/>
    <cellStyle name="20% - Accent3 15 2 2 3" xfId="12727"/>
    <cellStyle name="20% - Accent3 15 2 2 4" xfId="20682"/>
    <cellStyle name="20% - Accent3 15 2 3" xfId="6535"/>
    <cellStyle name="20% - Accent3 15 2 3 2" xfId="14507"/>
    <cellStyle name="20% - Accent3 15 2 3 3" xfId="22454"/>
    <cellStyle name="20% - Accent3 15 2 4" xfId="10971"/>
    <cellStyle name="20% - Accent3 15 2 5" xfId="18926"/>
    <cellStyle name="20% - Accent3 15 2_Exh G" xfId="2226"/>
    <cellStyle name="20% - Accent3 15 3" xfId="3824"/>
    <cellStyle name="20% - Accent3 15 3 2" xfId="7416"/>
    <cellStyle name="20% - Accent3 15 3 2 2" xfId="15387"/>
    <cellStyle name="20% - Accent3 15 3 2 3" xfId="23333"/>
    <cellStyle name="20% - Accent3 15 3 3" xfId="11849"/>
    <cellStyle name="20% - Accent3 15 3 4" xfId="19804"/>
    <cellStyle name="20% - Accent3 15 4" xfId="5644"/>
    <cellStyle name="20% - Accent3 15 4 2" xfId="13628"/>
    <cellStyle name="20% - Accent3 15 4 3" xfId="21576"/>
    <cellStyle name="20% - Accent3 15 5" xfId="9197"/>
    <cellStyle name="20% - Accent3 15 5 2" xfId="17155"/>
    <cellStyle name="20% - Accent3 15 5 3" xfId="25099"/>
    <cellStyle name="20% - Accent3 15 6" xfId="10093"/>
    <cellStyle name="20% - Accent3 15 7" xfId="18048"/>
    <cellStyle name="20% - Accent3 15_Exh G" xfId="2225"/>
    <cellStyle name="20% - Accent3 16" xfId="845"/>
    <cellStyle name="20% - Accent3 16 2" xfId="1784"/>
    <cellStyle name="20% - Accent3 16 2 2" xfId="5305"/>
    <cellStyle name="20% - Accent3 16 2 2 2" xfId="8896"/>
    <cellStyle name="20% - Accent3 16 2 2 2 2" xfId="16867"/>
    <cellStyle name="20% - Accent3 16 2 2 2 3" xfId="24813"/>
    <cellStyle name="20% - Accent3 16 2 2 3" xfId="13329"/>
    <cellStyle name="20% - Accent3 16 2 2 4" xfId="21284"/>
    <cellStyle name="20% - Accent3 16 2 3" xfId="7137"/>
    <cellStyle name="20% - Accent3 16 2 3 2" xfId="15109"/>
    <cellStyle name="20% - Accent3 16 2 3 3" xfId="23056"/>
    <cellStyle name="20% - Accent3 16 2 4" xfId="11573"/>
    <cellStyle name="20% - Accent3 16 2 5" xfId="19528"/>
    <cellStyle name="20% - Accent3 16 2_Exh G" xfId="2228"/>
    <cellStyle name="20% - Accent3 16 3" xfId="4426"/>
    <cellStyle name="20% - Accent3 16 3 2" xfId="8018"/>
    <cellStyle name="20% - Accent3 16 3 2 2" xfId="15989"/>
    <cellStyle name="20% - Accent3 16 3 2 3" xfId="23935"/>
    <cellStyle name="20% - Accent3 16 3 3" xfId="12451"/>
    <cellStyle name="20% - Accent3 16 3 4" xfId="20406"/>
    <cellStyle name="20% - Accent3 16 4" xfId="6256"/>
    <cellStyle name="20% - Accent3 16 4 2" xfId="14231"/>
    <cellStyle name="20% - Accent3 16 4 3" xfId="22178"/>
    <cellStyle name="20% - Accent3 16 5" xfId="9799"/>
    <cellStyle name="20% - Accent3 16 5 2" xfId="17757"/>
    <cellStyle name="20% - Accent3 16 5 3" xfId="25701"/>
    <cellStyle name="20% - Accent3 16 6" xfId="10695"/>
    <cellStyle name="20% - Accent3 16 7" xfId="18650"/>
    <cellStyle name="20% - Accent3 16_Exh G" xfId="2227"/>
    <cellStyle name="20% - Accent3 2" xfId="146"/>
    <cellStyle name="20% - Accent3 2 10" xfId="18049"/>
    <cellStyle name="20% - Accent3 2 2" xfId="147"/>
    <cellStyle name="20% - Accent3 2 2 2" xfId="148"/>
    <cellStyle name="20% - Accent3 2 2 2 2" xfId="1176"/>
    <cellStyle name="20% - Accent3 2 2 2 2 2" xfId="4706"/>
    <cellStyle name="20% - Accent3 2 2 2 2 2 2" xfId="8297"/>
    <cellStyle name="20% - Accent3 2 2 2 2 2 2 2" xfId="16268"/>
    <cellStyle name="20% - Accent3 2 2 2 2 2 2 3" xfId="24214"/>
    <cellStyle name="20% - Accent3 2 2 2 2 2 3" xfId="12730"/>
    <cellStyle name="20% - Accent3 2 2 2 2 2 4" xfId="20685"/>
    <cellStyle name="20% - Accent3 2 2 2 2 3" xfId="6538"/>
    <cellStyle name="20% - Accent3 2 2 2 2 3 2" xfId="14510"/>
    <cellStyle name="20% - Accent3 2 2 2 2 3 3" xfId="22457"/>
    <cellStyle name="20% - Accent3 2 2 2 2 4" xfId="10974"/>
    <cellStyle name="20% - Accent3 2 2 2 2 5" xfId="18929"/>
    <cellStyle name="20% - Accent3 2 2 2 2_Exh G" xfId="2232"/>
    <cellStyle name="20% - Accent3 2 2 2 3" xfId="3827"/>
    <cellStyle name="20% - Accent3 2 2 2 3 2" xfId="7419"/>
    <cellStyle name="20% - Accent3 2 2 2 3 2 2" xfId="15390"/>
    <cellStyle name="20% - Accent3 2 2 2 3 2 3" xfId="23336"/>
    <cellStyle name="20% - Accent3 2 2 2 3 3" xfId="11852"/>
    <cellStyle name="20% - Accent3 2 2 2 3 4" xfId="19807"/>
    <cellStyle name="20% - Accent3 2 2 2 4" xfId="5647"/>
    <cellStyle name="20% - Accent3 2 2 2 4 2" xfId="13631"/>
    <cellStyle name="20% - Accent3 2 2 2 4 3" xfId="21579"/>
    <cellStyle name="20% - Accent3 2 2 2 5" xfId="9200"/>
    <cellStyle name="20% - Accent3 2 2 2 5 2" xfId="17158"/>
    <cellStyle name="20% - Accent3 2 2 2 5 3" xfId="25102"/>
    <cellStyle name="20% - Accent3 2 2 2 6" xfId="10096"/>
    <cellStyle name="20% - Accent3 2 2 2 7" xfId="18051"/>
    <cellStyle name="20% - Accent3 2 2 2_Exh G" xfId="2231"/>
    <cellStyle name="20% - Accent3 2 2 3" xfId="888"/>
    <cellStyle name="20% - Accent3 2 2 3 2" xfId="1820"/>
    <cellStyle name="20% - Accent3 2 2 3 2 2" xfId="5338"/>
    <cellStyle name="20% - Accent3 2 2 3 2 2 2" xfId="8929"/>
    <cellStyle name="20% - Accent3 2 2 3 2 2 2 2" xfId="16900"/>
    <cellStyle name="20% - Accent3 2 2 3 2 2 2 3" xfId="24846"/>
    <cellStyle name="20% - Accent3 2 2 3 2 2 3" xfId="13362"/>
    <cellStyle name="20% - Accent3 2 2 3 2 2 4" xfId="21317"/>
    <cellStyle name="20% - Accent3 2 2 3 2 3" xfId="7170"/>
    <cellStyle name="20% - Accent3 2 2 3 2 3 2" xfId="15142"/>
    <cellStyle name="20% - Accent3 2 2 3 2 3 3" xfId="23089"/>
    <cellStyle name="20% - Accent3 2 2 3 2 4" xfId="11606"/>
    <cellStyle name="20% - Accent3 2 2 3 2 5" xfId="19561"/>
    <cellStyle name="20% - Accent3 2 2 3 2_Exh G" xfId="2234"/>
    <cellStyle name="20% - Accent3 2 2 3 3" xfId="4459"/>
    <cellStyle name="20% - Accent3 2 2 3 3 2" xfId="8051"/>
    <cellStyle name="20% - Accent3 2 2 3 3 2 2" xfId="16022"/>
    <cellStyle name="20% - Accent3 2 2 3 3 2 3" xfId="23968"/>
    <cellStyle name="20% - Accent3 2 2 3 3 3" xfId="12484"/>
    <cellStyle name="20% - Accent3 2 2 3 3 4" xfId="20439"/>
    <cellStyle name="20% - Accent3 2 2 3 4" xfId="6289"/>
    <cellStyle name="20% - Accent3 2 2 3 4 2" xfId="14264"/>
    <cellStyle name="20% - Accent3 2 2 3 4 3" xfId="22211"/>
    <cellStyle name="20% - Accent3 2 2 3 5" xfId="9832"/>
    <cellStyle name="20% - Accent3 2 2 3 5 2" xfId="17790"/>
    <cellStyle name="20% - Accent3 2 2 3 5 3" xfId="25734"/>
    <cellStyle name="20% - Accent3 2 2 3 6" xfId="10728"/>
    <cellStyle name="20% - Accent3 2 2 3 7" xfId="18683"/>
    <cellStyle name="20% - Accent3 2 2 3_Exh G" xfId="2233"/>
    <cellStyle name="20% - Accent3 2 2 4" xfId="1175"/>
    <cellStyle name="20% - Accent3 2 2 4 2" xfId="4705"/>
    <cellStyle name="20% - Accent3 2 2 4 2 2" xfId="8296"/>
    <cellStyle name="20% - Accent3 2 2 4 2 2 2" xfId="16267"/>
    <cellStyle name="20% - Accent3 2 2 4 2 2 3" xfId="24213"/>
    <cellStyle name="20% - Accent3 2 2 4 2 3" xfId="12729"/>
    <cellStyle name="20% - Accent3 2 2 4 2 4" xfId="20684"/>
    <cellStyle name="20% - Accent3 2 2 4 3" xfId="6537"/>
    <cellStyle name="20% - Accent3 2 2 4 3 2" xfId="14509"/>
    <cellStyle name="20% - Accent3 2 2 4 3 3" xfId="22456"/>
    <cellStyle name="20% - Accent3 2 2 4 4" xfId="10973"/>
    <cellStyle name="20% - Accent3 2 2 4 5" xfId="18928"/>
    <cellStyle name="20% - Accent3 2 2 4_Exh G" xfId="2235"/>
    <cellStyle name="20% - Accent3 2 2 5" xfId="3826"/>
    <cellStyle name="20% - Accent3 2 2 5 2" xfId="7418"/>
    <cellStyle name="20% - Accent3 2 2 5 2 2" xfId="15389"/>
    <cellStyle name="20% - Accent3 2 2 5 2 3" xfId="23335"/>
    <cellStyle name="20% - Accent3 2 2 5 3" xfId="11851"/>
    <cellStyle name="20% - Accent3 2 2 5 4" xfId="19806"/>
    <cellStyle name="20% - Accent3 2 2 6" xfId="5646"/>
    <cellStyle name="20% - Accent3 2 2 6 2" xfId="13630"/>
    <cellStyle name="20% - Accent3 2 2 6 3" xfId="21578"/>
    <cellStyle name="20% - Accent3 2 2 7" xfId="9199"/>
    <cellStyle name="20% - Accent3 2 2 7 2" xfId="17157"/>
    <cellStyle name="20% - Accent3 2 2 7 3" xfId="25101"/>
    <cellStyle name="20% - Accent3 2 2 8" xfId="10095"/>
    <cellStyle name="20% - Accent3 2 2 9" xfId="18050"/>
    <cellStyle name="20% - Accent3 2 2_Exh G" xfId="2230"/>
    <cellStyle name="20% - Accent3 2 3" xfId="149"/>
    <cellStyle name="20% - Accent3 2 3 2" xfId="1177"/>
    <cellStyle name="20% - Accent3 2 3 2 2" xfId="4707"/>
    <cellStyle name="20% - Accent3 2 3 2 2 2" xfId="8298"/>
    <cellStyle name="20% - Accent3 2 3 2 2 2 2" xfId="16269"/>
    <cellStyle name="20% - Accent3 2 3 2 2 2 3" xfId="24215"/>
    <cellStyle name="20% - Accent3 2 3 2 2 3" xfId="12731"/>
    <cellStyle name="20% - Accent3 2 3 2 2 4" xfId="20686"/>
    <cellStyle name="20% - Accent3 2 3 2 3" xfId="6539"/>
    <cellStyle name="20% - Accent3 2 3 2 3 2" xfId="14511"/>
    <cellStyle name="20% - Accent3 2 3 2 3 3" xfId="22458"/>
    <cellStyle name="20% - Accent3 2 3 2 4" xfId="10975"/>
    <cellStyle name="20% - Accent3 2 3 2 5" xfId="18930"/>
    <cellStyle name="20% - Accent3 2 3 2_Exh G" xfId="2237"/>
    <cellStyle name="20% - Accent3 2 3 3" xfId="3828"/>
    <cellStyle name="20% - Accent3 2 3 3 2" xfId="7420"/>
    <cellStyle name="20% - Accent3 2 3 3 2 2" xfId="15391"/>
    <cellStyle name="20% - Accent3 2 3 3 2 3" xfId="23337"/>
    <cellStyle name="20% - Accent3 2 3 3 3" xfId="11853"/>
    <cellStyle name="20% - Accent3 2 3 3 4" xfId="19808"/>
    <cellStyle name="20% - Accent3 2 3 4" xfId="5648"/>
    <cellStyle name="20% - Accent3 2 3 4 2" xfId="13632"/>
    <cellStyle name="20% - Accent3 2 3 4 3" xfId="21580"/>
    <cellStyle name="20% - Accent3 2 3 5" xfId="9201"/>
    <cellStyle name="20% - Accent3 2 3 5 2" xfId="17159"/>
    <cellStyle name="20% - Accent3 2 3 5 3" xfId="25103"/>
    <cellStyle name="20% - Accent3 2 3 6" xfId="10097"/>
    <cellStyle name="20% - Accent3 2 3 7" xfId="18052"/>
    <cellStyle name="20% - Accent3 2 3_Exh G" xfId="2236"/>
    <cellStyle name="20% - Accent3 2 4" xfId="887"/>
    <cellStyle name="20% - Accent3 2 4 2" xfId="1819"/>
    <cellStyle name="20% - Accent3 2 4 2 2" xfId="5337"/>
    <cellStyle name="20% - Accent3 2 4 2 2 2" xfId="8928"/>
    <cellStyle name="20% - Accent3 2 4 2 2 2 2" xfId="16899"/>
    <cellStyle name="20% - Accent3 2 4 2 2 2 3" xfId="24845"/>
    <cellStyle name="20% - Accent3 2 4 2 2 3" xfId="13361"/>
    <cellStyle name="20% - Accent3 2 4 2 2 4" xfId="21316"/>
    <cellStyle name="20% - Accent3 2 4 2 3" xfId="7169"/>
    <cellStyle name="20% - Accent3 2 4 2 3 2" xfId="15141"/>
    <cellStyle name="20% - Accent3 2 4 2 3 3" xfId="23088"/>
    <cellStyle name="20% - Accent3 2 4 2 4" xfId="11605"/>
    <cellStyle name="20% - Accent3 2 4 2 5" xfId="19560"/>
    <cellStyle name="20% - Accent3 2 4 2_Exh G" xfId="2239"/>
    <cellStyle name="20% - Accent3 2 4 3" xfId="4458"/>
    <cellStyle name="20% - Accent3 2 4 3 2" xfId="8050"/>
    <cellStyle name="20% - Accent3 2 4 3 2 2" xfId="16021"/>
    <cellStyle name="20% - Accent3 2 4 3 2 3" xfId="23967"/>
    <cellStyle name="20% - Accent3 2 4 3 3" xfId="12483"/>
    <cellStyle name="20% - Accent3 2 4 3 4" xfId="20438"/>
    <cellStyle name="20% - Accent3 2 4 4" xfId="6288"/>
    <cellStyle name="20% - Accent3 2 4 4 2" xfId="14263"/>
    <cellStyle name="20% - Accent3 2 4 4 3" xfId="22210"/>
    <cellStyle name="20% - Accent3 2 4 5" xfId="9831"/>
    <cellStyle name="20% - Accent3 2 4 5 2" xfId="17789"/>
    <cellStyle name="20% - Accent3 2 4 5 3" xfId="25733"/>
    <cellStyle name="20% - Accent3 2 4 6" xfId="10727"/>
    <cellStyle name="20% - Accent3 2 4 7" xfId="18682"/>
    <cellStyle name="20% - Accent3 2 4_Exh G" xfId="2238"/>
    <cellStyle name="20% - Accent3 2 5" xfId="1174"/>
    <cellStyle name="20% - Accent3 2 5 2" xfId="4704"/>
    <cellStyle name="20% - Accent3 2 5 2 2" xfId="8295"/>
    <cellStyle name="20% - Accent3 2 5 2 2 2" xfId="16266"/>
    <cellStyle name="20% - Accent3 2 5 2 2 3" xfId="24212"/>
    <cellStyle name="20% - Accent3 2 5 2 3" xfId="12728"/>
    <cellStyle name="20% - Accent3 2 5 2 4" xfId="20683"/>
    <cellStyle name="20% - Accent3 2 5 3" xfId="6536"/>
    <cellStyle name="20% - Accent3 2 5 3 2" xfId="14508"/>
    <cellStyle name="20% - Accent3 2 5 3 3" xfId="22455"/>
    <cellStyle name="20% - Accent3 2 5 4" xfId="10972"/>
    <cellStyle name="20% - Accent3 2 5 5" xfId="18927"/>
    <cellStyle name="20% - Accent3 2 5_Exh G" xfId="2240"/>
    <cellStyle name="20% - Accent3 2 6" xfId="3825"/>
    <cellStyle name="20% - Accent3 2 6 2" xfId="7417"/>
    <cellStyle name="20% - Accent3 2 6 2 2" xfId="15388"/>
    <cellStyle name="20% - Accent3 2 6 2 3" xfId="23334"/>
    <cellStyle name="20% - Accent3 2 6 3" xfId="11850"/>
    <cellStyle name="20% - Accent3 2 6 4" xfId="19805"/>
    <cellStyle name="20% - Accent3 2 7" xfId="5645"/>
    <cellStyle name="20% - Accent3 2 7 2" xfId="13629"/>
    <cellStyle name="20% - Accent3 2 7 3" xfId="21577"/>
    <cellStyle name="20% - Accent3 2 8" xfId="9198"/>
    <cellStyle name="20% - Accent3 2 8 2" xfId="17156"/>
    <cellStyle name="20% - Accent3 2 8 3" xfId="25100"/>
    <cellStyle name="20% - Accent3 2 9" xfId="10094"/>
    <cellStyle name="20% - Accent3 2_Exh G" xfId="2229"/>
    <cellStyle name="20% - Accent3 3" xfId="150"/>
    <cellStyle name="20% - Accent3 3 10" xfId="18053"/>
    <cellStyle name="20% - Accent3 3 2" xfId="151"/>
    <cellStyle name="20% - Accent3 3 2 2" xfId="152"/>
    <cellStyle name="20% - Accent3 3 2 2 2" xfId="1180"/>
    <cellStyle name="20% - Accent3 3 2 2 2 2" xfId="4710"/>
    <cellStyle name="20% - Accent3 3 2 2 2 2 2" xfId="8301"/>
    <cellStyle name="20% - Accent3 3 2 2 2 2 2 2" xfId="16272"/>
    <cellStyle name="20% - Accent3 3 2 2 2 2 2 3" xfId="24218"/>
    <cellStyle name="20% - Accent3 3 2 2 2 2 3" xfId="12734"/>
    <cellStyle name="20% - Accent3 3 2 2 2 2 4" xfId="20689"/>
    <cellStyle name="20% - Accent3 3 2 2 2 3" xfId="6542"/>
    <cellStyle name="20% - Accent3 3 2 2 2 3 2" xfId="14514"/>
    <cellStyle name="20% - Accent3 3 2 2 2 3 3" xfId="22461"/>
    <cellStyle name="20% - Accent3 3 2 2 2 4" xfId="10978"/>
    <cellStyle name="20% - Accent3 3 2 2 2 5" xfId="18933"/>
    <cellStyle name="20% - Accent3 3 2 2 2_Exh G" xfId="2244"/>
    <cellStyle name="20% - Accent3 3 2 2 3" xfId="3831"/>
    <cellStyle name="20% - Accent3 3 2 2 3 2" xfId="7423"/>
    <cellStyle name="20% - Accent3 3 2 2 3 2 2" xfId="15394"/>
    <cellStyle name="20% - Accent3 3 2 2 3 2 3" xfId="23340"/>
    <cellStyle name="20% - Accent3 3 2 2 3 3" xfId="11856"/>
    <cellStyle name="20% - Accent3 3 2 2 3 4" xfId="19811"/>
    <cellStyle name="20% - Accent3 3 2 2 4" xfId="5651"/>
    <cellStyle name="20% - Accent3 3 2 2 4 2" xfId="13635"/>
    <cellStyle name="20% - Accent3 3 2 2 4 3" xfId="21583"/>
    <cellStyle name="20% - Accent3 3 2 2 5" xfId="9204"/>
    <cellStyle name="20% - Accent3 3 2 2 5 2" xfId="17162"/>
    <cellStyle name="20% - Accent3 3 2 2 5 3" xfId="25106"/>
    <cellStyle name="20% - Accent3 3 2 2 6" xfId="10100"/>
    <cellStyle name="20% - Accent3 3 2 2 7" xfId="18055"/>
    <cellStyle name="20% - Accent3 3 2 2_Exh G" xfId="2243"/>
    <cellStyle name="20% - Accent3 3 2 3" xfId="890"/>
    <cellStyle name="20% - Accent3 3 2 3 2" xfId="1822"/>
    <cellStyle name="20% - Accent3 3 2 3 2 2" xfId="5340"/>
    <cellStyle name="20% - Accent3 3 2 3 2 2 2" xfId="8931"/>
    <cellStyle name="20% - Accent3 3 2 3 2 2 2 2" xfId="16902"/>
    <cellStyle name="20% - Accent3 3 2 3 2 2 2 3" xfId="24848"/>
    <cellStyle name="20% - Accent3 3 2 3 2 2 3" xfId="13364"/>
    <cellStyle name="20% - Accent3 3 2 3 2 2 4" xfId="21319"/>
    <cellStyle name="20% - Accent3 3 2 3 2 3" xfId="7172"/>
    <cellStyle name="20% - Accent3 3 2 3 2 3 2" xfId="15144"/>
    <cellStyle name="20% - Accent3 3 2 3 2 3 3" xfId="23091"/>
    <cellStyle name="20% - Accent3 3 2 3 2 4" xfId="11608"/>
    <cellStyle name="20% - Accent3 3 2 3 2 5" xfId="19563"/>
    <cellStyle name="20% - Accent3 3 2 3 2_Exh G" xfId="2246"/>
    <cellStyle name="20% - Accent3 3 2 3 3" xfId="4461"/>
    <cellStyle name="20% - Accent3 3 2 3 3 2" xfId="8053"/>
    <cellStyle name="20% - Accent3 3 2 3 3 2 2" xfId="16024"/>
    <cellStyle name="20% - Accent3 3 2 3 3 2 3" xfId="23970"/>
    <cellStyle name="20% - Accent3 3 2 3 3 3" xfId="12486"/>
    <cellStyle name="20% - Accent3 3 2 3 3 4" xfId="20441"/>
    <cellStyle name="20% - Accent3 3 2 3 4" xfId="6291"/>
    <cellStyle name="20% - Accent3 3 2 3 4 2" xfId="14266"/>
    <cellStyle name="20% - Accent3 3 2 3 4 3" xfId="22213"/>
    <cellStyle name="20% - Accent3 3 2 3 5" xfId="9834"/>
    <cellStyle name="20% - Accent3 3 2 3 5 2" xfId="17792"/>
    <cellStyle name="20% - Accent3 3 2 3 5 3" xfId="25736"/>
    <cellStyle name="20% - Accent3 3 2 3 6" xfId="10730"/>
    <cellStyle name="20% - Accent3 3 2 3 7" xfId="18685"/>
    <cellStyle name="20% - Accent3 3 2 3_Exh G" xfId="2245"/>
    <cellStyle name="20% - Accent3 3 2 4" xfId="1179"/>
    <cellStyle name="20% - Accent3 3 2 4 2" xfId="4709"/>
    <cellStyle name="20% - Accent3 3 2 4 2 2" xfId="8300"/>
    <cellStyle name="20% - Accent3 3 2 4 2 2 2" xfId="16271"/>
    <cellStyle name="20% - Accent3 3 2 4 2 2 3" xfId="24217"/>
    <cellStyle name="20% - Accent3 3 2 4 2 3" xfId="12733"/>
    <cellStyle name="20% - Accent3 3 2 4 2 4" xfId="20688"/>
    <cellStyle name="20% - Accent3 3 2 4 3" xfId="6541"/>
    <cellStyle name="20% - Accent3 3 2 4 3 2" xfId="14513"/>
    <cellStyle name="20% - Accent3 3 2 4 3 3" xfId="22460"/>
    <cellStyle name="20% - Accent3 3 2 4 4" xfId="10977"/>
    <cellStyle name="20% - Accent3 3 2 4 5" xfId="18932"/>
    <cellStyle name="20% - Accent3 3 2 4_Exh G" xfId="2247"/>
    <cellStyle name="20% - Accent3 3 2 5" xfId="3830"/>
    <cellStyle name="20% - Accent3 3 2 5 2" xfId="7422"/>
    <cellStyle name="20% - Accent3 3 2 5 2 2" xfId="15393"/>
    <cellStyle name="20% - Accent3 3 2 5 2 3" xfId="23339"/>
    <cellStyle name="20% - Accent3 3 2 5 3" xfId="11855"/>
    <cellStyle name="20% - Accent3 3 2 5 4" xfId="19810"/>
    <cellStyle name="20% - Accent3 3 2 6" xfId="5650"/>
    <cellStyle name="20% - Accent3 3 2 6 2" xfId="13634"/>
    <cellStyle name="20% - Accent3 3 2 6 3" xfId="21582"/>
    <cellStyle name="20% - Accent3 3 2 7" xfId="9203"/>
    <cellStyle name="20% - Accent3 3 2 7 2" xfId="17161"/>
    <cellStyle name="20% - Accent3 3 2 7 3" xfId="25105"/>
    <cellStyle name="20% - Accent3 3 2 8" xfId="10099"/>
    <cellStyle name="20% - Accent3 3 2 9" xfId="18054"/>
    <cellStyle name="20% - Accent3 3 2_Exh G" xfId="2242"/>
    <cellStyle name="20% - Accent3 3 3" xfId="153"/>
    <cellStyle name="20% - Accent3 3 3 2" xfId="1181"/>
    <cellStyle name="20% - Accent3 3 3 2 2" xfId="4711"/>
    <cellStyle name="20% - Accent3 3 3 2 2 2" xfId="8302"/>
    <cellStyle name="20% - Accent3 3 3 2 2 2 2" xfId="16273"/>
    <cellStyle name="20% - Accent3 3 3 2 2 2 3" xfId="24219"/>
    <cellStyle name="20% - Accent3 3 3 2 2 3" xfId="12735"/>
    <cellStyle name="20% - Accent3 3 3 2 2 4" xfId="20690"/>
    <cellStyle name="20% - Accent3 3 3 2 3" xfId="6543"/>
    <cellStyle name="20% - Accent3 3 3 2 3 2" xfId="14515"/>
    <cellStyle name="20% - Accent3 3 3 2 3 3" xfId="22462"/>
    <cellStyle name="20% - Accent3 3 3 2 4" xfId="10979"/>
    <cellStyle name="20% - Accent3 3 3 2 5" xfId="18934"/>
    <cellStyle name="20% - Accent3 3 3 2_Exh G" xfId="2249"/>
    <cellStyle name="20% - Accent3 3 3 3" xfId="3832"/>
    <cellStyle name="20% - Accent3 3 3 3 2" xfId="7424"/>
    <cellStyle name="20% - Accent3 3 3 3 2 2" xfId="15395"/>
    <cellStyle name="20% - Accent3 3 3 3 2 3" xfId="23341"/>
    <cellStyle name="20% - Accent3 3 3 3 3" xfId="11857"/>
    <cellStyle name="20% - Accent3 3 3 3 4" xfId="19812"/>
    <cellStyle name="20% - Accent3 3 3 4" xfId="5652"/>
    <cellStyle name="20% - Accent3 3 3 4 2" xfId="13636"/>
    <cellStyle name="20% - Accent3 3 3 4 3" xfId="21584"/>
    <cellStyle name="20% - Accent3 3 3 5" xfId="9205"/>
    <cellStyle name="20% - Accent3 3 3 5 2" xfId="17163"/>
    <cellStyle name="20% - Accent3 3 3 5 3" xfId="25107"/>
    <cellStyle name="20% - Accent3 3 3 6" xfId="10101"/>
    <cellStyle name="20% - Accent3 3 3 7" xfId="18056"/>
    <cellStyle name="20% - Accent3 3 3_Exh G" xfId="2248"/>
    <cellStyle name="20% - Accent3 3 4" xfId="889"/>
    <cellStyle name="20% - Accent3 3 4 2" xfId="1821"/>
    <cellStyle name="20% - Accent3 3 4 2 2" xfId="5339"/>
    <cellStyle name="20% - Accent3 3 4 2 2 2" xfId="8930"/>
    <cellStyle name="20% - Accent3 3 4 2 2 2 2" xfId="16901"/>
    <cellStyle name="20% - Accent3 3 4 2 2 2 3" xfId="24847"/>
    <cellStyle name="20% - Accent3 3 4 2 2 3" xfId="13363"/>
    <cellStyle name="20% - Accent3 3 4 2 2 4" xfId="21318"/>
    <cellStyle name="20% - Accent3 3 4 2 3" xfId="7171"/>
    <cellStyle name="20% - Accent3 3 4 2 3 2" xfId="15143"/>
    <cellStyle name="20% - Accent3 3 4 2 3 3" xfId="23090"/>
    <cellStyle name="20% - Accent3 3 4 2 4" xfId="11607"/>
    <cellStyle name="20% - Accent3 3 4 2 5" xfId="19562"/>
    <cellStyle name="20% - Accent3 3 4 2_Exh G" xfId="2251"/>
    <cellStyle name="20% - Accent3 3 4 3" xfId="4460"/>
    <cellStyle name="20% - Accent3 3 4 3 2" xfId="8052"/>
    <cellStyle name="20% - Accent3 3 4 3 2 2" xfId="16023"/>
    <cellStyle name="20% - Accent3 3 4 3 2 3" xfId="23969"/>
    <cellStyle name="20% - Accent3 3 4 3 3" xfId="12485"/>
    <cellStyle name="20% - Accent3 3 4 3 4" xfId="20440"/>
    <cellStyle name="20% - Accent3 3 4 4" xfId="6290"/>
    <cellStyle name="20% - Accent3 3 4 4 2" xfId="14265"/>
    <cellStyle name="20% - Accent3 3 4 4 3" xfId="22212"/>
    <cellStyle name="20% - Accent3 3 4 5" xfId="9833"/>
    <cellStyle name="20% - Accent3 3 4 5 2" xfId="17791"/>
    <cellStyle name="20% - Accent3 3 4 5 3" xfId="25735"/>
    <cellStyle name="20% - Accent3 3 4 6" xfId="10729"/>
    <cellStyle name="20% - Accent3 3 4 7" xfId="18684"/>
    <cellStyle name="20% - Accent3 3 4_Exh G" xfId="2250"/>
    <cellStyle name="20% - Accent3 3 5" xfId="1178"/>
    <cellStyle name="20% - Accent3 3 5 2" xfId="4708"/>
    <cellStyle name="20% - Accent3 3 5 2 2" xfId="8299"/>
    <cellStyle name="20% - Accent3 3 5 2 2 2" xfId="16270"/>
    <cellStyle name="20% - Accent3 3 5 2 2 3" xfId="24216"/>
    <cellStyle name="20% - Accent3 3 5 2 3" xfId="12732"/>
    <cellStyle name="20% - Accent3 3 5 2 4" xfId="20687"/>
    <cellStyle name="20% - Accent3 3 5 3" xfId="6540"/>
    <cellStyle name="20% - Accent3 3 5 3 2" xfId="14512"/>
    <cellStyle name="20% - Accent3 3 5 3 3" xfId="22459"/>
    <cellStyle name="20% - Accent3 3 5 4" xfId="10976"/>
    <cellStyle name="20% - Accent3 3 5 5" xfId="18931"/>
    <cellStyle name="20% - Accent3 3 5_Exh G" xfId="2252"/>
    <cellStyle name="20% - Accent3 3 6" xfId="3829"/>
    <cellStyle name="20% - Accent3 3 6 2" xfId="7421"/>
    <cellStyle name="20% - Accent3 3 6 2 2" xfId="15392"/>
    <cellStyle name="20% - Accent3 3 6 2 3" xfId="23338"/>
    <cellStyle name="20% - Accent3 3 6 3" xfId="11854"/>
    <cellStyle name="20% - Accent3 3 6 4" xfId="19809"/>
    <cellStyle name="20% - Accent3 3 7" xfId="5649"/>
    <cellStyle name="20% - Accent3 3 7 2" xfId="13633"/>
    <cellStyle name="20% - Accent3 3 7 3" xfId="21581"/>
    <cellStyle name="20% - Accent3 3 8" xfId="9202"/>
    <cellStyle name="20% - Accent3 3 8 2" xfId="17160"/>
    <cellStyle name="20% - Accent3 3 8 3" xfId="25104"/>
    <cellStyle name="20% - Accent3 3 9" xfId="10098"/>
    <cellStyle name="20% - Accent3 3_Exh G" xfId="2241"/>
    <cellStyle name="20% - Accent3 4" xfId="154"/>
    <cellStyle name="20% - Accent3 4 10" xfId="18057"/>
    <cellStyle name="20% - Accent3 4 2" xfId="155"/>
    <cellStyle name="20% - Accent3 4 2 2" xfId="156"/>
    <cellStyle name="20% - Accent3 4 2 2 2" xfId="1184"/>
    <cellStyle name="20% - Accent3 4 2 2 2 2" xfId="4714"/>
    <cellStyle name="20% - Accent3 4 2 2 2 2 2" xfId="8305"/>
    <cellStyle name="20% - Accent3 4 2 2 2 2 2 2" xfId="16276"/>
    <cellStyle name="20% - Accent3 4 2 2 2 2 2 3" xfId="24222"/>
    <cellStyle name="20% - Accent3 4 2 2 2 2 3" xfId="12738"/>
    <cellStyle name="20% - Accent3 4 2 2 2 2 4" xfId="20693"/>
    <cellStyle name="20% - Accent3 4 2 2 2 3" xfId="6546"/>
    <cellStyle name="20% - Accent3 4 2 2 2 3 2" xfId="14518"/>
    <cellStyle name="20% - Accent3 4 2 2 2 3 3" xfId="22465"/>
    <cellStyle name="20% - Accent3 4 2 2 2 4" xfId="10982"/>
    <cellStyle name="20% - Accent3 4 2 2 2 5" xfId="18937"/>
    <cellStyle name="20% - Accent3 4 2 2 2_Exh G" xfId="2256"/>
    <cellStyle name="20% - Accent3 4 2 2 3" xfId="3835"/>
    <cellStyle name="20% - Accent3 4 2 2 3 2" xfId="7427"/>
    <cellStyle name="20% - Accent3 4 2 2 3 2 2" xfId="15398"/>
    <cellStyle name="20% - Accent3 4 2 2 3 2 3" xfId="23344"/>
    <cellStyle name="20% - Accent3 4 2 2 3 3" xfId="11860"/>
    <cellStyle name="20% - Accent3 4 2 2 3 4" xfId="19815"/>
    <cellStyle name="20% - Accent3 4 2 2 4" xfId="5655"/>
    <cellStyle name="20% - Accent3 4 2 2 4 2" xfId="13639"/>
    <cellStyle name="20% - Accent3 4 2 2 4 3" xfId="21587"/>
    <cellStyle name="20% - Accent3 4 2 2 5" xfId="9208"/>
    <cellStyle name="20% - Accent3 4 2 2 5 2" xfId="17166"/>
    <cellStyle name="20% - Accent3 4 2 2 5 3" xfId="25110"/>
    <cellStyle name="20% - Accent3 4 2 2 6" xfId="10104"/>
    <cellStyle name="20% - Accent3 4 2 2 7" xfId="18059"/>
    <cellStyle name="20% - Accent3 4 2 2_Exh G" xfId="2255"/>
    <cellStyle name="20% - Accent3 4 2 3" xfId="892"/>
    <cellStyle name="20% - Accent3 4 2 3 2" xfId="1824"/>
    <cellStyle name="20% - Accent3 4 2 3 2 2" xfId="5342"/>
    <cellStyle name="20% - Accent3 4 2 3 2 2 2" xfId="8933"/>
    <cellStyle name="20% - Accent3 4 2 3 2 2 2 2" xfId="16904"/>
    <cellStyle name="20% - Accent3 4 2 3 2 2 2 3" xfId="24850"/>
    <cellStyle name="20% - Accent3 4 2 3 2 2 3" xfId="13366"/>
    <cellStyle name="20% - Accent3 4 2 3 2 2 4" xfId="21321"/>
    <cellStyle name="20% - Accent3 4 2 3 2 3" xfId="7174"/>
    <cellStyle name="20% - Accent3 4 2 3 2 3 2" xfId="15146"/>
    <cellStyle name="20% - Accent3 4 2 3 2 3 3" xfId="23093"/>
    <cellStyle name="20% - Accent3 4 2 3 2 4" xfId="11610"/>
    <cellStyle name="20% - Accent3 4 2 3 2 5" xfId="19565"/>
    <cellStyle name="20% - Accent3 4 2 3 2_Exh G" xfId="2258"/>
    <cellStyle name="20% - Accent3 4 2 3 3" xfId="4463"/>
    <cellStyle name="20% - Accent3 4 2 3 3 2" xfId="8055"/>
    <cellStyle name="20% - Accent3 4 2 3 3 2 2" xfId="16026"/>
    <cellStyle name="20% - Accent3 4 2 3 3 2 3" xfId="23972"/>
    <cellStyle name="20% - Accent3 4 2 3 3 3" xfId="12488"/>
    <cellStyle name="20% - Accent3 4 2 3 3 4" xfId="20443"/>
    <cellStyle name="20% - Accent3 4 2 3 4" xfId="6293"/>
    <cellStyle name="20% - Accent3 4 2 3 4 2" xfId="14268"/>
    <cellStyle name="20% - Accent3 4 2 3 4 3" xfId="22215"/>
    <cellStyle name="20% - Accent3 4 2 3 5" xfId="9836"/>
    <cellStyle name="20% - Accent3 4 2 3 5 2" xfId="17794"/>
    <cellStyle name="20% - Accent3 4 2 3 5 3" xfId="25738"/>
    <cellStyle name="20% - Accent3 4 2 3 6" xfId="10732"/>
    <cellStyle name="20% - Accent3 4 2 3 7" xfId="18687"/>
    <cellStyle name="20% - Accent3 4 2 3_Exh G" xfId="2257"/>
    <cellStyle name="20% - Accent3 4 2 4" xfId="1183"/>
    <cellStyle name="20% - Accent3 4 2 4 2" xfId="4713"/>
    <cellStyle name="20% - Accent3 4 2 4 2 2" xfId="8304"/>
    <cellStyle name="20% - Accent3 4 2 4 2 2 2" xfId="16275"/>
    <cellStyle name="20% - Accent3 4 2 4 2 2 3" xfId="24221"/>
    <cellStyle name="20% - Accent3 4 2 4 2 3" xfId="12737"/>
    <cellStyle name="20% - Accent3 4 2 4 2 4" xfId="20692"/>
    <cellStyle name="20% - Accent3 4 2 4 3" xfId="6545"/>
    <cellStyle name="20% - Accent3 4 2 4 3 2" xfId="14517"/>
    <cellStyle name="20% - Accent3 4 2 4 3 3" xfId="22464"/>
    <cellStyle name="20% - Accent3 4 2 4 4" xfId="10981"/>
    <cellStyle name="20% - Accent3 4 2 4 5" xfId="18936"/>
    <cellStyle name="20% - Accent3 4 2 4_Exh G" xfId="2259"/>
    <cellStyle name="20% - Accent3 4 2 5" xfId="3834"/>
    <cellStyle name="20% - Accent3 4 2 5 2" xfId="7426"/>
    <cellStyle name="20% - Accent3 4 2 5 2 2" xfId="15397"/>
    <cellStyle name="20% - Accent3 4 2 5 2 3" xfId="23343"/>
    <cellStyle name="20% - Accent3 4 2 5 3" xfId="11859"/>
    <cellStyle name="20% - Accent3 4 2 5 4" xfId="19814"/>
    <cellStyle name="20% - Accent3 4 2 6" xfId="5654"/>
    <cellStyle name="20% - Accent3 4 2 6 2" xfId="13638"/>
    <cellStyle name="20% - Accent3 4 2 6 3" xfId="21586"/>
    <cellStyle name="20% - Accent3 4 2 7" xfId="9207"/>
    <cellStyle name="20% - Accent3 4 2 7 2" xfId="17165"/>
    <cellStyle name="20% - Accent3 4 2 7 3" xfId="25109"/>
    <cellStyle name="20% - Accent3 4 2 8" xfId="10103"/>
    <cellStyle name="20% - Accent3 4 2 9" xfId="18058"/>
    <cellStyle name="20% - Accent3 4 2_Exh G" xfId="2254"/>
    <cellStyle name="20% - Accent3 4 3" xfId="157"/>
    <cellStyle name="20% - Accent3 4 3 2" xfId="1185"/>
    <cellStyle name="20% - Accent3 4 3 2 2" xfId="4715"/>
    <cellStyle name="20% - Accent3 4 3 2 2 2" xfId="8306"/>
    <cellStyle name="20% - Accent3 4 3 2 2 2 2" xfId="16277"/>
    <cellStyle name="20% - Accent3 4 3 2 2 2 3" xfId="24223"/>
    <cellStyle name="20% - Accent3 4 3 2 2 3" xfId="12739"/>
    <cellStyle name="20% - Accent3 4 3 2 2 4" xfId="20694"/>
    <cellStyle name="20% - Accent3 4 3 2 3" xfId="6547"/>
    <cellStyle name="20% - Accent3 4 3 2 3 2" xfId="14519"/>
    <cellStyle name="20% - Accent3 4 3 2 3 3" xfId="22466"/>
    <cellStyle name="20% - Accent3 4 3 2 4" xfId="10983"/>
    <cellStyle name="20% - Accent3 4 3 2 5" xfId="18938"/>
    <cellStyle name="20% - Accent3 4 3 2_Exh G" xfId="2261"/>
    <cellStyle name="20% - Accent3 4 3 3" xfId="3836"/>
    <cellStyle name="20% - Accent3 4 3 3 2" xfId="7428"/>
    <cellStyle name="20% - Accent3 4 3 3 2 2" xfId="15399"/>
    <cellStyle name="20% - Accent3 4 3 3 2 3" xfId="23345"/>
    <cellStyle name="20% - Accent3 4 3 3 3" xfId="11861"/>
    <cellStyle name="20% - Accent3 4 3 3 4" xfId="19816"/>
    <cellStyle name="20% - Accent3 4 3 4" xfId="5656"/>
    <cellStyle name="20% - Accent3 4 3 4 2" xfId="13640"/>
    <cellStyle name="20% - Accent3 4 3 4 3" xfId="21588"/>
    <cellStyle name="20% - Accent3 4 3 5" xfId="9209"/>
    <cellStyle name="20% - Accent3 4 3 5 2" xfId="17167"/>
    <cellStyle name="20% - Accent3 4 3 5 3" xfId="25111"/>
    <cellStyle name="20% - Accent3 4 3 6" xfId="10105"/>
    <cellStyle name="20% - Accent3 4 3 7" xfId="18060"/>
    <cellStyle name="20% - Accent3 4 3_Exh G" xfId="2260"/>
    <cellStyle name="20% - Accent3 4 4" xfId="891"/>
    <cellStyle name="20% - Accent3 4 4 2" xfId="1823"/>
    <cellStyle name="20% - Accent3 4 4 2 2" xfId="5341"/>
    <cellStyle name="20% - Accent3 4 4 2 2 2" xfId="8932"/>
    <cellStyle name="20% - Accent3 4 4 2 2 2 2" xfId="16903"/>
    <cellStyle name="20% - Accent3 4 4 2 2 2 3" xfId="24849"/>
    <cellStyle name="20% - Accent3 4 4 2 2 3" xfId="13365"/>
    <cellStyle name="20% - Accent3 4 4 2 2 4" xfId="21320"/>
    <cellStyle name="20% - Accent3 4 4 2 3" xfId="7173"/>
    <cellStyle name="20% - Accent3 4 4 2 3 2" xfId="15145"/>
    <cellStyle name="20% - Accent3 4 4 2 3 3" xfId="23092"/>
    <cellStyle name="20% - Accent3 4 4 2 4" xfId="11609"/>
    <cellStyle name="20% - Accent3 4 4 2 5" xfId="19564"/>
    <cellStyle name="20% - Accent3 4 4 2_Exh G" xfId="2263"/>
    <cellStyle name="20% - Accent3 4 4 3" xfId="4462"/>
    <cellStyle name="20% - Accent3 4 4 3 2" xfId="8054"/>
    <cellStyle name="20% - Accent3 4 4 3 2 2" xfId="16025"/>
    <cellStyle name="20% - Accent3 4 4 3 2 3" xfId="23971"/>
    <cellStyle name="20% - Accent3 4 4 3 3" xfId="12487"/>
    <cellStyle name="20% - Accent3 4 4 3 4" xfId="20442"/>
    <cellStyle name="20% - Accent3 4 4 4" xfId="6292"/>
    <cellStyle name="20% - Accent3 4 4 4 2" xfId="14267"/>
    <cellStyle name="20% - Accent3 4 4 4 3" xfId="22214"/>
    <cellStyle name="20% - Accent3 4 4 5" xfId="9835"/>
    <cellStyle name="20% - Accent3 4 4 5 2" xfId="17793"/>
    <cellStyle name="20% - Accent3 4 4 5 3" xfId="25737"/>
    <cellStyle name="20% - Accent3 4 4 6" xfId="10731"/>
    <cellStyle name="20% - Accent3 4 4 7" xfId="18686"/>
    <cellStyle name="20% - Accent3 4 4_Exh G" xfId="2262"/>
    <cellStyle name="20% - Accent3 4 5" xfId="1182"/>
    <cellStyle name="20% - Accent3 4 5 2" xfId="4712"/>
    <cellStyle name="20% - Accent3 4 5 2 2" xfId="8303"/>
    <cellStyle name="20% - Accent3 4 5 2 2 2" xfId="16274"/>
    <cellStyle name="20% - Accent3 4 5 2 2 3" xfId="24220"/>
    <cellStyle name="20% - Accent3 4 5 2 3" xfId="12736"/>
    <cellStyle name="20% - Accent3 4 5 2 4" xfId="20691"/>
    <cellStyle name="20% - Accent3 4 5 3" xfId="6544"/>
    <cellStyle name="20% - Accent3 4 5 3 2" xfId="14516"/>
    <cellStyle name="20% - Accent3 4 5 3 3" xfId="22463"/>
    <cellStyle name="20% - Accent3 4 5 4" xfId="10980"/>
    <cellStyle name="20% - Accent3 4 5 5" xfId="18935"/>
    <cellStyle name="20% - Accent3 4 5_Exh G" xfId="2264"/>
    <cellStyle name="20% - Accent3 4 6" xfId="3833"/>
    <cellStyle name="20% - Accent3 4 6 2" xfId="7425"/>
    <cellStyle name="20% - Accent3 4 6 2 2" xfId="15396"/>
    <cellStyle name="20% - Accent3 4 6 2 3" xfId="23342"/>
    <cellStyle name="20% - Accent3 4 6 3" xfId="11858"/>
    <cellStyle name="20% - Accent3 4 6 4" xfId="19813"/>
    <cellStyle name="20% - Accent3 4 7" xfId="5653"/>
    <cellStyle name="20% - Accent3 4 7 2" xfId="13637"/>
    <cellStyle name="20% - Accent3 4 7 3" xfId="21585"/>
    <cellStyle name="20% - Accent3 4 8" xfId="9206"/>
    <cellStyle name="20% - Accent3 4 8 2" xfId="17164"/>
    <cellStyle name="20% - Accent3 4 8 3" xfId="25108"/>
    <cellStyle name="20% - Accent3 4 9" xfId="10102"/>
    <cellStyle name="20% - Accent3 4_Exh G" xfId="2253"/>
    <cellStyle name="20% - Accent3 5" xfId="158"/>
    <cellStyle name="20% - Accent3 5 10" xfId="18061"/>
    <cellStyle name="20% - Accent3 5 2" xfId="159"/>
    <cellStyle name="20% - Accent3 5 2 2" xfId="160"/>
    <cellStyle name="20% - Accent3 5 2 2 2" xfId="1188"/>
    <cellStyle name="20% - Accent3 5 2 2 2 2" xfId="4718"/>
    <cellStyle name="20% - Accent3 5 2 2 2 2 2" xfId="8309"/>
    <cellStyle name="20% - Accent3 5 2 2 2 2 2 2" xfId="16280"/>
    <cellStyle name="20% - Accent3 5 2 2 2 2 2 3" xfId="24226"/>
    <cellStyle name="20% - Accent3 5 2 2 2 2 3" xfId="12742"/>
    <cellStyle name="20% - Accent3 5 2 2 2 2 4" xfId="20697"/>
    <cellStyle name="20% - Accent3 5 2 2 2 3" xfId="6550"/>
    <cellStyle name="20% - Accent3 5 2 2 2 3 2" xfId="14522"/>
    <cellStyle name="20% - Accent3 5 2 2 2 3 3" xfId="22469"/>
    <cellStyle name="20% - Accent3 5 2 2 2 4" xfId="10986"/>
    <cellStyle name="20% - Accent3 5 2 2 2 5" xfId="18941"/>
    <cellStyle name="20% - Accent3 5 2 2 2_Exh G" xfId="2268"/>
    <cellStyle name="20% - Accent3 5 2 2 3" xfId="3839"/>
    <cellStyle name="20% - Accent3 5 2 2 3 2" xfId="7431"/>
    <cellStyle name="20% - Accent3 5 2 2 3 2 2" xfId="15402"/>
    <cellStyle name="20% - Accent3 5 2 2 3 2 3" xfId="23348"/>
    <cellStyle name="20% - Accent3 5 2 2 3 3" xfId="11864"/>
    <cellStyle name="20% - Accent3 5 2 2 3 4" xfId="19819"/>
    <cellStyle name="20% - Accent3 5 2 2 4" xfId="5659"/>
    <cellStyle name="20% - Accent3 5 2 2 4 2" xfId="13643"/>
    <cellStyle name="20% - Accent3 5 2 2 4 3" xfId="21591"/>
    <cellStyle name="20% - Accent3 5 2 2 5" xfId="9212"/>
    <cellStyle name="20% - Accent3 5 2 2 5 2" xfId="17170"/>
    <cellStyle name="20% - Accent3 5 2 2 5 3" xfId="25114"/>
    <cellStyle name="20% - Accent3 5 2 2 6" xfId="10108"/>
    <cellStyle name="20% - Accent3 5 2 2 7" xfId="18063"/>
    <cellStyle name="20% - Accent3 5 2 2_Exh G" xfId="2267"/>
    <cellStyle name="20% - Accent3 5 2 3" xfId="1187"/>
    <cellStyle name="20% - Accent3 5 2 3 2" xfId="4717"/>
    <cellStyle name="20% - Accent3 5 2 3 2 2" xfId="8308"/>
    <cellStyle name="20% - Accent3 5 2 3 2 2 2" xfId="16279"/>
    <cellStyle name="20% - Accent3 5 2 3 2 2 3" xfId="24225"/>
    <cellStyle name="20% - Accent3 5 2 3 2 3" xfId="12741"/>
    <cellStyle name="20% - Accent3 5 2 3 2 4" xfId="20696"/>
    <cellStyle name="20% - Accent3 5 2 3 3" xfId="6549"/>
    <cellStyle name="20% - Accent3 5 2 3 3 2" xfId="14521"/>
    <cellStyle name="20% - Accent3 5 2 3 3 3" xfId="22468"/>
    <cellStyle name="20% - Accent3 5 2 3 4" xfId="10985"/>
    <cellStyle name="20% - Accent3 5 2 3 5" xfId="18940"/>
    <cellStyle name="20% - Accent3 5 2 3_Exh G" xfId="2269"/>
    <cellStyle name="20% - Accent3 5 2 4" xfId="3838"/>
    <cellStyle name="20% - Accent3 5 2 4 2" xfId="7430"/>
    <cellStyle name="20% - Accent3 5 2 4 2 2" xfId="15401"/>
    <cellStyle name="20% - Accent3 5 2 4 2 3" xfId="23347"/>
    <cellStyle name="20% - Accent3 5 2 4 3" xfId="11863"/>
    <cellStyle name="20% - Accent3 5 2 4 4" xfId="19818"/>
    <cellStyle name="20% - Accent3 5 2 5" xfId="5658"/>
    <cellStyle name="20% - Accent3 5 2 5 2" xfId="13642"/>
    <cellStyle name="20% - Accent3 5 2 5 3" xfId="21590"/>
    <cellStyle name="20% - Accent3 5 2 6" xfId="9211"/>
    <cellStyle name="20% - Accent3 5 2 6 2" xfId="17169"/>
    <cellStyle name="20% - Accent3 5 2 6 3" xfId="25113"/>
    <cellStyle name="20% - Accent3 5 2 7" xfId="10107"/>
    <cellStyle name="20% - Accent3 5 2 8" xfId="18062"/>
    <cellStyle name="20% - Accent3 5 2_Exh G" xfId="2266"/>
    <cellStyle name="20% - Accent3 5 3" xfId="161"/>
    <cellStyle name="20% - Accent3 5 3 2" xfId="1189"/>
    <cellStyle name="20% - Accent3 5 3 2 2" xfId="4719"/>
    <cellStyle name="20% - Accent3 5 3 2 2 2" xfId="8310"/>
    <cellStyle name="20% - Accent3 5 3 2 2 2 2" xfId="16281"/>
    <cellStyle name="20% - Accent3 5 3 2 2 2 3" xfId="24227"/>
    <cellStyle name="20% - Accent3 5 3 2 2 3" xfId="12743"/>
    <cellStyle name="20% - Accent3 5 3 2 2 4" xfId="20698"/>
    <cellStyle name="20% - Accent3 5 3 2 3" xfId="6551"/>
    <cellStyle name="20% - Accent3 5 3 2 3 2" xfId="14523"/>
    <cellStyle name="20% - Accent3 5 3 2 3 3" xfId="22470"/>
    <cellStyle name="20% - Accent3 5 3 2 4" xfId="10987"/>
    <cellStyle name="20% - Accent3 5 3 2 5" xfId="18942"/>
    <cellStyle name="20% - Accent3 5 3 2_Exh G" xfId="2271"/>
    <cellStyle name="20% - Accent3 5 3 3" xfId="3840"/>
    <cellStyle name="20% - Accent3 5 3 3 2" xfId="7432"/>
    <cellStyle name="20% - Accent3 5 3 3 2 2" xfId="15403"/>
    <cellStyle name="20% - Accent3 5 3 3 2 3" xfId="23349"/>
    <cellStyle name="20% - Accent3 5 3 3 3" xfId="11865"/>
    <cellStyle name="20% - Accent3 5 3 3 4" xfId="19820"/>
    <cellStyle name="20% - Accent3 5 3 4" xfId="5660"/>
    <cellStyle name="20% - Accent3 5 3 4 2" xfId="13644"/>
    <cellStyle name="20% - Accent3 5 3 4 3" xfId="21592"/>
    <cellStyle name="20% - Accent3 5 3 5" xfId="9213"/>
    <cellStyle name="20% - Accent3 5 3 5 2" xfId="17171"/>
    <cellStyle name="20% - Accent3 5 3 5 3" xfId="25115"/>
    <cellStyle name="20% - Accent3 5 3 6" xfId="10109"/>
    <cellStyle name="20% - Accent3 5 3 7" xfId="18064"/>
    <cellStyle name="20% - Accent3 5 3_Exh G" xfId="2270"/>
    <cellStyle name="20% - Accent3 5 4" xfId="893"/>
    <cellStyle name="20% - Accent3 5 5" xfId="1186"/>
    <cellStyle name="20% - Accent3 5 5 2" xfId="4716"/>
    <cellStyle name="20% - Accent3 5 5 2 2" xfId="8307"/>
    <cellStyle name="20% - Accent3 5 5 2 2 2" xfId="16278"/>
    <cellStyle name="20% - Accent3 5 5 2 2 3" xfId="24224"/>
    <cellStyle name="20% - Accent3 5 5 2 3" xfId="12740"/>
    <cellStyle name="20% - Accent3 5 5 2 4" xfId="20695"/>
    <cellStyle name="20% - Accent3 5 5 3" xfId="6548"/>
    <cellStyle name="20% - Accent3 5 5 3 2" xfId="14520"/>
    <cellStyle name="20% - Accent3 5 5 3 3" xfId="22467"/>
    <cellStyle name="20% - Accent3 5 5 4" xfId="10984"/>
    <cellStyle name="20% - Accent3 5 5 5" xfId="18939"/>
    <cellStyle name="20% - Accent3 5 5_Exh G" xfId="2272"/>
    <cellStyle name="20% - Accent3 5 6" xfId="3837"/>
    <cellStyle name="20% - Accent3 5 6 2" xfId="7429"/>
    <cellStyle name="20% - Accent3 5 6 2 2" xfId="15400"/>
    <cellStyle name="20% - Accent3 5 6 2 3" xfId="23346"/>
    <cellStyle name="20% - Accent3 5 6 3" xfId="11862"/>
    <cellStyle name="20% - Accent3 5 6 4" xfId="19817"/>
    <cellStyle name="20% - Accent3 5 7" xfId="5657"/>
    <cellStyle name="20% - Accent3 5 7 2" xfId="13641"/>
    <cellStyle name="20% - Accent3 5 7 3" xfId="21589"/>
    <cellStyle name="20% - Accent3 5 8" xfId="9210"/>
    <cellStyle name="20% - Accent3 5 8 2" xfId="17168"/>
    <cellStyle name="20% - Accent3 5 8 3" xfId="25112"/>
    <cellStyle name="20% - Accent3 5 9" xfId="10106"/>
    <cellStyle name="20% - Accent3 5_Exh G" xfId="2265"/>
    <cellStyle name="20% - Accent3 6" xfId="162"/>
    <cellStyle name="20% - Accent3 6 10" xfId="18065"/>
    <cellStyle name="20% - Accent3 6 2" xfId="163"/>
    <cellStyle name="20% - Accent3 6 2 2" xfId="164"/>
    <cellStyle name="20% - Accent3 6 2 2 2" xfId="1192"/>
    <cellStyle name="20% - Accent3 6 2 2 2 2" xfId="4722"/>
    <cellStyle name="20% - Accent3 6 2 2 2 2 2" xfId="8313"/>
    <cellStyle name="20% - Accent3 6 2 2 2 2 2 2" xfId="16284"/>
    <cellStyle name="20% - Accent3 6 2 2 2 2 2 3" xfId="24230"/>
    <cellStyle name="20% - Accent3 6 2 2 2 2 3" xfId="12746"/>
    <cellStyle name="20% - Accent3 6 2 2 2 2 4" xfId="20701"/>
    <cellStyle name="20% - Accent3 6 2 2 2 3" xfId="6554"/>
    <cellStyle name="20% - Accent3 6 2 2 2 3 2" xfId="14526"/>
    <cellStyle name="20% - Accent3 6 2 2 2 3 3" xfId="22473"/>
    <cellStyle name="20% - Accent3 6 2 2 2 4" xfId="10990"/>
    <cellStyle name="20% - Accent3 6 2 2 2 5" xfId="18945"/>
    <cellStyle name="20% - Accent3 6 2 2 2_Exh G" xfId="2276"/>
    <cellStyle name="20% - Accent3 6 2 2 3" xfId="3843"/>
    <cellStyle name="20% - Accent3 6 2 2 3 2" xfId="7435"/>
    <cellStyle name="20% - Accent3 6 2 2 3 2 2" xfId="15406"/>
    <cellStyle name="20% - Accent3 6 2 2 3 2 3" xfId="23352"/>
    <cellStyle name="20% - Accent3 6 2 2 3 3" xfId="11868"/>
    <cellStyle name="20% - Accent3 6 2 2 3 4" xfId="19823"/>
    <cellStyle name="20% - Accent3 6 2 2 4" xfId="5663"/>
    <cellStyle name="20% - Accent3 6 2 2 4 2" xfId="13647"/>
    <cellStyle name="20% - Accent3 6 2 2 4 3" xfId="21595"/>
    <cellStyle name="20% - Accent3 6 2 2 5" xfId="9216"/>
    <cellStyle name="20% - Accent3 6 2 2 5 2" xfId="17174"/>
    <cellStyle name="20% - Accent3 6 2 2 5 3" xfId="25118"/>
    <cellStyle name="20% - Accent3 6 2 2 6" xfId="10112"/>
    <cellStyle name="20% - Accent3 6 2 2 7" xfId="18067"/>
    <cellStyle name="20% - Accent3 6 2 2_Exh G" xfId="2275"/>
    <cellStyle name="20% - Accent3 6 2 3" xfId="1191"/>
    <cellStyle name="20% - Accent3 6 2 3 2" xfId="4721"/>
    <cellStyle name="20% - Accent3 6 2 3 2 2" xfId="8312"/>
    <cellStyle name="20% - Accent3 6 2 3 2 2 2" xfId="16283"/>
    <cellStyle name="20% - Accent3 6 2 3 2 2 3" xfId="24229"/>
    <cellStyle name="20% - Accent3 6 2 3 2 3" xfId="12745"/>
    <cellStyle name="20% - Accent3 6 2 3 2 4" xfId="20700"/>
    <cellStyle name="20% - Accent3 6 2 3 3" xfId="6553"/>
    <cellStyle name="20% - Accent3 6 2 3 3 2" xfId="14525"/>
    <cellStyle name="20% - Accent3 6 2 3 3 3" xfId="22472"/>
    <cellStyle name="20% - Accent3 6 2 3 4" xfId="10989"/>
    <cellStyle name="20% - Accent3 6 2 3 5" xfId="18944"/>
    <cellStyle name="20% - Accent3 6 2 3_Exh G" xfId="2277"/>
    <cellStyle name="20% - Accent3 6 2 4" xfId="3842"/>
    <cellStyle name="20% - Accent3 6 2 4 2" xfId="7434"/>
    <cellStyle name="20% - Accent3 6 2 4 2 2" xfId="15405"/>
    <cellStyle name="20% - Accent3 6 2 4 2 3" xfId="23351"/>
    <cellStyle name="20% - Accent3 6 2 4 3" xfId="11867"/>
    <cellStyle name="20% - Accent3 6 2 4 4" xfId="19822"/>
    <cellStyle name="20% - Accent3 6 2 5" xfId="5662"/>
    <cellStyle name="20% - Accent3 6 2 5 2" xfId="13646"/>
    <cellStyle name="20% - Accent3 6 2 5 3" xfId="21594"/>
    <cellStyle name="20% - Accent3 6 2 6" xfId="9215"/>
    <cellStyle name="20% - Accent3 6 2 6 2" xfId="17173"/>
    <cellStyle name="20% - Accent3 6 2 6 3" xfId="25117"/>
    <cellStyle name="20% - Accent3 6 2 7" xfId="10111"/>
    <cellStyle name="20% - Accent3 6 2 8" xfId="18066"/>
    <cellStyle name="20% - Accent3 6 2_Exh G" xfId="2274"/>
    <cellStyle name="20% - Accent3 6 3" xfId="165"/>
    <cellStyle name="20% - Accent3 6 3 2" xfId="1193"/>
    <cellStyle name="20% - Accent3 6 3 2 2" xfId="4723"/>
    <cellStyle name="20% - Accent3 6 3 2 2 2" xfId="8314"/>
    <cellStyle name="20% - Accent3 6 3 2 2 2 2" xfId="16285"/>
    <cellStyle name="20% - Accent3 6 3 2 2 2 3" xfId="24231"/>
    <cellStyle name="20% - Accent3 6 3 2 2 3" xfId="12747"/>
    <cellStyle name="20% - Accent3 6 3 2 2 4" xfId="20702"/>
    <cellStyle name="20% - Accent3 6 3 2 3" xfId="6555"/>
    <cellStyle name="20% - Accent3 6 3 2 3 2" xfId="14527"/>
    <cellStyle name="20% - Accent3 6 3 2 3 3" xfId="22474"/>
    <cellStyle name="20% - Accent3 6 3 2 4" xfId="10991"/>
    <cellStyle name="20% - Accent3 6 3 2 5" xfId="18946"/>
    <cellStyle name="20% - Accent3 6 3 2_Exh G" xfId="2279"/>
    <cellStyle name="20% - Accent3 6 3 3" xfId="3844"/>
    <cellStyle name="20% - Accent3 6 3 3 2" xfId="7436"/>
    <cellStyle name="20% - Accent3 6 3 3 2 2" xfId="15407"/>
    <cellStyle name="20% - Accent3 6 3 3 2 3" xfId="23353"/>
    <cellStyle name="20% - Accent3 6 3 3 3" xfId="11869"/>
    <cellStyle name="20% - Accent3 6 3 3 4" xfId="19824"/>
    <cellStyle name="20% - Accent3 6 3 4" xfId="5664"/>
    <cellStyle name="20% - Accent3 6 3 4 2" xfId="13648"/>
    <cellStyle name="20% - Accent3 6 3 4 3" xfId="21596"/>
    <cellStyle name="20% - Accent3 6 3 5" xfId="9217"/>
    <cellStyle name="20% - Accent3 6 3 5 2" xfId="17175"/>
    <cellStyle name="20% - Accent3 6 3 5 3" xfId="25119"/>
    <cellStyle name="20% - Accent3 6 3 6" xfId="10113"/>
    <cellStyle name="20% - Accent3 6 3 7" xfId="18068"/>
    <cellStyle name="20% - Accent3 6 3_Exh G" xfId="2278"/>
    <cellStyle name="20% - Accent3 6 4" xfId="894"/>
    <cellStyle name="20% - Accent3 6 4 2" xfId="1825"/>
    <cellStyle name="20% - Accent3 6 4 2 2" xfId="5343"/>
    <cellStyle name="20% - Accent3 6 4 2 2 2" xfId="8934"/>
    <cellStyle name="20% - Accent3 6 4 2 2 2 2" xfId="16905"/>
    <cellStyle name="20% - Accent3 6 4 2 2 2 3" xfId="24851"/>
    <cellStyle name="20% - Accent3 6 4 2 2 3" xfId="13367"/>
    <cellStyle name="20% - Accent3 6 4 2 2 4" xfId="21322"/>
    <cellStyle name="20% - Accent3 6 4 2 3" xfId="7175"/>
    <cellStyle name="20% - Accent3 6 4 2 3 2" xfId="15147"/>
    <cellStyle name="20% - Accent3 6 4 2 3 3" xfId="23094"/>
    <cellStyle name="20% - Accent3 6 4 2 4" xfId="11611"/>
    <cellStyle name="20% - Accent3 6 4 2 5" xfId="19566"/>
    <cellStyle name="20% - Accent3 6 4 2_Exh G" xfId="2281"/>
    <cellStyle name="20% - Accent3 6 4 3" xfId="4464"/>
    <cellStyle name="20% - Accent3 6 4 3 2" xfId="8056"/>
    <cellStyle name="20% - Accent3 6 4 3 2 2" xfId="16027"/>
    <cellStyle name="20% - Accent3 6 4 3 2 3" xfId="23973"/>
    <cellStyle name="20% - Accent3 6 4 3 3" xfId="12489"/>
    <cellStyle name="20% - Accent3 6 4 3 4" xfId="20444"/>
    <cellStyle name="20% - Accent3 6 4 4" xfId="6294"/>
    <cellStyle name="20% - Accent3 6 4 4 2" xfId="14269"/>
    <cellStyle name="20% - Accent3 6 4 4 3" xfId="22216"/>
    <cellStyle name="20% - Accent3 6 4 5" xfId="9837"/>
    <cellStyle name="20% - Accent3 6 4 5 2" xfId="17795"/>
    <cellStyle name="20% - Accent3 6 4 5 3" xfId="25739"/>
    <cellStyle name="20% - Accent3 6 4 6" xfId="10733"/>
    <cellStyle name="20% - Accent3 6 4 7" xfId="18688"/>
    <cellStyle name="20% - Accent3 6 4_Exh G" xfId="2280"/>
    <cellStyle name="20% - Accent3 6 5" xfId="1190"/>
    <cellStyle name="20% - Accent3 6 5 2" xfId="4720"/>
    <cellStyle name="20% - Accent3 6 5 2 2" xfId="8311"/>
    <cellStyle name="20% - Accent3 6 5 2 2 2" xfId="16282"/>
    <cellStyle name="20% - Accent3 6 5 2 2 3" xfId="24228"/>
    <cellStyle name="20% - Accent3 6 5 2 3" xfId="12744"/>
    <cellStyle name="20% - Accent3 6 5 2 4" xfId="20699"/>
    <cellStyle name="20% - Accent3 6 5 3" xfId="6552"/>
    <cellStyle name="20% - Accent3 6 5 3 2" xfId="14524"/>
    <cellStyle name="20% - Accent3 6 5 3 3" xfId="22471"/>
    <cellStyle name="20% - Accent3 6 5 4" xfId="10988"/>
    <cellStyle name="20% - Accent3 6 5 5" xfId="18943"/>
    <cellStyle name="20% - Accent3 6 5_Exh G" xfId="2282"/>
    <cellStyle name="20% - Accent3 6 6" xfId="3841"/>
    <cellStyle name="20% - Accent3 6 6 2" xfId="7433"/>
    <cellStyle name="20% - Accent3 6 6 2 2" xfId="15404"/>
    <cellStyle name="20% - Accent3 6 6 2 3" xfId="23350"/>
    <cellStyle name="20% - Accent3 6 6 3" xfId="11866"/>
    <cellStyle name="20% - Accent3 6 6 4" xfId="19821"/>
    <cellStyle name="20% - Accent3 6 7" xfId="5661"/>
    <cellStyle name="20% - Accent3 6 7 2" xfId="13645"/>
    <cellStyle name="20% - Accent3 6 7 3" xfId="21593"/>
    <cellStyle name="20% - Accent3 6 8" xfId="9214"/>
    <cellStyle name="20% - Accent3 6 8 2" xfId="17172"/>
    <cellStyle name="20% - Accent3 6 8 3" xfId="25116"/>
    <cellStyle name="20% - Accent3 6 9" xfId="10110"/>
    <cellStyle name="20% - Accent3 6_Exh G" xfId="2273"/>
    <cellStyle name="20% - Accent3 7" xfId="166"/>
    <cellStyle name="20% - Accent3 7 10" xfId="18069"/>
    <cellStyle name="20% - Accent3 7 2" xfId="167"/>
    <cellStyle name="20% - Accent3 7 2 2" xfId="168"/>
    <cellStyle name="20% - Accent3 7 2 2 2" xfId="1196"/>
    <cellStyle name="20% - Accent3 7 2 2 2 2" xfId="4726"/>
    <cellStyle name="20% - Accent3 7 2 2 2 2 2" xfId="8317"/>
    <cellStyle name="20% - Accent3 7 2 2 2 2 2 2" xfId="16288"/>
    <cellStyle name="20% - Accent3 7 2 2 2 2 2 3" xfId="24234"/>
    <cellStyle name="20% - Accent3 7 2 2 2 2 3" xfId="12750"/>
    <cellStyle name="20% - Accent3 7 2 2 2 2 4" xfId="20705"/>
    <cellStyle name="20% - Accent3 7 2 2 2 3" xfId="6558"/>
    <cellStyle name="20% - Accent3 7 2 2 2 3 2" xfId="14530"/>
    <cellStyle name="20% - Accent3 7 2 2 2 3 3" xfId="22477"/>
    <cellStyle name="20% - Accent3 7 2 2 2 4" xfId="10994"/>
    <cellStyle name="20% - Accent3 7 2 2 2 5" xfId="18949"/>
    <cellStyle name="20% - Accent3 7 2 2 2_Exh G" xfId="2286"/>
    <cellStyle name="20% - Accent3 7 2 2 3" xfId="3847"/>
    <cellStyle name="20% - Accent3 7 2 2 3 2" xfId="7439"/>
    <cellStyle name="20% - Accent3 7 2 2 3 2 2" xfId="15410"/>
    <cellStyle name="20% - Accent3 7 2 2 3 2 3" xfId="23356"/>
    <cellStyle name="20% - Accent3 7 2 2 3 3" xfId="11872"/>
    <cellStyle name="20% - Accent3 7 2 2 3 4" xfId="19827"/>
    <cellStyle name="20% - Accent3 7 2 2 4" xfId="5667"/>
    <cellStyle name="20% - Accent3 7 2 2 4 2" xfId="13651"/>
    <cellStyle name="20% - Accent3 7 2 2 4 3" xfId="21599"/>
    <cellStyle name="20% - Accent3 7 2 2 5" xfId="9220"/>
    <cellStyle name="20% - Accent3 7 2 2 5 2" xfId="17178"/>
    <cellStyle name="20% - Accent3 7 2 2 5 3" xfId="25122"/>
    <cellStyle name="20% - Accent3 7 2 2 6" xfId="10116"/>
    <cellStyle name="20% - Accent3 7 2 2 7" xfId="18071"/>
    <cellStyle name="20% - Accent3 7 2 2_Exh G" xfId="2285"/>
    <cellStyle name="20% - Accent3 7 2 3" xfId="1195"/>
    <cellStyle name="20% - Accent3 7 2 3 2" xfId="4725"/>
    <cellStyle name="20% - Accent3 7 2 3 2 2" xfId="8316"/>
    <cellStyle name="20% - Accent3 7 2 3 2 2 2" xfId="16287"/>
    <cellStyle name="20% - Accent3 7 2 3 2 2 3" xfId="24233"/>
    <cellStyle name="20% - Accent3 7 2 3 2 3" xfId="12749"/>
    <cellStyle name="20% - Accent3 7 2 3 2 4" xfId="20704"/>
    <cellStyle name="20% - Accent3 7 2 3 3" xfId="6557"/>
    <cellStyle name="20% - Accent3 7 2 3 3 2" xfId="14529"/>
    <cellStyle name="20% - Accent3 7 2 3 3 3" xfId="22476"/>
    <cellStyle name="20% - Accent3 7 2 3 4" xfId="10993"/>
    <cellStyle name="20% - Accent3 7 2 3 5" xfId="18948"/>
    <cellStyle name="20% - Accent3 7 2 3_Exh G" xfId="2287"/>
    <cellStyle name="20% - Accent3 7 2 4" xfId="3846"/>
    <cellStyle name="20% - Accent3 7 2 4 2" xfId="7438"/>
    <cellStyle name="20% - Accent3 7 2 4 2 2" xfId="15409"/>
    <cellStyle name="20% - Accent3 7 2 4 2 3" xfId="23355"/>
    <cellStyle name="20% - Accent3 7 2 4 3" xfId="11871"/>
    <cellStyle name="20% - Accent3 7 2 4 4" xfId="19826"/>
    <cellStyle name="20% - Accent3 7 2 5" xfId="5666"/>
    <cellStyle name="20% - Accent3 7 2 5 2" xfId="13650"/>
    <cellStyle name="20% - Accent3 7 2 5 3" xfId="21598"/>
    <cellStyle name="20% - Accent3 7 2 6" xfId="9219"/>
    <cellStyle name="20% - Accent3 7 2 6 2" xfId="17177"/>
    <cellStyle name="20% - Accent3 7 2 6 3" xfId="25121"/>
    <cellStyle name="20% - Accent3 7 2 7" xfId="10115"/>
    <cellStyle name="20% - Accent3 7 2 8" xfId="18070"/>
    <cellStyle name="20% - Accent3 7 2_Exh G" xfId="2284"/>
    <cellStyle name="20% - Accent3 7 3" xfId="169"/>
    <cellStyle name="20% - Accent3 7 3 2" xfId="1197"/>
    <cellStyle name="20% - Accent3 7 3 2 2" xfId="4727"/>
    <cellStyle name="20% - Accent3 7 3 2 2 2" xfId="8318"/>
    <cellStyle name="20% - Accent3 7 3 2 2 2 2" xfId="16289"/>
    <cellStyle name="20% - Accent3 7 3 2 2 2 3" xfId="24235"/>
    <cellStyle name="20% - Accent3 7 3 2 2 3" xfId="12751"/>
    <cellStyle name="20% - Accent3 7 3 2 2 4" xfId="20706"/>
    <cellStyle name="20% - Accent3 7 3 2 3" xfId="6559"/>
    <cellStyle name="20% - Accent3 7 3 2 3 2" xfId="14531"/>
    <cellStyle name="20% - Accent3 7 3 2 3 3" xfId="22478"/>
    <cellStyle name="20% - Accent3 7 3 2 4" xfId="10995"/>
    <cellStyle name="20% - Accent3 7 3 2 5" xfId="18950"/>
    <cellStyle name="20% - Accent3 7 3 2_Exh G" xfId="2289"/>
    <cellStyle name="20% - Accent3 7 3 3" xfId="3848"/>
    <cellStyle name="20% - Accent3 7 3 3 2" xfId="7440"/>
    <cellStyle name="20% - Accent3 7 3 3 2 2" xfId="15411"/>
    <cellStyle name="20% - Accent3 7 3 3 2 3" xfId="23357"/>
    <cellStyle name="20% - Accent3 7 3 3 3" xfId="11873"/>
    <cellStyle name="20% - Accent3 7 3 3 4" xfId="19828"/>
    <cellStyle name="20% - Accent3 7 3 4" xfId="5668"/>
    <cellStyle name="20% - Accent3 7 3 4 2" xfId="13652"/>
    <cellStyle name="20% - Accent3 7 3 4 3" xfId="21600"/>
    <cellStyle name="20% - Accent3 7 3 5" xfId="9221"/>
    <cellStyle name="20% - Accent3 7 3 5 2" xfId="17179"/>
    <cellStyle name="20% - Accent3 7 3 5 3" xfId="25123"/>
    <cellStyle name="20% - Accent3 7 3 6" xfId="10117"/>
    <cellStyle name="20% - Accent3 7 3 7" xfId="18072"/>
    <cellStyle name="20% - Accent3 7 3_Exh G" xfId="2288"/>
    <cellStyle name="20% - Accent3 7 4" xfId="895"/>
    <cellStyle name="20% - Accent3 7 4 2" xfId="1826"/>
    <cellStyle name="20% - Accent3 7 4 2 2" xfId="5344"/>
    <cellStyle name="20% - Accent3 7 4 2 2 2" xfId="8935"/>
    <cellStyle name="20% - Accent3 7 4 2 2 2 2" xfId="16906"/>
    <cellStyle name="20% - Accent3 7 4 2 2 2 3" xfId="24852"/>
    <cellStyle name="20% - Accent3 7 4 2 2 3" xfId="13368"/>
    <cellStyle name="20% - Accent3 7 4 2 2 4" xfId="21323"/>
    <cellStyle name="20% - Accent3 7 4 2 3" xfId="7176"/>
    <cellStyle name="20% - Accent3 7 4 2 3 2" xfId="15148"/>
    <cellStyle name="20% - Accent3 7 4 2 3 3" xfId="23095"/>
    <cellStyle name="20% - Accent3 7 4 2 4" xfId="11612"/>
    <cellStyle name="20% - Accent3 7 4 2 5" xfId="19567"/>
    <cellStyle name="20% - Accent3 7 4 2_Exh G" xfId="2291"/>
    <cellStyle name="20% - Accent3 7 4 3" xfId="4465"/>
    <cellStyle name="20% - Accent3 7 4 3 2" xfId="8057"/>
    <cellStyle name="20% - Accent3 7 4 3 2 2" xfId="16028"/>
    <cellStyle name="20% - Accent3 7 4 3 2 3" xfId="23974"/>
    <cellStyle name="20% - Accent3 7 4 3 3" xfId="12490"/>
    <cellStyle name="20% - Accent3 7 4 3 4" xfId="20445"/>
    <cellStyle name="20% - Accent3 7 4 4" xfId="6295"/>
    <cellStyle name="20% - Accent3 7 4 4 2" xfId="14270"/>
    <cellStyle name="20% - Accent3 7 4 4 3" xfId="22217"/>
    <cellStyle name="20% - Accent3 7 4 5" xfId="9838"/>
    <cellStyle name="20% - Accent3 7 4 5 2" xfId="17796"/>
    <cellStyle name="20% - Accent3 7 4 5 3" xfId="25740"/>
    <cellStyle name="20% - Accent3 7 4 6" xfId="10734"/>
    <cellStyle name="20% - Accent3 7 4 7" xfId="18689"/>
    <cellStyle name="20% - Accent3 7 4_Exh G" xfId="2290"/>
    <cellStyle name="20% - Accent3 7 5" xfId="1194"/>
    <cellStyle name="20% - Accent3 7 5 2" xfId="4724"/>
    <cellStyle name="20% - Accent3 7 5 2 2" xfId="8315"/>
    <cellStyle name="20% - Accent3 7 5 2 2 2" xfId="16286"/>
    <cellStyle name="20% - Accent3 7 5 2 2 3" xfId="24232"/>
    <cellStyle name="20% - Accent3 7 5 2 3" xfId="12748"/>
    <cellStyle name="20% - Accent3 7 5 2 4" xfId="20703"/>
    <cellStyle name="20% - Accent3 7 5 3" xfId="6556"/>
    <cellStyle name="20% - Accent3 7 5 3 2" xfId="14528"/>
    <cellStyle name="20% - Accent3 7 5 3 3" xfId="22475"/>
    <cellStyle name="20% - Accent3 7 5 4" xfId="10992"/>
    <cellStyle name="20% - Accent3 7 5 5" xfId="18947"/>
    <cellStyle name="20% - Accent3 7 5_Exh G" xfId="2292"/>
    <cellStyle name="20% - Accent3 7 6" xfId="3845"/>
    <cellStyle name="20% - Accent3 7 6 2" xfId="7437"/>
    <cellStyle name="20% - Accent3 7 6 2 2" xfId="15408"/>
    <cellStyle name="20% - Accent3 7 6 2 3" xfId="23354"/>
    <cellStyle name="20% - Accent3 7 6 3" xfId="11870"/>
    <cellStyle name="20% - Accent3 7 6 4" xfId="19825"/>
    <cellStyle name="20% - Accent3 7 7" xfId="5665"/>
    <cellStyle name="20% - Accent3 7 7 2" xfId="13649"/>
    <cellStyle name="20% - Accent3 7 7 3" xfId="21597"/>
    <cellStyle name="20% - Accent3 7 8" xfId="9218"/>
    <cellStyle name="20% - Accent3 7 8 2" xfId="17176"/>
    <cellStyle name="20% - Accent3 7 8 3" xfId="25120"/>
    <cellStyle name="20% - Accent3 7 9" xfId="10114"/>
    <cellStyle name="20% - Accent3 7_Exh G" xfId="2283"/>
    <cellStyle name="20% - Accent3 8" xfId="170"/>
    <cellStyle name="20% - Accent3 8 10" xfId="18073"/>
    <cellStyle name="20% - Accent3 8 2" xfId="171"/>
    <cellStyle name="20% - Accent3 8 2 2" xfId="172"/>
    <cellStyle name="20% - Accent3 8 2 2 2" xfId="1200"/>
    <cellStyle name="20% - Accent3 8 2 2 2 2" xfId="4730"/>
    <cellStyle name="20% - Accent3 8 2 2 2 2 2" xfId="8321"/>
    <cellStyle name="20% - Accent3 8 2 2 2 2 2 2" xfId="16292"/>
    <cellStyle name="20% - Accent3 8 2 2 2 2 2 3" xfId="24238"/>
    <cellStyle name="20% - Accent3 8 2 2 2 2 3" xfId="12754"/>
    <cellStyle name="20% - Accent3 8 2 2 2 2 4" xfId="20709"/>
    <cellStyle name="20% - Accent3 8 2 2 2 3" xfId="6562"/>
    <cellStyle name="20% - Accent3 8 2 2 2 3 2" xfId="14534"/>
    <cellStyle name="20% - Accent3 8 2 2 2 3 3" xfId="22481"/>
    <cellStyle name="20% - Accent3 8 2 2 2 4" xfId="10998"/>
    <cellStyle name="20% - Accent3 8 2 2 2 5" xfId="18953"/>
    <cellStyle name="20% - Accent3 8 2 2 2_Exh G" xfId="2296"/>
    <cellStyle name="20% - Accent3 8 2 2 3" xfId="3851"/>
    <cellStyle name="20% - Accent3 8 2 2 3 2" xfId="7443"/>
    <cellStyle name="20% - Accent3 8 2 2 3 2 2" xfId="15414"/>
    <cellStyle name="20% - Accent3 8 2 2 3 2 3" xfId="23360"/>
    <cellStyle name="20% - Accent3 8 2 2 3 3" xfId="11876"/>
    <cellStyle name="20% - Accent3 8 2 2 3 4" xfId="19831"/>
    <cellStyle name="20% - Accent3 8 2 2 4" xfId="5671"/>
    <cellStyle name="20% - Accent3 8 2 2 4 2" xfId="13655"/>
    <cellStyle name="20% - Accent3 8 2 2 4 3" xfId="21603"/>
    <cellStyle name="20% - Accent3 8 2 2 5" xfId="9224"/>
    <cellStyle name="20% - Accent3 8 2 2 5 2" xfId="17182"/>
    <cellStyle name="20% - Accent3 8 2 2 5 3" xfId="25126"/>
    <cellStyle name="20% - Accent3 8 2 2 6" xfId="10120"/>
    <cellStyle name="20% - Accent3 8 2 2 7" xfId="18075"/>
    <cellStyle name="20% - Accent3 8 2 2_Exh G" xfId="2295"/>
    <cellStyle name="20% - Accent3 8 2 3" xfId="1199"/>
    <cellStyle name="20% - Accent3 8 2 3 2" xfId="4729"/>
    <cellStyle name="20% - Accent3 8 2 3 2 2" xfId="8320"/>
    <cellStyle name="20% - Accent3 8 2 3 2 2 2" xfId="16291"/>
    <cellStyle name="20% - Accent3 8 2 3 2 2 3" xfId="24237"/>
    <cellStyle name="20% - Accent3 8 2 3 2 3" xfId="12753"/>
    <cellStyle name="20% - Accent3 8 2 3 2 4" xfId="20708"/>
    <cellStyle name="20% - Accent3 8 2 3 3" xfId="6561"/>
    <cellStyle name="20% - Accent3 8 2 3 3 2" xfId="14533"/>
    <cellStyle name="20% - Accent3 8 2 3 3 3" xfId="22480"/>
    <cellStyle name="20% - Accent3 8 2 3 4" xfId="10997"/>
    <cellStyle name="20% - Accent3 8 2 3 5" xfId="18952"/>
    <cellStyle name="20% - Accent3 8 2 3_Exh G" xfId="2297"/>
    <cellStyle name="20% - Accent3 8 2 4" xfId="3850"/>
    <cellStyle name="20% - Accent3 8 2 4 2" xfId="7442"/>
    <cellStyle name="20% - Accent3 8 2 4 2 2" xfId="15413"/>
    <cellStyle name="20% - Accent3 8 2 4 2 3" xfId="23359"/>
    <cellStyle name="20% - Accent3 8 2 4 3" xfId="11875"/>
    <cellStyle name="20% - Accent3 8 2 4 4" xfId="19830"/>
    <cellStyle name="20% - Accent3 8 2 5" xfId="5670"/>
    <cellStyle name="20% - Accent3 8 2 5 2" xfId="13654"/>
    <cellStyle name="20% - Accent3 8 2 5 3" xfId="21602"/>
    <cellStyle name="20% - Accent3 8 2 6" xfId="9223"/>
    <cellStyle name="20% - Accent3 8 2 6 2" xfId="17181"/>
    <cellStyle name="20% - Accent3 8 2 6 3" xfId="25125"/>
    <cellStyle name="20% - Accent3 8 2 7" xfId="10119"/>
    <cellStyle name="20% - Accent3 8 2 8" xfId="18074"/>
    <cellStyle name="20% - Accent3 8 2_Exh G" xfId="2294"/>
    <cellStyle name="20% - Accent3 8 3" xfId="173"/>
    <cellStyle name="20% - Accent3 8 3 2" xfId="1201"/>
    <cellStyle name="20% - Accent3 8 3 2 2" xfId="4731"/>
    <cellStyle name="20% - Accent3 8 3 2 2 2" xfId="8322"/>
    <cellStyle name="20% - Accent3 8 3 2 2 2 2" xfId="16293"/>
    <cellStyle name="20% - Accent3 8 3 2 2 2 3" xfId="24239"/>
    <cellStyle name="20% - Accent3 8 3 2 2 3" xfId="12755"/>
    <cellStyle name="20% - Accent3 8 3 2 2 4" xfId="20710"/>
    <cellStyle name="20% - Accent3 8 3 2 3" xfId="6563"/>
    <cellStyle name="20% - Accent3 8 3 2 3 2" xfId="14535"/>
    <cellStyle name="20% - Accent3 8 3 2 3 3" xfId="22482"/>
    <cellStyle name="20% - Accent3 8 3 2 4" xfId="10999"/>
    <cellStyle name="20% - Accent3 8 3 2 5" xfId="18954"/>
    <cellStyle name="20% - Accent3 8 3 2_Exh G" xfId="2299"/>
    <cellStyle name="20% - Accent3 8 3 3" xfId="3852"/>
    <cellStyle name="20% - Accent3 8 3 3 2" xfId="7444"/>
    <cellStyle name="20% - Accent3 8 3 3 2 2" xfId="15415"/>
    <cellStyle name="20% - Accent3 8 3 3 2 3" xfId="23361"/>
    <cellStyle name="20% - Accent3 8 3 3 3" xfId="11877"/>
    <cellStyle name="20% - Accent3 8 3 3 4" xfId="19832"/>
    <cellStyle name="20% - Accent3 8 3 4" xfId="5672"/>
    <cellStyle name="20% - Accent3 8 3 4 2" xfId="13656"/>
    <cellStyle name="20% - Accent3 8 3 4 3" xfId="21604"/>
    <cellStyle name="20% - Accent3 8 3 5" xfId="9225"/>
    <cellStyle name="20% - Accent3 8 3 5 2" xfId="17183"/>
    <cellStyle name="20% - Accent3 8 3 5 3" xfId="25127"/>
    <cellStyle name="20% - Accent3 8 3 6" xfId="10121"/>
    <cellStyle name="20% - Accent3 8 3 7" xfId="18076"/>
    <cellStyle name="20% - Accent3 8 3_Exh G" xfId="2298"/>
    <cellStyle name="20% - Accent3 8 4" xfId="896"/>
    <cellStyle name="20% - Accent3 8 4 2" xfId="1827"/>
    <cellStyle name="20% - Accent3 8 4 2 2" xfId="5345"/>
    <cellStyle name="20% - Accent3 8 4 2 2 2" xfId="8936"/>
    <cellStyle name="20% - Accent3 8 4 2 2 2 2" xfId="16907"/>
    <cellStyle name="20% - Accent3 8 4 2 2 2 3" xfId="24853"/>
    <cellStyle name="20% - Accent3 8 4 2 2 3" xfId="13369"/>
    <cellStyle name="20% - Accent3 8 4 2 2 4" xfId="21324"/>
    <cellStyle name="20% - Accent3 8 4 2 3" xfId="7177"/>
    <cellStyle name="20% - Accent3 8 4 2 3 2" xfId="15149"/>
    <cellStyle name="20% - Accent3 8 4 2 3 3" xfId="23096"/>
    <cellStyle name="20% - Accent3 8 4 2 4" xfId="11613"/>
    <cellStyle name="20% - Accent3 8 4 2 5" xfId="19568"/>
    <cellStyle name="20% - Accent3 8 4 2_Exh G" xfId="2301"/>
    <cellStyle name="20% - Accent3 8 4 3" xfId="4466"/>
    <cellStyle name="20% - Accent3 8 4 3 2" xfId="8058"/>
    <cellStyle name="20% - Accent3 8 4 3 2 2" xfId="16029"/>
    <cellStyle name="20% - Accent3 8 4 3 2 3" xfId="23975"/>
    <cellStyle name="20% - Accent3 8 4 3 3" xfId="12491"/>
    <cellStyle name="20% - Accent3 8 4 3 4" xfId="20446"/>
    <cellStyle name="20% - Accent3 8 4 4" xfId="6296"/>
    <cellStyle name="20% - Accent3 8 4 4 2" xfId="14271"/>
    <cellStyle name="20% - Accent3 8 4 4 3" xfId="22218"/>
    <cellStyle name="20% - Accent3 8 4 5" xfId="9839"/>
    <cellStyle name="20% - Accent3 8 4 5 2" xfId="17797"/>
    <cellStyle name="20% - Accent3 8 4 5 3" xfId="25741"/>
    <cellStyle name="20% - Accent3 8 4 6" xfId="10735"/>
    <cellStyle name="20% - Accent3 8 4 7" xfId="18690"/>
    <cellStyle name="20% - Accent3 8 4_Exh G" xfId="2300"/>
    <cellStyle name="20% - Accent3 8 5" xfId="1198"/>
    <cellStyle name="20% - Accent3 8 5 2" xfId="4728"/>
    <cellStyle name="20% - Accent3 8 5 2 2" xfId="8319"/>
    <cellStyle name="20% - Accent3 8 5 2 2 2" xfId="16290"/>
    <cellStyle name="20% - Accent3 8 5 2 2 3" xfId="24236"/>
    <cellStyle name="20% - Accent3 8 5 2 3" xfId="12752"/>
    <cellStyle name="20% - Accent3 8 5 2 4" xfId="20707"/>
    <cellStyle name="20% - Accent3 8 5 3" xfId="6560"/>
    <cellStyle name="20% - Accent3 8 5 3 2" xfId="14532"/>
    <cellStyle name="20% - Accent3 8 5 3 3" xfId="22479"/>
    <cellStyle name="20% - Accent3 8 5 4" xfId="10996"/>
    <cellStyle name="20% - Accent3 8 5 5" xfId="18951"/>
    <cellStyle name="20% - Accent3 8 5_Exh G" xfId="2302"/>
    <cellStyle name="20% - Accent3 8 6" xfId="3849"/>
    <cellStyle name="20% - Accent3 8 6 2" xfId="7441"/>
    <cellStyle name="20% - Accent3 8 6 2 2" xfId="15412"/>
    <cellStyle name="20% - Accent3 8 6 2 3" xfId="23358"/>
    <cellStyle name="20% - Accent3 8 6 3" xfId="11874"/>
    <cellStyle name="20% - Accent3 8 6 4" xfId="19829"/>
    <cellStyle name="20% - Accent3 8 7" xfId="5669"/>
    <cellStyle name="20% - Accent3 8 7 2" xfId="13653"/>
    <cellStyle name="20% - Accent3 8 7 3" xfId="21601"/>
    <cellStyle name="20% - Accent3 8 8" xfId="9222"/>
    <cellStyle name="20% - Accent3 8 8 2" xfId="17180"/>
    <cellStyle name="20% - Accent3 8 8 3" xfId="25124"/>
    <cellStyle name="20% - Accent3 8 9" xfId="10118"/>
    <cellStyle name="20% - Accent3 8_Exh G" xfId="2293"/>
    <cellStyle name="20% - Accent3 9" xfId="174"/>
    <cellStyle name="20% - Accent3 9 10" xfId="18077"/>
    <cellStyle name="20% - Accent3 9 2" xfId="175"/>
    <cellStyle name="20% - Accent3 9 2 2" xfId="176"/>
    <cellStyle name="20% - Accent3 9 2 2 2" xfId="1204"/>
    <cellStyle name="20% - Accent3 9 2 2 2 2" xfId="4734"/>
    <cellStyle name="20% - Accent3 9 2 2 2 2 2" xfId="8325"/>
    <cellStyle name="20% - Accent3 9 2 2 2 2 2 2" xfId="16296"/>
    <cellStyle name="20% - Accent3 9 2 2 2 2 2 3" xfId="24242"/>
    <cellStyle name="20% - Accent3 9 2 2 2 2 3" xfId="12758"/>
    <cellStyle name="20% - Accent3 9 2 2 2 2 4" xfId="20713"/>
    <cellStyle name="20% - Accent3 9 2 2 2 3" xfId="6566"/>
    <cellStyle name="20% - Accent3 9 2 2 2 3 2" xfId="14538"/>
    <cellStyle name="20% - Accent3 9 2 2 2 3 3" xfId="22485"/>
    <cellStyle name="20% - Accent3 9 2 2 2 4" xfId="11002"/>
    <cellStyle name="20% - Accent3 9 2 2 2 5" xfId="18957"/>
    <cellStyle name="20% - Accent3 9 2 2 2_Exh G" xfId="2306"/>
    <cellStyle name="20% - Accent3 9 2 2 3" xfId="3855"/>
    <cellStyle name="20% - Accent3 9 2 2 3 2" xfId="7447"/>
    <cellStyle name="20% - Accent3 9 2 2 3 2 2" xfId="15418"/>
    <cellStyle name="20% - Accent3 9 2 2 3 2 3" xfId="23364"/>
    <cellStyle name="20% - Accent3 9 2 2 3 3" xfId="11880"/>
    <cellStyle name="20% - Accent3 9 2 2 3 4" xfId="19835"/>
    <cellStyle name="20% - Accent3 9 2 2 4" xfId="5675"/>
    <cellStyle name="20% - Accent3 9 2 2 4 2" xfId="13659"/>
    <cellStyle name="20% - Accent3 9 2 2 4 3" xfId="21607"/>
    <cellStyle name="20% - Accent3 9 2 2 5" xfId="9228"/>
    <cellStyle name="20% - Accent3 9 2 2 5 2" xfId="17186"/>
    <cellStyle name="20% - Accent3 9 2 2 5 3" xfId="25130"/>
    <cellStyle name="20% - Accent3 9 2 2 6" xfId="10124"/>
    <cellStyle name="20% - Accent3 9 2 2 7" xfId="18079"/>
    <cellStyle name="20% - Accent3 9 2 2_Exh G" xfId="2305"/>
    <cellStyle name="20% - Accent3 9 2 3" xfId="1203"/>
    <cellStyle name="20% - Accent3 9 2 3 2" xfId="4733"/>
    <cellStyle name="20% - Accent3 9 2 3 2 2" xfId="8324"/>
    <cellStyle name="20% - Accent3 9 2 3 2 2 2" xfId="16295"/>
    <cellStyle name="20% - Accent3 9 2 3 2 2 3" xfId="24241"/>
    <cellStyle name="20% - Accent3 9 2 3 2 3" xfId="12757"/>
    <cellStyle name="20% - Accent3 9 2 3 2 4" xfId="20712"/>
    <cellStyle name="20% - Accent3 9 2 3 3" xfId="6565"/>
    <cellStyle name="20% - Accent3 9 2 3 3 2" xfId="14537"/>
    <cellStyle name="20% - Accent3 9 2 3 3 3" xfId="22484"/>
    <cellStyle name="20% - Accent3 9 2 3 4" xfId="11001"/>
    <cellStyle name="20% - Accent3 9 2 3 5" xfId="18956"/>
    <cellStyle name="20% - Accent3 9 2 3_Exh G" xfId="2307"/>
    <cellStyle name="20% - Accent3 9 2 4" xfId="3854"/>
    <cellStyle name="20% - Accent3 9 2 4 2" xfId="7446"/>
    <cellStyle name="20% - Accent3 9 2 4 2 2" xfId="15417"/>
    <cellStyle name="20% - Accent3 9 2 4 2 3" xfId="23363"/>
    <cellStyle name="20% - Accent3 9 2 4 3" xfId="11879"/>
    <cellStyle name="20% - Accent3 9 2 4 4" xfId="19834"/>
    <cellStyle name="20% - Accent3 9 2 5" xfId="5674"/>
    <cellStyle name="20% - Accent3 9 2 5 2" xfId="13658"/>
    <cellStyle name="20% - Accent3 9 2 5 3" xfId="21606"/>
    <cellStyle name="20% - Accent3 9 2 6" xfId="9227"/>
    <cellStyle name="20% - Accent3 9 2 6 2" xfId="17185"/>
    <cellStyle name="20% - Accent3 9 2 6 3" xfId="25129"/>
    <cellStyle name="20% - Accent3 9 2 7" xfId="10123"/>
    <cellStyle name="20% - Accent3 9 2 8" xfId="18078"/>
    <cellStyle name="20% - Accent3 9 2_Exh G" xfId="2304"/>
    <cellStyle name="20% - Accent3 9 3" xfId="177"/>
    <cellStyle name="20% - Accent3 9 3 2" xfId="1205"/>
    <cellStyle name="20% - Accent3 9 3 2 2" xfId="4735"/>
    <cellStyle name="20% - Accent3 9 3 2 2 2" xfId="8326"/>
    <cellStyle name="20% - Accent3 9 3 2 2 2 2" xfId="16297"/>
    <cellStyle name="20% - Accent3 9 3 2 2 2 3" xfId="24243"/>
    <cellStyle name="20% - Accent3 9 3 2 2 3" xfId="12759"/>
    <cellStyle name="20% - Accent3 9 3 2 2 4" xfId="20714"/>
    <cellStyle name="20% - Accent3 9 3 2 3" xfId="6567"/>
    <cellStyle name="20% - Accent3 9 3 2 3 2" xfId="14539"/>
    <cellStyle name="20% - Accent3 9 3 2 3 3" xfId="22486"/>
    <cellStyle name="20% - Accent3 9 3 2 4" xfId="11003"/>
    <cellStyle name="20% - Accent3 9 3 2 5" xfId="18958"/>
    <cellStyle name="20% - Accent3 9 3 2_Exh G" xfId="2309"/>
    <cellStyle name="20% - Accent3 9 3 3" xfId="3856"/>
    <cellStyle name="20% - Accent3 9 3 3 2" xfId="7448"/>
    <cellStyle name="20% - Accent3 9 3 3 2 2" xfId="15419"/>
    <cellStyle name="20% - Accent3 9 3 3 2 3" xfId="23365"/>
    <cellStyle name="20% - Accent3 9 3 3 3" xfId="11881"/>
    <cellStyle name="20% - Accent3 9 3 3 4" xfId="19836"/>
    <cellStyle name="20% - Accent3 9 3 4" xfId="5676"/>
    <cellStyle name="20% - Accent3 9 3 4 2" xfId="13660"/>
    <cellStyle name="20% - Accent3 9 3 4 3" xfId="21608"/>
    <cellStyle name="20% - Accent3 9 3 5" xfId="9229"/>
    <cellStyle name="20% - Accent3 9 3 5 2" xfId="17187"/>
    <cellStyle name="20% - Accent3 9 3 5 3" xfId="25131"/>
    <cellStyle name="20% - Accent3 9 3 6" xfId="10125"/>
    <cellStyle name="20% - Accent3 9 3 7" xfId="18080"/>
    <cellStyle name="20% - Accent3 9 3_Exh G" xfId="2308"/>
    <cellStyle name="20% - Accent3 9 4" xfId="897"/>
    <cellStyle name="20% - Accent3 9 4 2" xfId="1828"/>
    <cellStyle name="20% - Accent3 9 4 2 2" xfId="5346"/>
    <cellStyle name="20% - Accent3 9 4 2 2 2" xfId="8937"/>
    <cellStyle name="20% - Accent3 9 4 2 2 2 2" xfId="16908"/>
    <cellStyle name="20% - Accent3 9 4 2 2 2 3" xfId="24854"/>
    <cellStyle name="20% - Accent3 9 4 2 2 3" xfId="13370"/>
    <cellStyle name="20% - Accent3 9 4 2 2 4" xfId="21325"/>
    <cellStyle name="20% - Accent3 9 4 2 3" xfId="7178"/>
    <cellStyle name="20% - Accent3 9 4 2 3 2" xfId="15150"/>
    <cellStyle name="20% - Accent3 9 4 2 3 3" xfId="23097"/>
    <cellStyle name="20% - Accent3 9 4 2 4" xfId="11614"/>
    <cellStyle name="20% - Accent3 9 4 2 5" xfId="19569"/>
    <cellStyle name="20% - Accent3 9 4 2_Exh G" xfId="2311"/>
    <cellStyle name="20% - Accent3 9 4 3" xfId="4467"/>
    <cellStyle name="20% - Accent3 9 4 3 2" xfId="8059"/>
    <cellStyle name="20% - Accent3 9 4 3 2 2" xfId="16030"/>
    <cellStyle name="20% - Accent3 9 4 3 2 3" xfId="23976"/>
    <cellStyle name="20% - Accent3 9 4 3 3" xfId="12492"/>
    <cellStyle name="20% - Accent3 9 4 3 4" xfId="20447"/>
    <cellStyle name="20% - Accent3 9 4 4" xfId="6297"/>
    <cellStyle name="20% - Accent3 9 4 4 2" xfId="14272"/>
    <cellStyle name="20% - Accent3 9 4 4 3" xfId="22219"/>
    <cellStyle name="20% - Accent3 9 4 5" xfId="9840"/>
    <cellStyle name="20% - Accent3 9 4 5 2" xfId="17798"/>
    <cellStyle name="20% - Accent3 9 4 5 3" xfId="25742"/>
    <cellStyle name="20% - Accent3 9 4 6" xfId="10736"/>
    <cellStyle name="20% - Accent3 9 4 7" xfId="18691"/>
    <cellStyle name="20% - Accent3 9 4_Exh G" xfId="2310"/>
    <cellStyle name="20% - Accent3 9 5" xfId="1202"/>
    <cellStyle name="20% - Accent3 9 5 2" xfId="4732"/>
    <cellStyle name="20% - Accent3 9 5 2 2" xfId="8323"/>
    <cellStyle name="20% - Accent3 9 5 2 2 2" xfId="16294"/>
    <cellStyle name="20% - Accent3 9 5 2 2 3" xfId="24240"/>
    <cellStyle name="20% - Accent3 9 5 2 3" xfId="12756"/>
    <cellStyle name="20% - Accent3 9 5 2 4" xfId="20711"/>
    <cellStyle name="20% - Accent3 9 5 3" xfId="6564"/>
    <cellStyle name="20% - Accent3 9 5 3 2" xfId="14536"/>
    <cellStyle name="20% - Accent3 9 5 3 3" xfId="22483"/>
    <cellStyle name="20% - Accent3 9 5 4" xfId="11000"/>
    <cellStyle name="20% - Accent3 9 5 5" xfId="18955"/>
    <cellStyle name="20% - Accent3 9 5_Exh G" xfId="2312"/>
    <cellStyle name="20% - Accent3 9 6" xfId="3853"/>
    <cellStyle name="20% - Accent3 9 6 2" xfId="7445"/>
    <cellStyle name="20% - Accent3 9 6 2 2" xfId="15416"/>
    <cellStyle name="20% - Accent3 9 6 2 3" xfId="23362"/>
    <cellStyle name="20% - Accent3 9 6 3" xfId="11878"/>
    <cellStyle name="20% - Accent3 9 6 4" xfId="19833"/>
    <cellStyle name="20% - Accent3 9 7" xfId="5673"/>
    <cellStyle name="20% - Accent3 9 7 2" xfId="13657"/>
    <cellStyle name="20% - Accent3 9 7 3" xfId="21605"/>
    <cellStyle name="20% - Accent3 9 8" xfId="9226"/>
    <cellStyle name="20% - Accent3 9 8 2" xfId="17184"/>
    <cellStyle name="20% - Accent3 9 8 3" xfId="25128"/>
    <cellStyle name="20% - Accent3 9 9" xfId="10122"/>
    <cellStyle name="20% - Accent3 9_Exh G" xfId="2303"/>
    <cellStyle name="20% - Accent4 10" xfId="178"/>
    <cellStyle name="20% - Accent4 10 10" xfId="18081"/>
    <cellStyle name="20% - Accent4 10 2" xfId="179"/>
    <cellStyle name="20% - Accent4 10 2 2" xfId="180"/>
    <cellStyle name="20% - Accent4 10 2 2 2" xfId="1208"/>
    <cellStyle name="20% - Accent4 10 2 2 2 2" xfId="4738"/>
    <cellStyle name="20% - Accent4 10 2 2 2 2 2" xfId="8329"/>
    <cellStyle name="20% - Accent4 10 2 2 2 2 2 2" xfId="16300"/>
    <cellStyle name="20% - Accent4 10 2 2 2 2 2 3" xfId="24246"/>
    <cellStyle name="20% - Accent4 10 2 2 2 2 3" xfId="12762"/>
    <cellStyle name="20% - Accent4 10 2 2 2 2 4" xfId="20717"/>
    <cellStyle name="20% - Accent4 10 2 2 2 3" xfId="6570"/>
    <cellStyle name="20% - Accent4 10 2 2 2 3 2" xfId="14542"/>
    <cellStyle name="20% - Accent4 10 2 2 2 3 3" xfId="22489"/>
    <cellStyle name="20% - Accent4 10 2 2 2 4" xfId="11006"/>
    <cellStyle name="20% - Accent4 10 2 2 2 5" xfId="18961"/>
    <cellStyle name="20% - Accent4 10 2 2 2_Exh G" xfId="2316"/>
    <cellStyle name="20% - Accent4 10 2 2 3" xfId="3859"/>
    <cellStyle name="20% - Accent4 10 2 2 3 2" xfId="7451"/>
    <cellStyle name="20% - Accent4 10 2 2 3 2 2" xfId="15422"/>
    <cellStyle name="20% - Accent4 10 2 2 3 2 3" xfId="23368"/>
    <cellStyle name="20% - Accent4 10 2 2 3 3" xfId="11884"/>
    <cellStyle name="20% - Accent4 10 2 2 3 4" xfId="19839"/>
    <cellStyle name="20% - Accent4 10 2 2 4" xfId="5679"/>
    <cellStyle name="20% - Accent4 10 2 2 4 2" xfId="13663"/>
    <cellStyle name="20% - Accent4 10 2 2 4 3" xfId="21611"/>
    <cellStyle name="20% - Accent4 10 2 2 5" xfId="9232"/>
    <cellStyle name="20% - Accent4 10 2 2 5 2" xfId="17190"/>
    <cellStyle name="20% - Accent4 10 2 2 5 3" xfId="25134"/>
    <cellStyle name="20% - Accent4 10 2 2 6" xfId="10128"/>
    <cellStyle name="20% - Accent4 10 2 2 7" xfId="18083"/>
    <cellStyle name="20% - Accent4 10 2 2_Exh G" xfId="2315"/>
    <cellStyle name="20% - Accent4 10 2 3" xfId="1207"/>
    <cellStyle name="20% - Accent4 10 2 3 2" xfId="4737"/>
    <cellStyle name="20% - Accent4 10 2 3 2 2" xfId="8328"/>
    <cellStyle name="20% - Accent4 10 2 3 2 2 2" xfId="16299"/>
    <cellStyle name="20% - Accent4 10 2 3 2 2 3" xfId="24245"/>
    <cellStyle name="20% - Accent4 10 2 3 2 3" xfId="12761"/>
    <cellStyle name="20% - Accent4 10 2 3 2 4" xfId="20716"/>
    <cellStyle name="20% - Accent4 10 2 3 3" xfId="6569"/>
    <cellStyle name="20% - Accent4 10 2 3 3 2" xfId="14541"/>
    <cellStyle name="20% - Accent4 10 2 3 3 3" xfId="22488"/>
    <cellStyle name="20% - Accent4 10 2 3 4" xfId="11005"/>
    <cellStyle name="20% - Accent4 10 2 3 5" xfId="18960"/>
    <cellStyle name="20% - Accent4 10 2 3_Exh G" xfId="2317"/>
    <cellStyle name="20% - Accent4 10 2 4" xfId="3858"/>
    <cellStyle name="20% - Accent4 10 2 4 2" xfId="7450"/>
    <cellStyle name="20% - Accent4 10 2 4 2 2" xfId="15421"/>
    <cellStyle name="20% - Accent4 10 2 4 2 3" xfId="23367"/>
    <cellStyle name="20% - Accent4 10 2 4 3" xfId="11883"/>
    <cellStyle name="20% - Accent4 10 2 4 4" xfId="19838"/>
    <cellStyle name="20% - Accent4 10 2 5" xfId="5678"/>
    <cellStyle name="20% - Accent4 10 2 5 2" xfId="13662"/>
    <cellStyle name="20% - Accent4 10 2 5 3" xfId="21610"/>
    <cellStyle name="20% - Accent4 10 2 6" xfId="9231"/>
    <cellStyle name="20% - Accent4 10 2 6 2" xfId="17189"/>
    <cellStyle name="20% - Accent4 10 2 6 3" xfId="25133"/>
    <cellStyle name="20% - Accent4 10 2 7" xfId="10127"/>
    <cellStyle name="20% - Accent4 10 2 8" xfId="18082"/>
    <cellStyle name="20% - Accent4 10 2_Exh G" xfId="2314"/>
    <cellStyle name="20% - Accent4 10 3" xfId="181"/>
    <cellStyle name="20% - Accent4 10 3 2" xfId="1209"/>
    <cellStyle name="20% - Accent4 10 3 2 2" xfId="4739"/>
    <cellStyle name="20% - Accent4 10 3 2 2 2" xfId="8330"/>
    <cellStyle name="20% - Accent4 10 3 2 2 2 2" xfId="16301"/>
    <cellStyle name="20% - Accent4 10 3 2 2 2 3" xfId="24247"/>
    <cellStyle name="20% - Accent4 10 3 2 2 3" xfId="12763"/>
    <cellStyle name="20% - Accent4 10 3 2 2 4" xfId="20718"/>
    <cellStyle name="20% - Accent4 10 3 2 3" xfId="6571"/>
    <cellStyle name="20% - Accent4 10 3 2 3 2" xfId="14543"/>
    <cellStyle name="20% - Accent4 10 3 2 3 3" xfId="22490"/>
    <cellStyle name="20% - Accent4 10 3 2 4" xfId="11007"/>
    <cellStyle name="20% - Accent4 10 3 2 5" xfId="18962"/>
    <cellStyle name="20% - Accent4 10 3 2_Exh G" xfId="2319"/>
    <cellStyle name="20% - Accent4 10 3 3" xfId="3860"/>
    <cellStyle name="20% - Accent4 10 3 3 2" xfId="7452"/>
    <cellStyle name="20% - Accent4 10 3 3 2 2" xfId="15423"/>
    <cellStyle name="20% - Accent4 10 3 3 2 3" xfId="23369"/>
    <cellStyle name="20% - Accent4 10 3 3 3" xfId="11885"/>
    <cellStyle name="20% - Accent4 10 3 3 4" xfId="19840"/>
    <cellStyle name="20% - Accent4 10 3 4" xfId="5680"/>
    <cellStyle name="20% - Accent4 10 3 4 2" xfId="13664"/>
    <cellStyle name="20% - Accent4 10 3 4 3" xfId="21612"/>
    <cellStyle name="20% - Accent4 10 3 5" xfId="9233"/>
    <cellStyle name="20% - Accent4 10 3 5 2" xfId="17191"/>
    <cellStyle name="20% - Accent4 10 3 5 3" xfId="25135"/>
    <cellStyle name="20% - Accent4 10 3 6" xfId="10129"/>
    <cellStyle name="20% - Accent4 10 3 7" xfId="18084"/>
    <cellStyle name="20% - Accent4 10 3_Exh G" xfId="2318"/>
    <cellStyle name="20% - Accent4 10 4" xfId="898"/>
    <cellStyle name="20% - Accent4 10 5" xfId="1206"/>
    <cellStyle name="20% - Accent4 10 5 2" xfId="4736"/>
    <cellStyle name="20% - Accent4 10 5 2 2" xfId="8327"/>
    <cellStyle name="20% - Accent4 10 5 2 2 2" xfId="16298"/>
    <cellStyle name="20% - Accent4 10 5 2 2 3" xfId="24244"/>
    <cellStyle name="20% - Accent4 10 5 2 3" xfId="12760"/>
    <cellStyle name="20% - Accent4 10 5 2 4" xfId="20715"/>
    <cellStyle name="20% - Accent4 10 5 3" xfId="6568"/>
    <cellStyle name="20% - Accent4 10 5 3 2" xfId="14540"/>
    <cellStyle name="20% - Accent4 10 5 3 3" xfId="22487"/>
    <cellStyle name="20% - Accent4 10 5 4" xfId="11004"/>
    <cellStyle name="20% - Accent4 10 5 5" xfId="18959"/>
    <cellStyle name="20% - Accent4 10 5_Exh G" xfId="2320"/>
    <cellStyle name="20% - Accent4 10 6" xfId="3857"/>
    <cellStyle name="20% - Accent4 10 6 2" xfId="7449"/>
    <cellStyle name="20% - Accent4 10 6 2 2" xfId="15420"/>
    <cellStyle name="20% - Accent4 10 6 2 3" xfId="23366"/>
    <cellStyle name="20% - Accent4 10 6 3" xfId="11882"/>
    <cellStyle name="20% - Accent4 10 6 4" xfId="19837"/>
    <cellStyle name="20% - Accent4 10 7" xfId="5677"/>
    <cellStyle name="20% - Accent4 10 7 2" xfId="13661"/>
    <cellStyle name="20% - Accent4 10 7 3" xfId="21609"/>
    <cellStyle name="20% - Accent4 10 8" xfId="9230"/>
    <cellStyle name="20% - Accent4 10 8 2" xfId="17188"/>
    <cellStyle name="20% - Accent4 10 8 3" xfId="25132"/>
    <cellStyle name="20% - Accent4 10 9" xfId="10126"/>
    <cellStyle name="20% - Accent4 10_Exh G" xfId="2313"/>
    <cellStyle name="20% - Accent4 11" xfId="182"/>
    <cellStyle name="20% - Accent4 11 2" xfId="183"/>
    <cellStyle name="20% - Accent4 11 2 2" xfId="184"/>
    <cellStyle name="20% - Accent4 11 2 2 2" xfId="1212"/>
    <cellStyle name="20% - Accent4 11 2 2 2 2" xfId="4742"/>
    <cellStyle name="20% - Accent4 11 2 2 2 2 2" xfId="8333"/>
    <cellStyle name="20% - Accent4 11 2 2 2 2 2 2" xfId="16304"/>
    <cellStyle name="20% - Accent4 11 2 2 2 2 2 3" xfId="24250"/>
    <cellStyle name="20% - Accent4 11 2 2 2 2 3" xfId="12766"/>
    <cellStyle name="20% - Accent4 11 2 2 2 2 4" xfId="20721"/>
    <cellStyle name="20% - Accent4 11 2 2 2 3" xfId="6574"/>
    <cellStyle name="20% - Accent4 11 2 2 2 3 2" xfId="14546"/>
    <cellStyle name="20% - Accent4 11 2 2 2 3 3" xfId="22493"/>
    <cellStyle name="20% - Accent4 11 2 2 2 4" xfId="11010"/>
    <cellStyle name="20% - Accent4 11 2 2 2 5" xfId="18965"/>
    <cellStyle name="20% - Accent4 11 2 2 2_Exh G" xfId="2324"/>
    <cellStyle name="20% - Accent4 11 2 2 3" xfId="3863"/>
    <cellStyle name="20% - Accent4 11 2 2 3 2" xfId="7455"/>
    <cellStyle name="20% - Accent4 11 2 2 3 2 2" xfId="15426"/>
    <cellStyle name="20% - Accent4 11 2 2 3 2 3" xfId="23372"/>
    <cellStyle name="20% - Accent4 11 2 2 3 3" xfId="11888"/>
    <cellStyle name="20% - Accent4 11 2 2 3 4" xfId="19843"/>
    <cellStyle name="20% - Accent4 11 2 2 4" xfId="5683"/>
    <cellStyle name="20% - Accent4 11 2 2 4 2" xfId="13667"/>
    <cellStyle name="20% - Accent4 11 2 2 4 3" xfId="21615"/>
    <cellStyle name="20% - Accent4 11 2 2 5" xfId="9236"/>
    <cellStyle name="20% - Accent4 11 2 2 5 2" xfId="17194"/>
    <cellStyle name="20% - Accent4 11 2 2 5 3" xfId="25138"/>
    <cellStyle name="20% - Accent4 11 2 2 6" xfId="10132"/>
    <cellStyle name="20% - Accent4 11 2 2 7" xfId="18087"/>
    <cellStyle name="20% - Accent4 11 2 2_Exh G" xfId="2323"/>
    <cellStyle name="20% - Accent4 11 2 3" xfId="1211"/>
    <cellStyle name="20% - Accent4 11 2 3 2" xfId="4741"/>
    <cellStyle name="20% - Accent4 11 2 3 2 2" xfId="8332"/>
    <cellStyle name="20% - Accent4 11 2 3 2 2 2" xfId="16303"/>
    <cellStyle name="20% - Accent4 11 2 3 2 2 3" xfId="24249"/>
    <cellStyle name="20% - Accent4 11 2 3 2 3" xfId="12765"/>
    <cellStyle name="20% - Accent4 11 2 3 2 4" xfId="20720"/>
    <cellStyle name="20% - Accent4 11 2 3 3" xfId="6573"/>
    <cellStyle name="20% - Accent4 11 2 3 3 2" xfId="14545"/>
    <cellStyle name="20% - Accent4 11 2 3 3 3" xfId="22492"/>
    <cellStyle name="20% - Accent4 11 2 3 4" xfId="11009"/>
    <cellStyle name="20% - Accent4 11 2 3 5" xfId="18964"/>
    <cellStyle name="20% - Accent4 11 2 3_Exh G" xfId="2325"/>
    <cellStyle name="20% - Accent4 11 2 4" xfId="3862"/>
    <cellStyle name="20% - Accent4 11 2 4 2" xfId="7454"/>
    <cellStyle name="20% - Accent4 11 2 4 2 2" xfId="15425"/>
    <cellStyle name="20% - Accent4 11 2 4 2 3" xfId="23371"/>
    <cellStyle name="20% - Accent4 11 2 4 3" xfId="11887"/>
    <cellStyle name="20% - Accent4 11 2 4 4" xfId="19842"/>
    <cellStyle name="20% - Accent4 11 2 5" xfId="5682"/>
    <cellStyle name="20% - Accent4 11 2 5 2" xfId="13666"/>
    <cellStyle name="20% - Accent4 11 2 5 3" xfId="21614"/>
    <cellStyle name="20% - Accent4 11 2 6" xfId="9235"/>
    <cellStyle name="20% - Accent4 11 2 6 2" xfId="17193"/>
    <cellStyle name="20% - Accent4 11 2 6 3" xfId="25137"/>
    <cellStyle name="20% - Accent4 11 2 7" xfId="10131"/>
    <cellStyle name="20% - Accent4 11 2 8" xfId="18086"/>
    <cellStyle name="20% - Accent4 11 2_Exh G" xfId="2322"/>
    <cellStyle name="20% - Accent4 11 3" xfId="185"/>
    <cellStyle name="20% - Accent4 11 3 2" xfId="1213"/>
    <cellStyle name="20% - Accent4 11 3 2 2" xfId="4743"/>
    <cellStyle name="20% - Accent4 11 3 2 2 2" xfId="8334"/>
    <cellStyle name="20% - Accent4 11 3 2 2 2 2" xfId="16305"/>
    <cellStyle name="20% - Accent4 11 3 2 2 2 3" xfId="24251"/>
    <cellStyle name="20% - Accent4 11 3 2 2 3" xfId="12767"/>
    <cellStyle name="20% - Accent4 11 3 2 2 4" xfId="20722"/>
    <cellStyle name="20% - Accent4 11 3 2 3" xfId="6575"/>
    <cellStyle name="20% - Accent4 11 3 2 3 2" xfId="14547"/>
    <cellStyle name="20% - Accent4 11 3 2 3 3" xfId="22494"/>
    <cellStyle name="20% - Accent4 11 3 2 4" xfId="11011"/>
    <cellStyle name="20% - Accent4 11 3 2 5" xfId="18966"/>
    <cellStyle name="20% - Accent4 11 3 2_Exh G" xfId="2327"/>
    <cellStyle name="20% - Accent4 11 3 3" xfId="3864"/>
    <cellStyle name="20% - Accent4 11 3 3 2" xfId="7456"/>
    <cellStyle name="20% - Accent4 11 3 3 2 2" xfId="15427"/>
    <cellStyle name="20% - Accent4 11 3 3 2 3" xfId="23373"/>
    <cellStyle name="20% - Accent4 11 3 3 3" xfId="11889"/>
    <cellStyle name="20% - Accent4 11 3 3 4" xfId="19844"/>
    <cellStyle name="20% - Accent4 11 3 4" xfId="5684"/>
    <cellStyle name="20% - Accent4 11 3 4 2" xfId="13668"/>
    <cellStyle name="20% - Accent4 11 3 4 3" xfId="21616"/>
    <cellStyle name="20% - Accent4 11 3 5" xfId="9237"/>
    <cellStyle name="20% - Accent4 11 3 5 2" xfId="17195"/>
    <cellStyle name="20% - Accent4 11 3 5 3" xfId="25139"/>
    <cellStyle name="20% - Accent4 11 3 6" xfId="10133"/>
    <cellStyle name="20% - Accent4 11 3 7" xfId="18088"/>
    <cellStyle name="20% - Accent4 11 3_Exh G" xfId="2326"/>
    <cellStyle name="20% - Accent4 11 4" xfId="1210"/>
    <cellStyle name="20% - Accent4 11 4 2" xfId="4740"/>
    <cellStyle name="20% - Accent4 11 4 2 2" xfId="8331"/>
    <cellStyle name="20% - Accent4 11 4 2 2 2" xfId="16302"/>
    <cellStyle name="20% - Accent4 11 4 2 2 3" xfId="24248"/>
    <cellStyle name="20% - Accent4 11 4 2 3" xfId="12764"/>
    <cellStyle name="20% - Accent4 11 4 2 4" xfId="20719"/>
    <cellStyle name="20% - Accent4 11 4 3" xfId="6572"/>
    <cellStyle name="20% - Accent4 11 4 3 2" xfId="14544"/>
    <cellStyle name="20% - Accent4 11 4 3 3" xfId="22491"/>
    <cellStyle name="20% - Accent4 11 4 4" xfId="11008"/>
    <cellStyle name="20% - Accent4 11 4 5" xfId="18963"/>
    <cellStyle name="20% - Accent4 11 4_Exh G" xfId="2328"/>
    <cellStyle name="20% - Accent4 11 5" xfId="3861"/>
    <cellStyle name="20% - Accent4 11 5 2" xfId="7453"/>
    <cellStyle name="20% - Accent4 11 5 2 2" xfId="15424"/>
    <cellStyle name="20% - Accent4 11 5 2 3" xfId="23370"/>
    <cellStyle name="20% - Accent4 11 5 3" xfId="11886"/>
    <cellStyle name="20% - Accent4 11 5 4" xfId="19841"/>
    <cellStyle name="20% - Accent4 11 6" xfId="5681"/>
    <cellStyle name="20% - Accent4 11 6 2" xfId="13665"/>
    <cellStyle name="20% - Accent4 11 6 3" xfId="21613"/>
    <cellStyle name="20% - Accent4 11 7" xfId="9234"/>
    <cellStyle name="20% - Accent4 11 7 2" xfId="17192"/>
    <cellStyle name="20% - Accent4 11 7 3" xfId="25136"/>
    <cellStyle name="20% - Accent4 11 8" xfId="10130"/>
    <cellStyle name="20% - Accent4 11 9" xfId="18085"/>
    <cellStyle name="20% - Accent4 11_Exh G" xfId="2321"/>
    <cellStyle name="20% - Accent4 12" xfId="186"/>
    <cellStyle name="20% - Accent4 12 2" xfId="187"/>
    <cellStyle name="20% - Accent4 12 2 2" xfId="188"/>
    <cellStyle name="20% - Accent4 12 2 2 2" xfId="1216"/>
    <cellStyle name="20% - Accent4 12 2 2 2 2" xfId="4746"/>
    <cellStyle name="20% - Accent4 12 2 2 2 2 2" xfId="8337"/>
    <cellStyle name="20% - Accent4 12 2 2 2 2 2 2" xfId="16308"/>
    <cellStyle name="20% - Accent4 12 2 2 2 2 2 3" xfId="24254"/>
    <cellStyle name="20% - Accent4 12 2 2 2 2 3" xfId="12770"/>
    <cellStyle name="20% - Accent4 12 2 2 2 2 4" xfId="20725"/>
    <cellStyle name="20% - Accent4 12 2 2 2 3" xfId="6578"/>
    <cellStyle name="20% - Accent4 12 2 2 2 3 2" xfId="14550"/>
    <cellStyle name="20% - Accent4 12 2 2 2 3 3" xfId="22497"/>
    <cellStyle name="20% - Accent4 12 2 2 2 4" xfId="11014"/>
    <cellStyle name="20% - Accent4 12 2 2 2 5" xfId="18969"/>
    <cellStyle name="20% - Accent4 12 2 2 2_Exh G" xfId="2332"/>
    <cellStyle name="20% - Accent4 12 2 2 3" xfId="3867"/>
    <cellStyle name="20% - Accent4 12 2 2 3 2" xfId="7459"/>
    <cellStyle name="20% - Accent4 12 2 2 3 2 2" xfId="15430"/>
    <cellStyle name="20% - Accent4 12 2 2 3 2 3" xfId="23376"/>
    <cellStyle name="20% - Accent4 12 2 2 3 3" xfId="11892"/>
    <cellStyle name="20% - Accent4 12 2 2 3 4" xfId="19847"/>
    <cellStyle name="20% - Accent4 12 2 2 4" xfId="5687"/>
    <cellStyle name="20% - Accent4 12 2 2 4 2" xfId="13671"/>
    <cellStyle name="20% - Accent4 12 2 2 4 3" xfId="21619"/>
    <cellStyle name="20% - Accent4 12 2 2 5" xfId="9240"/>
    <cellStyle name="20% - Accent4 12 2 2 5 2" xfId="17198"/>
    <cellStyle name="20% - Accent4 12 2 2 5 3" xfId="25142"/>
    <cellStyle name="20% - Accent4 12 2 2 6" xfId="10136"/>
    <cellStyle name="20% - Accent4 12 2 2 7" xfId="18091"/>
    <cellStyle name="20% - Accent4 12 2 2_Exh G" xfId="2331"/>
    <cellStyle name="20% - Accent4 12 2 3" xfId="1215"/>
    <cellStyle name="20% - Accent4 12 2 3 2" xfId="4745"/>
    <cellStyle name="20% - Accent4 12 2 3 2 2" xfId="8336"/>
    <cellStyle name="20% - Accent4 12 2 3 2 2 2" xfId="16307"/>
    <cellStyle name="20% - Accent4 12 2 3 2 2 3" xfId="24253"/>
    <cellStyle name="20% - Accent4 12 2 3 2 3" xfId="12769"/>
    <cellStyle name="20% - Accent4 12 2 3 2 4" xfId="20724"/>
    <cellStyle name="20% - Accent4 12 2 3 3" xfId="6577"/>
    <cellStyle name="20% - Accent4 12 2 3 3 2" xfId="14549"/>
    <cellStyle name="20% - Accent4 12 2 3 3 3" xfId="22496"/>
    <cellStyle name="20% - Accent4 12 2 3 4" xfId="11013"/>
    <cellStyle name="20% - Accent4 12 2 3 5" xfId="18968"/>
    <cellStyle name="20% - Accent4 12 2 3_Exh G" xfId="2333"/>
    <cellStyle name="20% - Accent4 12 2 4" xfId="3866"/>
    <cellStyle name="20% - Accent4 12 2 4 2" xfId="7458"/>
    <cellStyle name="20% - Accent4 12 2 4 2 2" xfId="15429"/>
    <cellStyle name="20% - Accent4 12 2 4 2 3" xfId="23375"/>
    <cellStyle name="20% - Accent4 12 2 4 3" xfId="11891"/>
    <cellStyle name="20% - Accent4 12 2 4 4" xfId="19846"/>
    <cellStyle name="20% - Accent4 12 2 5" xfId="5686"/>
    <cellStyle name="20% - Accent4 12 2 5 2" xfId="13670"/>
    <cellStyle name="20% - Accent4 12 2 5 3" xfId="21618"/>
    <cellStyle name="20% - Accent4 12 2 6" xfId="9239"/>
    <cellStyle name="20% - Accent4 12 2 6 2" xfId="17197"/>
    <cellStyle name="20% - Accent4 12 2 6 3" xfId="25141"/>
    <cellStyle name="20% - Accent4 12 2 7" xfId="10135"/>
    <cellStyle name="20% - Accent4 12 2 8" xfId="18090"/>
    <cellStyle name="20% - Accent4 12 2_Exh G" xfId="2330"/>
    <cellStyle name="20% - Accent4 12 3" xfId="189"/>
    <cellStyle name="20% - Accent4 12 3 2" xfId="1217"/>
    <cellStyle name="20% - Accent4 12 3 2 2" xfId="4747"/>
    <cellStyle name="20% - Accent4 12 3 2 2 2" xfId="8338"/>
    <cellStyle name="20% - Accent4 12 3 2 2 2 2" xfId="16309"/>
    <cellStyle name="20% - Accent4 12 3 2 2 2 3" xfId="24255"/>
    <cellStyle name="20% - Accent4 12 3 2 2 3" xfId="12771"/>
    <cellStyle name="20% - Accent4 12 3 2 2 4" xfId="20726"/>
    <cellStyle name="20% - Accent4 12 3 2 3" xfId="6579"/>
    <cellStyle name="20% - Accent4 12 3 2 3 2" xfId="14551"/>
    <cellStyle name="20% - Accent4 12 3 2 3 3" xfId="22498"/>
    <cellStyle name="20% - Accent4 12 3 2 4" xfId="11015"/>
    <cellStyle name="20% - Accent4 12 3 2 5" xfId="18970"/>
    <cellStyle name="20% - Accent4 12 3 2_Exh G" xfId="2335"/>
    <cellStyle name="20% - Accent4 12 3 3" xfId="3868"/>
    <cellStyle name="20% - Accent4 12 3 3 2" xfId="7460"/>
    <cellStyle name="20% - Accent4 12 3 3 2 2" xfId="15431"/>
    <cellStyle name="20% - Accent4 12 3 3 2 3" xfId="23377"/>
    <cellStyle name="20% - Accent4 12 3 3 3" xfId="11893"/>
    <cellStyle name="20% - Accent4 12 3 3 4" xfId="19848"/>
    <cellStyle name="20% - Accent4 12 3 4" xfId="5688"/>
    <cellStyle name="20% - Accent4 12 3 4 2" xfId="13672"/>
    <cellStyle name="20% - Accent4 12 3 4 3" xfId="21620"/>
    <cellStyle name="20% - Accent4 12 3 5" xfId="9241"/>
    <cellStyle name="20% - Accent4 12 3 5 2" xfId="17199"/>
    <cellStyle name="20% - Accent4 12 3 5 3" xfId="25143"/>
    <cellStyle name="20% - Accent4 12 3 6" xfId="10137"/>
    <cellStyle name="20% - Accent4 12 3 7" xfId="18092"/>
    <cellStyle name="20% - Accent4 12 3_Exh G" xfId="2334"/>
    <cellStyle name="20% - Accent4 12 4" xfId="1214"/>
    <cellStyle name="20% - Accent4 12 4 2" xfId="4744"/>
    <cellStyle name="20% - Accent4 12 4 2 2" xfId="8335"/>
    <cellStyle name="20% - Accent4 12 4 2 2 2" xfId="16306"/>
    <cellStyle name="20% - Accent4 12 4 2 2 3" xfId="24252"/>
    <cellStyle name="20% - Accent4 12 4 2 3" xfId="12768"/>
    <cellStyle name="20% - Accent4 12 4 2 4" xfId="20723"/>
    <cellStyle name="20% - Accent4 12 4 3" xfId="6576"/>
    <cellStyle name="20% - Accent4 12 4 3 2" xfId="14548"/>
    <cellStyle name="20% - Accent4 12 4 3 3" xfId="22495"/>
    <cellStyle name="20% - Accent4 12 4 4" xfId="11012"/>
    <cellStyle name="20% - Accent4 12 4 5" xfId="18967"/>
    <cellStyle name="20% - Accent4 12 4_Exh G" xfId="2336"/>
    <cellStyle name="20% - Accent4 12 5" xfId="3865"/>
    <cellStyle name="20% - Accent4 12 5 2" xfId="7457"/>
    <cellStyle name="20% - Accent4 12 5 2 2" xfId="15428"/>
    <cellStyle name="20% - Accent4 12 5 2 3" xfId="23374"/>
    <cellStyle name="20% - Accent4 12 5 3" xfId="11890"/>
    <cellStyle name="20% - Accent4 12 5 4" xfId="19845"/>
    <cellStyle name="20% - Accent4 12 6" xfId="5685"/>
    <cellStyle name="20% - Accent4 12 6 2" xfId="13669"/>
    <cellStyle name="20% - Accent4 12 6 3" xfId="21617"/>
    <cellStyle name="20% - Accent4 12 7" xfId="9238"/>
    <cellStyle name="20% - Accent4 12 7 2" xfId="17196"/>
    <cellStyle name="20% - Accent4 12 7 3" xfId="25140"/>
    <cellStyle name="20% - Accent4 12 8" xfId="10134"/>
    <cellStyle name="20% - Accent4 12 9" xfId="18089"/>
    <cellStyle name="20% - Accent4 12_Exh G" xfId="2329"/>
    <cellStyle name="20% - Accent4 13" xfId="190"/>
    <cellStyle name="20% - Accent4 13 2" xfId="191"/>
    <cellStyle name="20% - Accent4 13 2 2" xfId="192"/>
    <cellStyle name="20% - Accent4 13 2 2 2" xfId="1220"/>
    <cellStyle name="20% - Accent4 13 2 2 2 2" xfId="4750"/>
    <cellStyle name="20% - Accent4 13 2 2 2 2 2" xfId="8341"/>
    <cellStyle name="20% - Accent4 13 2 2 2 2 2 2" xfId="16312"/>
    <cellStyle name="20% - Accent4 13 2 2 2 2 2 3" xfId="24258"/>
    <cellStyle name="20% - Accent4 13 2 2 2 2 3" xfId="12774"/>
    <cellStyle name="20% - Accent4 13 2 2 2 2 4" xfId="20729"/>
    <cellStyle name="20% - Accent4 13 2 2 2 3" xfId="6582"/>
    <cellStyle name="20% - Accent4 13 2 2 2 3 2" xfId="14554"/>
    <cellStyle name="20% - Accent4 13 2 2 2 3 3" xfId="22501"/>
    <cellStyle name="20% - Accent4 13 2 2 2 4" xfId="11018"/>
    <cellStyle name="20% - Accent4 13 2 2 2 5" xfId="18973"/>
    <cellStyle name="20% - Accent4 13 2 2 2_Exh G" xfId="2340"/>
    <cellStyle name="20% - Accent4 13 2 2 3" xfId="3871"/>
    <cellStyle name="20% - Accent4 13 2 2 3 2" xfId="7463"/>
    <cellStyle name="20% - Accent4 13 2 2 3 2 2" xfId="15434"/>
    <cellStyle name="20% - Accent4 13 2 2 3 2 3" xfId="23380"/>
    <cellStyle name="20% - Accent4 13 2 2 3 3" xfId="11896"/>
    <cellStyle name="20% - Accent4 13 2 2 3 4" xfId="19851"/>
    <cellStyle name="20% - Accent4 13 2 2 4" xfId="5691"/>
    <cellStyle name="20% - Accent4 13 2 2 4 2" xfId="13675"/>
    <cellStyle name="20% - Accent4 13 2 2 4 3" xfId="21623"/>
    <cellStyle name="20% - Accent4 13 2 2 5" xfId="9244"/>
    <cellStyle name="20% - Accent4 13 2 2 5 2" xfId="17202"/>
    <cellStyle name="20% - Accent4 13 2 2 5 3" xfId="25146"/>
    <cellStyle name="20% - Accent4 13 2 2 6" xfId="10140"/>
    <cellStyle name="20% - Accent4 13 2 2 7" xfId="18095"/>
    <cellStyle name="20% - Accent4 13 2 2_Exh G" xfId="2339"/>
    <cellStyle name="20% - Accent4 13 2 3" xfId="1219"/>
    <cellStyle name="20% - Accent4 13 2 3 2" xfId="4749"/>
    <cellStyle name="20% - Accent4 13 2 3 2 2" xfId="8340"/>
    <cellStyle name="20% - Accent4 13 2 3 2 2 2" xfId="16311"/>
    <cellStyle name="20% - Accent4 13 2 3 2 2 3" xfId="24257"/>
    <cellStyle name="20% - Accent4 13 2 3 2 3" xfId="12773"/>
    <cellStyle name="20% - Accent4 13 2 3 2 4" xfId="20728"/>
    <cellStyle name="20% - Accent4 13 2 3 3" xfId="6581"/>
    <cellStyle name="20% - Accent4 13 2 3 3 2" xfId="14553"/>
    <cellStyle name="20% - Accent4 13 2 3 3 3" xfId="22500"/>
    <cellStyle name="20% - Accent4 13 2 3 4" xfId="11017"/>
    <cellStyle name="20% - Accent4 13 2 3 5" xfId="18972"/>
    <cellStyle name="20% - Accent4 13 2 3_Exh G" xfId="2341"/>
    <cellStyle name="20% - Accent4 13 2 4" xfId="3870"/>
    <cellStyle name="20% - Accent4 13 2 4 2" xfId="7462"/>
    <cellStyle name="20% - Accent4 13 2 4 2 2" xfId="15433"/>
    <cellStyle name="20% - Accent4 13 2 4 2 3" xfId="23379"/>
    <cellStyle name="20% - Accent4 13 2 4 3" xfId="11895"/>
    <cellStyle name="20% - Accent4 13 2 4 4" xfId="19850"/>
    <cellStyle name="20% - Accent4 13 2 5" xfId="5690"/>
    <cellStyle name="20% - Accent4 13 2 5 2" xfId="13674"/>
    <cellStyle name="20% - Accent4 13 2 5 3" xfId="21622"/>
    <cellStyle name="20% - Accent4 13 2 6" xfId="9243"/>
    <cellStyle name="20% - Accent4 13 2 6 2" xfId="17201"/>
    <cellStyle name="20% - Accent4 13 2 6 3" xfId="25145"/>
    <cellStyle name="20% - Accent4 13 2 7" xfId="10139"/>
    <cellStyle name="20% - Accent4 13 2 8" xfId="18094"/>
    <cellStyle name="20% - Accent4 13 2_Exh G" xfId="2338"/>
    <cellStyle name="20% - Accent4 13 3" xfId="193"/>
    <cellStyle name="20% - Accent4 13 3 2" xfId="1221"/>
    <cellStyle name="20% - Accent4 13 3 2 2" xfId="4751"/>
    <cellStyle name="20% - Accent4 13 3 2 2 2" xfId="8342"/>
    <cellStyle name="20% - Accent4 13 3 2 2 2 2" xfId="16313"/>
    <cellStyle name="20% - Accent4 13 3 2 2 2 3" xfId="24259"/>
    <cellStyle name="20% - Accent4 13 3 2 2 3" xfId="12775"/>
    <cellStyle name="20% - Accent4 13 3 2 2 4" xfId="20730"/>
    <cellStyle name="20% - Accent4 13 3 2 3" xfId="6583"/>
    <cellStyle name="20% - Accent4 13 3 2 3 2" xfId="14555"/>
    <cellStyle name="20% - Accent4 13 3 2 3 3" xfId="22502"/>
    <cellStyle name="20% - Accent4 13 3 2 4" xfId="11019"/>
    <cellStyle name="20% - Accent4 13 3 2 5" xfId="18974"/>
    <cellStyle name="20% - Accent4 13 3 2_Exh G" xfId="2343"/>
    <cellStyle name="20% - Accent4 13 3 3" xfId="3872"/>
    <cellStyle name="20% - Accent4 13 3 3 2" xfId="7464"/>
    <cellStyle name="20% - Accent4 13 3 3 2 2" xfId="15435"/>
    <cellStyle name="20% - Accent4 13 3 3 2 3" xfId="23381"/>
    <cellStyle name="20% - Accent4 13 3 3 3" xfId="11897"/>
    <cellStyle name="20% - Accent4 13 3 3 4" xfId="19852"/>
    <cellStyle name="20% - Accent4 13 3 4" xfId="5692"/>
    <cellStyle name="20% - Accent4 13 3 4 2" xfId="13676"/>
    <cellStyle name="20% - Accent4 13 3 4 3" xfId="21624"/>
    <cellStyle name="20% - Accent4 13 3 5" xfId="9245"/>
    <cellStyle name="20% - Accent4 13 3 5 2" xfId="17203"/>
    <cellStyle name="20% - Accent4 13 3 5 3" xfId="25147"/>
    <cellStyle name="20% - Accent4 13 3 6" xfId="10141"/>
    <cellStyle name="20% - Accent4 13 3 7" xfId="18096"/>
    <cellStyle name="20% - Accent4 13 3_Exh G" xfId="2342"/>
    <cellStyle name="20% - Accent4 13 4" xfId="1218"/>
    <cellStyle name="20% - Accent4 13 4 2" xfId="4748"/>
    <cellStyle name="20% - Accent4 13 4 2 2" xfId="8339"/>
    <cellStyle name="20% - Accent4 13 4 2 2 2" xfId="16310"/>
    <cellStyle name="20% - Accent4 13 4 2 2 3" xfId="24256"/>
    <cellStyle name="20% - Accent4 13 4 2 3" xfId="12772"/>
    <cellStyle name="20% - Accent4 13 4 2 4" xfId="20727"/>
    <cellStyle name="20% - Accent4 13 4 3" xfId="6580"/>
    <cellStyle name="20% - Accent4 13 4 3 2" xfId="14552"/>
    <cellStyle name="20% - Accent4 13 4 3 3" xfId="22499"/>
    <cellStyle name="20% - Accent4 13 4 4" xfId="11016"/>
    <cellStyle name="20% - Accent4 13 4 5" xfId="18971"/>
    <cellStyle name="20% - Accent4 13 4_Exh G" xfId="2344"/>
    <cellStyle name="20% - Accent4 13 5" xfId="3869"/>
    <cellStyle name="20% - Accent4 13 5 2" xfId="7461"/>
    <cellStyle name="20% - Accent4 13 5 2 2" xfId="15432"/>
    <cellStyle name="20% - Accent4 13 5 2 3" xfId="23378"/>
    <cellStyle name="20% - Accent4 13 5 3" xfId="11894"/>
    <cellStyle name="20% - Accent4 13 5 4" xfId="19849"/>
    <cellStyle name="20% - Accent4 13 6" xfId="5689"/>
    <cellStyle name="20% - Accent4 13 6 2" xfId="13673"/>
    <cellStyle name="20% - Accent4 13 6 3" xfId="21621"/>
    <cellStyle name="20% - Accent4 13 7" xfId="9242"/>
    <cellStyle name="20% - Accent4 13 7 2" xfId="17200"/>
    <cellStyle name="20% - Accent4 13 7 3" xfId="25144"/>
    <cellStyle name="20% - Accent4 13 8" xfId="10138"/>
    <cellStyle name="20% - Accent4 13 9" xfId="18093"/>
    <cellStyle name="20% - Accent4 13_Exh G" xfId="2337"/>
    <cellStyle name="20% - Accent4 14" xfId="194"/>
    <cellStyle name="20% - Accent4 14 2" xfId="195"/>
    <cellStyle name="20% - Accent4 14 2 2" xfId="1223"/>
    <cellStyle name="20% - Accent4 14 2 2 2" xfId="4753"/>
    <cellStyle name="20% - Accent4 14 2 2 2 2" xfId="8344"/>
    <cellStyle name="20% - Accent4 14 2 2 2 2 2" xfId="16315"/>
    <cellStyle name="20% - Accent4 14 2 2 2 2 3" xfId="24261"/>
    <cellStyle name="20% - Accent4 14 2 2 2 3" xfId="12777"/>
    <cellStyle name="20% - Accent4 14 2 2 2 4" xfId="20732"/>
    <cellStyle name="20% - Accent4 14 2 2 3" xfId="6585"/>
    <cellStyle name="20% - Accent4 14 2 2 3 2" xfId="14557"/>
    <cellStyle name="20% - Accent4 14 2 2 3 3" xfId="22504"/>
    <cellStyle name="20% - Accent4 14 2 2 4" xfId="11021"/>
    <cellStyle name="20% - Accent4 14 2 2 5" xfId="18976"/>
    <cellStyle name="20% - Accent4 14 2 2_Exh G" xfId="2347"/>
    <cellStyle name="20% - Accent4 14 2 3" xfId="3874"/>
    <cellStyle name="20% - Accent4 14 2 3 2" xfId="7466"/>
    <cellStyle name="20% - Accent4 14 2 3 2 2" xfId="15437"/>
    <cellStyle name="20% - Accent4 14 2 3 2 3" xfId="23383"/>
    <cellStyle name="20% - Accent4 14 2 3 3" xfId="11899"/>
    <cellStyle name="20% - Accent4 14 2 3 4" xfId="19854"/>
    <cellStyle name="20% - Accent4 14 2 4" xfId="5694"/>
    <cellStyle name="20% - Accent4 14 2 4 2" xfId="13678"/>
    <cellStyle name="20% - Accent4 14 2 4 3" xfId="21626"/>
    <cellStyle name="20% - Accent4 14 2 5" xfId="9247"/>
    <cellStyle name="20% - Accent4 14 2 5 2" xfId="17205"/>
    <cellStyle name="20% - Accent4 14 2 5 3" xfId="25149"/>
    <cellStyle name="20% - Accent4 14 2 6" xfId="10143"/>
    <cellStyle name="20% - Accent4 14 2 7" xfId="18098"/>
    <cellStyle name="20% - Accent4 14 2_Exh G" xfId="2346"/>
    <cellStyle name="20% - Accent4 14 3" xfId="1222"/>
    <cellStyle name="20% - Accent4 14 3 2" xfId="4752"/>
    <cellStyle name="20% - Accent4 14 3 2 2" xfId="8343"/>
    <cellStyle name="20% - Accent4 14 3 2 2 2" xfId="16314"/>
    <cellStyle name="20% - Accent4 14 3 2 2 3" xfId="24260"/>
    <cellStyle name="20% - Accent4 14 3 2 3" xfId="12776"/>
    <cellStyle name="20% - Accent4 14 3 2 4" xfId="20731"/>
    <cellStyle name="20% - Accent4 14 3 3" xfId="6584"/>
    <cellStyle name="20% - Accent4 14 3 3 2" xfId="14556"/>
    <cellStyle name="20% - Accent4 14 3 3 3" xfId="22503"/>
    <cellStyle name="20% - Accent4 14 3 4" xfId="11020"/>
    <cellStyle name="20% - Accent4 14 3 5" xfId="18975"/>
    <cellStyle name="20% - Accent4 14 3_Exh G" xfId="2348"/>
    <cellStyle name="20% - Accent4 14 4" xfId="3873"/>
    <cellStyle name="20% - Accent4 14 4 2" xfId="7465"/>
    <cellStyle name="20% - Accent4 14 4 2 2" xfId="15436"/>
    <cellStyle name="20% - Accent4 14 4 2 3" xfId="23382"/>
    <cellStyle name="20% - Accent4 14 4 3" xfId="11898"/>
    <cellStyle name="20% - Accent4 14 4 4" xfId="19853"/>
    <cellStyle name="20% - Accent4 14 5" xfId="5693"/>
    <cellStyle name="20% - Accent4 14 5 2" xfId="13677"/>
    <cellStyle name="20% - Accent4 14 5 3" xfId="21625"/>
    <cellStyle name="20% - Accent4 14 6" xfId="9246"/>
    <cellStyle name="20% - Accent4 14 6 2" xfId="17204"/>
    <cellStyle name="20% - Accent4 14 6 3" xfId="25148"/>
    <cellStyle name="20% - Accent4 14 7" xfId="10142"/>
    <cellStyle name="20% - Accent4 14 8" xfId="18097"/>
    <cellStyle name="20% - Accent4 14_Exh G" xfId="2345"/>
    <cellStyle name="20% - Accent4 15" xfId="196"/>
    <cellStyle name="20% - Accent4 15 2" xfId="1224"/>
    <cellStyle name="20% - Accent4 15 2 2" xfId="4754"/>
    <cellStyle name="20% - Accent4 15 2 2 2" xfId="8345"/>
    <cellStyle name="20% - Accent4 15 2 2 2 2" xfId="16316"/>
    <cellStyle name="20% - Accent4 15 2 2 2 3" xfId="24262"/>
    <cellStyle name="20% - Accent4 15 2 2 3" xfId="12778"/>
    <cellStyle name="20% - Accent4 15 2 2 4" xfId="20733"/>
    <cellStyle name="20% - Accent4 15 2 3" xfId="6586"/>
    <cellStyle name="20% - Accent4 15 2 3 2" xfId="14558"/>
    <cellStyle name="20% - Accent4 15 2 3 3" xfId="22505"/>
    <cellStyle name="20% - Accent4 15 2 4" xfId="11022"/>
    <cellStyle name="20% - Accent4 15 2 5" xfId="18977"/>
    <cellStyle name="20% - Accent4 15 2_Exh G" xfId="2350"/>
    <cellStyle name="20% - Accent4 15 3" xfId="3875"/>
    <cellStyle name="20% - Accent4 15 3 2" xfId="7467"/>
    <cellStyle name="20% - Accent4 15 3 2 2" xfId="15438"/>
    <cellStyle name="20% - Accent4 15 3 2 3" xfId="23384"/>
    <cellStyle name="20% - Accent4 15 3 3" xfId="11900"/>
    <cellStyle name="20% - Accent4 15 3 4" xfId="19855"/>
    <cellStyle name="20% - Accent4 15 4" xfId="5695"/>
    <cellStyle name="20% - Accent4 15 4 2" xfId="13679"/>
    <cellStyle name="20% - Accent4 15 4 3" xfId="21627"/>
    <cellStyle name="20% - Accent4 15 5" xfId="9248"/>
    <cellStyle name="20% - Accent4 15 5 2" xfId="17206"/>
    <cellStyle name="20% - Accent4 15 5 3" xfId="25150"/>
    <cellStyle name="20% - Accent4 15 6" xfId="10144"/>
    <cellStyle name="20% - Accent4 15 7" xfId="18099"/>
    <cellStyle name="20% - Accent4 15_Exh G" xfId="2349"/>
    <cellStyle name="20% - Accent4 16" xfId="846"/>
    <cellStyle name="20% - Accent4 16 2" xfId="1785"/>
    <cellStyle name="20% - Accent4 16 2 2" xfId="5306"/>
    <cellStyle name="20% - Accent4 16 2 2 2" xfId="8897"/>
    <cellStyle name="20% - Accent4 16 2 2 2 2" xfId="16868"/>
    <cellStyle name="20% - Accent4 16 2 2 2 3" xfId="24814"/>
    <cellStyle name="20% - Accent4 16 2 2 3" xfId="13330"/>
    <cellStyle name="20% - Accent4 16 2 2 4" xfId="21285"/>
    <cellStyle name="20% - Accent4 16 2 3" xfId="7138"/>
    <cellStyle name="20% - Accent4 16 2 3 2" xfId="15110"/>
    <cellStyle name="20% - Accent4 16 2 3 3" xfId="23057"/>
    <cellStyle name="20% - Accent4 16 2 4" xfId="11574"/>
    <cellStyle name="20% - Accent4 16 2 5" xfId="19529"/>
    <cellStyle name="20% - Accent4 16 2_Exh G" xfId="2352"/>
    <cellStyle name="20% - Accent4 16 3" xfId="4427"/>
    <cellStyle name="20% - Accent4 16 3 2" xfId="8019"/>
    <cellStyle name="20% - Accent4 16 3 2 2" xfId="15990"/>
    <cellStyle name="20% - Accent4 16 3 2 3" xfId="23936"/>
    <cellStyle name="20% - Accent4 16 3 3" xfId="12452"/>
    <cellStyle name="20% - Accent4 16 3 4" xfId="20407"/>
    <cellStyle name="20% - Accent4 16 4" xfId="6257"/>
    <cellStyle name="20% - Accent4 16 4 2" xfId="14232"/>
    <cellStyle name="20% - Accent4 16 4 3" xfId="22179"/>
    <cellStyle name="20% - Accent4 16 5" xfId="9800"/>
    <cellStyle name="20% - Accent4 16 5 2" xfId="17758"/>
    <cellStyle name="20% - Accent4 16 5 3" xfId="25702"/>
    <cellStyle name="20% - Accent4 16 6" xfId="10696"/>
    <cellStyle name="20% - Accent4 16 7" xfId="18651"/>
    <cellStyle name="20% - Accent4 16_Exh G" xfId="2351"/>
    <cellStyle name="20% - Accent4 2" xfId="197"/>
    <cellStyle name="20% - Accent4 2 10" xfId="18100"/>
    <cellStyle name="20% - Accent4 2 2" xfId="198"/>
    <cellStyle name="20% - Accent4 2 2 2" xfId="199"/>
    <cellStyle name="20% - Accent4 2 2 2 2" xfId="1227"/>
    <cellStyle name="20% - Accent4 2 2 2 2 2" xfId="4757"/>
    <cellStyle name="20% - Accent4 2 2 2 2 2 2" xfId="8348"/>
    <cellStyle name="20% - Accent4 2 2 2 2 2 2 2" xfId="16319"/>
    <cellStyle name="20% - Accent4 2 2 2 2 2 2 3" xfId="24265"/>
    <cellStyle name="20% - Accent4 2 2 2 2 2 3" xfId="12781"/>
    <cellStyle name="20% - Accent4 2 2 2 2 2 4" xfId="20736"/>
    <cellStyle name="20% - Accent4 2 2 2 2 3" xfId="6589"/>
    <cellStyle name="20% - Accent4 2 2 2 2 3 2" xfId="14561"/>
    <cellStyle name="20% - Accent4 2 2 2 2 3 3" xfId="22508"/>
    <cellStyle name="20% - Accent4 2 2 2 2 4" xfId="11025"/>
    <cellStyle name="20% - Accent4 2 2 2 2 5" xfId="18980"/>
    <cellStyle name="20% - Accent4 2 2 2 2_Exh G" xfId="2356"/>
    <cellStyle name="20% - Accent4 2 2 2 3" xfId="3878"/>
    <cellStyle name="20% - Accent4 2 2 2 3 2" xfId="7470"/>
    <cellStyle name="20% - Accent4 2 2 2 3 2 2" xfId="15441"/>
    <cellStyle name="20% - Accent4 2 2 2 3 2 3" xfId="23387"/>
    <cellStyle name="20% - Accent4 2 2 2 3 3" xfId="11903"/>
    <cellStyle name="20% - Accent4 2 2 2 3 4" xfId="19858"/>
    <cellStyle name="20% - Accent4 2 2 2 4" xfId="5698"/>
    <cellStyle name="20% - Accent4 2 2 2 4 2" xfId="13682"/>
    <cellStyle name="20% - Accent4 2 2 2 4 3" xfId="21630"/>
    <cellStyle name="20% - Accent4 2 2 2 5" xfId="9251"/>
    <cellStyle name="20% - Accent4 2 2 2 5 2" xfId="17209"/>
    <cellStyle name="20% - Accent4 2 2 2 5 3" xfId="25153"/>
    <cellStyle name="20% - Accent4 2 2 2 6" xfId="10147"/>
    <cellStyle name="20% - Accent4 2 2 2 7" xfId="18102"/>
    <cellStyle name="20% - Accent4 2 2 2_Exh G" xfId="2355"/>
    <cellStyle name="20% - Accent4 2 2 3" xfId="900"/>
    <cellStyle name="20% - Accent4 2 2 3 2" xfId="1830"/>
    <cellStyle name="20% - Accent4 2 2 3 2 2" xfId="5348"/>
    <cellStyle name="20% - Accent4 2 2 3 2 2 2" xfId="8939"/>
    <cellStyle name="20% - Accent4 2 2 3 2 2 2 2" xfId="16910"/>
    <cellStyle name="20% - Accent4 2 2 3 2 2 2 3" xfId="24856"/>
    <cellStyle name="20% - Accent4 2 2 3 2 2 3" xfId="13372"/>
    <cellStyle name="20% - Accent4 2 2 3 2 2 4" xfId="21327"/>
    <cellStyle name="20% - Accent4 2 2 3 2 3" xfId="7180"/>
    <cellStyle name="20% - Accent4 2 2 3 2 3 2" xfId="15152"/>
    <cellStyle name="20% - Accent4 2 2 3 2 3 3" xfId="23099"/>
    <cellStyle name="20% - Accent4 2 2 3 2 4" xfId="11616"/>
    <cellStyle name="20% - Accent4 2 2 3 2 5" xfId="19571"/>
    <cellStyle name="20% - Accent4 2 2 3 2_Exh G" xfId="2358"/>
    <cellStyle name="20% - Accent4 2 2 3 3" xfId="4469"/>
    <cellStyle name="20% - Accent4 2 2 3 3 2" xfId="8061"/>
    <cellStyle name="20% - Accent4 2 2 3 3 2 2" xfId="16032"/>
    <cellStyle name="20% - Accent4 2 2 3 3 2 3" xfId="23978"/>
    <cellStyle name="20% - Accent4 2 2 3 3 3" xfId="12494"/>
    <cellStyle name="20% - Accent4 2 2 3 3 4" xfId="20449"/>
    <cellStyle name="20% - Accent4 2 2 3 4" xfId="6299"/>
    <cellStyle name="20% - Accent4 2 2 3 4 2" xfId="14274"/>
    <cellStyle name="20% - Accent4 2 2 3 4 3" xfId="22221"/>
    <cellStyle name="20% - Accent4 2 2 3 5" xfId="9842"/>
    <cellStyle name="20% - Accent4 2 2 3 5 2" xfId="17800"/>
    <cellStyle name="20% - Accent4 2 2 3 5 3" xfId="25744"/>
    <cellStyle name="20% - Accent4 2 2 3 6" xfId="10738"/>
    <cellStyle name="20% - Accent4 2 2 3 7" xfId="18693"/>
    <cellStyle name="20% - Accent4 2 2 3_Exh G" xfId="2357"/>
    <cellStyle name="20% - Accent4 2 2 4" xfId="1226"/>
    <cellStyle name="20% - Accent4 2 2 4 2" xfId="4756"/>
    <cellStyle name="20% - Accent4 2 2 4 2 2" xfId="8347"/>
    <cellStyle name="20% - Accent4 2 2 4 2 2 2" xfId="16318"/>
    <cellStyle name="20% - Accent4 2 2 4 2 2 3" xfId="24264"/>
    <cellStyle name="20% - Accent4 2 2 4 2 3" xfId="12780"/>
    <cellStyle name="20% - Accent4 2 2 4 2 4" xfId="20735"/>
    <cellStyle name="20% - Accent4 2 2 4 3" xfId="6588"/>
    <cellStyle name="20% - Accent4 2 2 4 3 2" xfId="14560"/>
    <cellStyle name="20% - Accent4 2 2 4 3 3" xfId="22507"/>
    <cellStyle name="20% - Accent4 2 2 4 4" xfId="11024"/>
    <cellStyle name="20% - Accent4 2 2 4 5" xfId="18979"/>
    <cellStyle name="20% - Accent4 2 2 4_Exh G" xfId="2359"/>
    <cellStyle name="20% - Accent4 2 2 5" xfId="3877"/>
    <cellStyle name="20% - Accent4 2 2 5 2" xfId="7469"/>
    <cellStyle name="20% - Accent4 2 2 5 2 2" xfId="15440"/>
    <cellStyle name="20% - Accent4 2 2 5 2 3" xfId="23386"/>
    <cellStyle name="20% - Accent4 2 2 5 3" xfId="11902"/>
    <cellStyle name="20% - Accent4 2 2 5 4" xfId="19857"/>
    <cellStyle name="20% - Accent4 2 2 6" xfId="5697"/>
    <cellStyle name="20% - Accent4 2 2 6 2" xfId="13681"/>
    <cellStyle name="20% - Accent4 2 2 6 3" xfId="21629"/>
    <cellStyle name="20% - Accent4 2 2 7" xfId="9250"/>
    <cellStyle name="20% - Accent4 2 2 7 2" xfId="17208"/>
    <cellStyle name="20% - Accent4 2 2 7 3" xfId="25152"/>
    <cellStyle name="20% - Accent4 2 2 8" xfId="10146"/>
    <cellStyle name="20% - Accent4 2 2 9" xfId="18101"/>
    <cellStyle name="20% - Accent4 2 2_Exh G" xfId="2354"/>
    <cellStyle name="20% - Accent4 2 3" xfId="200"/>
    <cellStyle name="20% - Accent4 2 3 2" xfId="1228"/>
    <cellStyle name="20% - Accent4 2 3 2 2" xfId="4758"/>
    <cellStyle name="20% - Accent4 2 3 2 2 2" xfId="8349"/>
    <cellStyle name="20% - Accent4 2 3 2 2 2 2" xfId="16320"/>
    <cellStyle name="20% - Accent4 2 3 2 2 2 3" xfId="24266"/>
    <cellStyle name="20% - Accent4 2 3 2 2 3" xfId="12782"/>
    <cellStyle name="20% - Accent4 2 3 2 2 4" xfId="20737"/>
    <cellStyle name="20% - Accent4 2 3 2 3" xfId="6590"/>
    <cellStyle name="20% - Accent4 2 3 2 3 2" xfId="14562"/>
    <cellStyle name="20% - Accent4 2 3 2 3 3" xfId="22509"/>
    <cellStyle name="20% - Accent4 2 3 2 4" xfId="11026"/>
    <cellStyle name="20% - Accent4 2 3 2 5" xfId="18981"/>
    <cellStyle name="20% - Accent4 2 3 2_Exh G" xfId="2361"/>
    <cellStyle name="20% - Accent4 2 3 3" xfId="3879"/>
    <cellStyle name="20% - Accent4 2 3 3 2" xfId="7471"/>
    <cellStyle name="20% - Accent4 2 3 3 2 2" xfId="15442"/>
    <cellStyle name="20% - Accent4 2 3 3 2 3" xfId="23388"/>
    <cellStyle name="20% - Accent4 2 3 3 3" xfId="11904"/>
    <cellStyle name="20% - Accent4 2 3 3 4" xfId="19859"/>
    <cellStyle name="20% - Accent4 2 3 4" xfId="5699"/>
    <cellStyle name="20% - Accent4 2 3 4 2" xfId="13683"/>
    <cellStyle name="20% - Accent4 2 3 4 3" xfId="21631"/>
    <cellStyle name="20% - Accent4 2 3 5" xfId="9252"/>
    <cellStyle name="20% - Accent4 2 3 5 2" xfId="17210"/>
    <cellStyle name="20% - Accent4 2 3 5 3" xfId="25154"/>
    <cellStyle name="20% - Accent4 2 3 6" xfId="10148"/>
    <cellStyle name="20% - Accent4 2 3 7" xfId="18103"/>
    <cellStyle name="20% - Accent4 2 3_Exh G" xfId="2360"/>
    <cellStyle name="20% - Accent4 2 4" xfId="899"/>
    <cellStyle name="20% - Accent4 2 4 2" xfId="1829"/>
    <cellStyle name="20% - Accent4 2 4 2 2" xfId="5347"/>
    <cellStyle name="20% - Accent4 2 4 2 2 2" xfId="8938"/>
    <cellStyle name="20% - Accent4 2 4 2 2 2 2" xfId="16909"/>
    <cellStyle name="20% - Accent4 2 4 2 2 2 3" xfId="24855"/>
    <cellStyle name="20% - Accent4 2 4 2 2 3" xfId="13371"/>
    <cellStyle name="20% - Accent4 2 4 2 2 4" xfId="21326"/>
    <cellStyle name="20% - Accent4 2 4 2 3" xfId="7179"/>
    <cellStyle name="20% - Accent4 2 4 2 3 2" xfId="15151"/>
    <cellStyle name="20% - Accent4 2 4 2 3 3" xfId="23098"/>
    <cellStyle name="20% - Accent4 2 4 2 4" xfId="11615"/>
    <cellStyle name="20% - Accent4 2 4 2 5" xfId="19570"/>
    <cellStyle name="20% - Accent4 2 4 2_Exh G" xfId="2363"/>
    <cellStyle name="20% - Accent4 2 4 3" xfId="4468"/>
    <cellStyle name="20% - Accent4 2 4 3 2" xfId="8060"/>
    <cellStyle name="20% - Accent4 2 4 3 2 2" xfId="16031"/>
    <cellStyle name="20% - Accent4 2 4 3 2 3" xfId="23977"/>
    <cellStyle name="20% - Accent4 2 4 3 3" xfId="12493"/>
    <cellStyle name="20% - Accent4 2 4 3 4" xfId="20448"/>
    <cellStyle name="20% - Accent4 2 4 4" xfId="6298"/>
    <cellStyle name="20% - Accent4 2 4 4 2" xfId="14273"/>
    <cellStyle name="20% - Accent4 2 4 4 3" xfId="22220"/>
    <cellStyle name="20% - Accent4 2 4 5" xfId="9841"/>
    <cellStyle name="20% - Accent4 2 4 5 2" xfId="17799"/>
    <cellStyle name="20% - Accent4 2 4 5 3" xfId="25743"/>
    <cellStyle name="20% - Accent4 2 4 6" xfId="10737"/>
    <cellStyle name="20% - Accent4 2 4 7" xfId="18692"/>
    <cellStyle name="20% - Accent4 2 4_Exh G" xfId="2362"/>
    <cellStyle name="20% - Accent4 2 5" xfId="1225"/>
    <cellStyle name="20% - Accent4 2 5 2" xfId="4755"/>
    <cellStyle name="20% - Accent4 2 5 2 2" xfId="8346"/>
    <cellStyle name="20% - Accent4 2 5 2 2 2" xfId="16317"/>
    <cellStyle name="20% - Accent4 2 5 2 2 3" xfId="24263"/>
    <cellStyle name="20% - Accent4 2 5 2 3" xfId="12779"/>
    <cellStyle name="20% - Accent4 2 5 2 4" xfId="20734"/>
    <cellStyle name="20% - Accent4 2 5 3" xfId="6587"/>
    <cellStyle name="20% - Accent4 2 5 3 2" xfId="14559"/>
    <cellStyle name="20% - Accent4 2 5 3 3" xfId="22506"/>
    <cellStyle name="20% - Accent4 2 5 4" xfId="11023"/>
    <cellStyle name="20% - Accent4 2 5 5" xfId="18978"/>
    <cellStyle name="20% - Accent4 2 5_Exh G" xfId="2364"/>
    <cellStyle name="20% - Accent4 2 6" xfId="3876"/>
    <cellStyle name="20% - Accent4 2 6 2" xfId="7468"/>
    <cellStyle name="20% - Accent4 2 6 2 2" xfId="15439"/>
    <cellStyle name="20% - Accent4 2 6 2 3" xfId="23385"/>
    <cellStyle name="20% - Accent4 2 6 3" xfId="11901"/>
    <cellStyle name="20% - Accent4 2 6 4" xfId="19856"/>
    <cellStyle name="20% - Accent4 2 7" xfId="5696"/>
    <cellStyle name="20% - Accent4 2 7 2" xfId="13680"/>
    <cellStyle name="20% - Accent4 2 7 3" xfId="21628"/>
    <cellStyle name="20% - Accent4 2 8" xfId="9249"/>
    <cellStyle name="20% - Accent4 2 8 2" xfId="17207"/>
    <cellStyle name="20% - Accent4 2 8 3" xfId="25151"/>
    <cellStyle name="20% - Accent4 2 9" xfId="10145"/>
    <cellStyle name="20% - Accent4 2_Exh G" xfId="2353"/>
    <cellStyle name="20% - Accent4 3" xfId="201"/>
    <cellStyle name="20% - Accent4 3 10" xfId="18104"/>
    <cellStyle name="20% - Accent4 3 2" xfId="202"/>
    <cellStyle name="20% - Accent4 3 2 2" xfId="203"/>
    <cellStyle name="20% - Accent4 3 2 2 2" xfId="1231"/>
    <cellStyle name="20% - Accent4 3 2 2 2 2" xfId="4761"/>
    <cellStyle name="20% - Accent4 3 2 2 2 2 2" xfId="8352"/>
    <cellStyle name="20% - Accent4 3 2 2 2 2 2 2" xfId="16323"/>
    <cellStyle name="20% - Accent4 3 2 2 2 2 2 3" xfId="24269"/>
    <cellStyle name="20% - Accent4 3 2 2 2 2 3" xfId="12785"/>
    <cellStyle name="20% - Accent4 3 2 2 2 2 4" xfId="20740"/>
    <cellStyle name="20% - Accent4 3 2 2 2 3" xfId="6593"/>
    <cellStyle name="20% - Accent4 3 2 2 2 3 2" xfId="14565"/>
    <cellStyle name="20% - Accent4 3 2 2 2 3 3" xfId="22512"/>
    <cellStyle name="20% - Accent4 3 2 2 2 4" xfId="11029"/>
    <cellStyle name="20% - Accent4 3 2 2 2 5" xfId="18984"/>
    <cellStyle name="20% - Accent4 3 2 2 2_Exh G" xfId="2368"/>
    <cellStyle name="20% - Accent4 3 2 2 3" xfId="3882"/>
    <cellStyle name="20% - Accent4 3 2 2 3 2" xfId="7474"/>
    <cellStyle name="20% - Accent4 3 2 2 3 2 2" xfId="15445"/>
    <cellStyle name="20% - Accent4 3 2 2 3 2 3" xfId="23391"/>
    <cellStyle name="20% - Accent4 3 2 2 3 3" xfId="11907"/>
    <cellStyle name="20% - Accent4 3 2 2 3 4" xfId="19862"/>
    <cellStyle name="20% - Accent4 3 2 2 4" xfId="5702"/>
    <cellStyle name="20% - Accent4 3 2 2 4 2" xfId="13686"/>
    <cellStyle name="20% - Accent4 3 2 2 4 3" xfId="21634"/>
    <cellStyle name="20% - Accent4 3 2 2 5" xfId="9255"/>
    <cellStyle name="20% - Accent4 3 2 2 5 2" xfId="17213"/>
    <cellStyle name="20% - Accent4 3 2 2 5 3" xfId="25157"/>
    <cellStyle name="20% - Accent4 3 2 2 6" xfId="10151"/>
    <cellStyle name="20% - Accent4 3 2 2 7" xfId="18106"/>
    <cellStyle name="20% - Accent4 3 2 2_Exh G" xfId="2367"/>
    <cellStyle name="20% - Accent4 3 2 3" xfId="902"/>
    <cellStyle name="20% - Accent4 3 2 3 2" xfId="1832"/>
    <cellStyle name="20% - Accent4 3 2 3 2 2" xfId="5350"/>
    <cellStyle name="20% - Accent4 3 2 3 2 2 2" xfId="8941"/>
    <cellStyle name="20% - Accent4 3 2 3 2 2 2 2" xfId="16912"/>
    <cellStyle name="20% - Accent4 3 2 3 2 2 2 3" xfId="24858"/>
    <cellStyle name="20% - Accent4 3 2 3 2 2 3" xfId="13374"/>
    <cellStyle name="20% - Accent4 3 2 3 2 2 4" xfId="21329"/>
    <cellStyle name="20% - Accent4 3 2 3 2 3" xfId="7182"/>
    <cellStyle name="20% - Accent4 3 2 3 2 3 2" xfId="15154"/>
    <cellStyle name="20% - Accent4 3 2 3 2 3 3" xfId="23101"/>
    <cellStyle name="20% - Accent4 3 2 3 2 4" xfId="11618"/>
    <cellStyle name="20% - Accent4 3 2 3 2 5" xfId="19573"/>
    <cellStyle name="20% - Accent4 3 2 3 2_Exh G" xfId="2370"/>
    <cellStyle name="20% - Accent4 3 2 3 3" xfId="4471"/>
    <cellStyle name="20% - Accent4 3 2 3 3 2" xfId="8063"/>
    <cellStyle name="20% - Accent4 3 2 3 3 2 2" xfId="16034"/>
    <cellStyle name="20% - Accent4 3 2 3 3 2 3" xfId="23980"/>
    <cellStyle name="20% - Accent4 3 2 3 3 3" xfId="12496"/>
    <cellStyle name="20% - Accent4 3 2 3 3 4" xfId="20451"/>
    <cellStyle name="20% - Accent4 3 2 3 4" xfId="6301"/>
    <cellStyle name="20% - Accent4 3 2 3 4 2" xfId="14276"/>
    <cellStyle name="20% - Accent4 3 2 3 4 3" xfId="22223"/>
    <cellStyle name="20% - Accent4 3 2 3 5" xfId="9844"/>
    <cellStyle name="20% - Accent4 3 2 3 5 2" xfId="17802"/>
    <cellStyle name="20% - Accent4 3 2 3 5 3" xfId="25746"/>
    <cellStyle name="20% - Accent4 3 2 3 6" xfId="10740"/>
    <cellStyle name="20% - Accent4 3 2 3 7" xfId="18695"/>
    <cellStyle name="20% - Accent4 3 2 3_Exh G" xfId="2369"/>
    <cellStyle name="20% - Accent4 3 2 4" xfId="1230"/>
    <cellStyle name="20% - Accent4 3 2 4 2" xfId="4760"/>
    <cellStyle name="20% - Accent4 3 2 4 2 2" xfId="8351"/>
    <cellStyle name="20% - Accent4 3 2 4 2 2 2" xfId="16322"/>
    <cellStyle name="20% - Accent4 3 2 4 2 2 3" xfId="24268"/>
    <cellStyle name="20% - Accent4 3 2 4 2 3" xfId="12784"/>
    <cellStyle name="20% - Accent4 3 2 4 2 4" xfId="20739"/>
    <cellStyle name="20% - Accent4 3 2 4 3" xfId="6592"/>
    <cellStyle name="20% - Accent4 3 2 4 3 2" xfId="14564"/>
    <cellStyle name="20% - Accent4 3 2 4 3 3" xfId="22511"/>
    <cellStyle name="20% - Accent4 3 2 4 4" xfId="11028"/>
    <cellStyle name="20% - Accent4 3 2 4 5" xfId="18983"/>
    <cellStyle name="20% - Accent4 3 2 4_Exh G" xfId="2371"/>
    <cellStyle name="20% - Accent4 3 2 5" xfId="3881"/>
    <cellStyle name="20% - Accent4 3 2 5 2" xfId="7473"/>
    <cellStyle name="20% - Accent4 3 2 5 2 2" xfId="15444"/>
    <cellStyle name="20% - Accent4 3 2 5 2 3" xfId="23390"/>
    <cellStyle name="20% - Accent4 3 2 5 3" xfId="11906"/>
    <cellStyle name="20% - Accent4 3 2 5 4" xfId="19861"/>
    <cellStyle name="20% - Accent4 3 2 6" xfId="5701"/>
    <cellStyle name="20% - Accent4 3 2 6 2" xfId="13685"/>
    <cellStyle name="20% - Accent4 3 2 6 3" xfId="21633"/>
    <cellStyle name="20% - Accent4 3 2 7" xfId="9254"/>
    <cellStyle name="20% - Accent4 3 2 7 2" xfId="17212"/>
    <cellStyle name="20% - Accent4 3 2 7 3" xfId="25156"/>
    <cellStyle name="20% - Accent4 3 2 8" xfId="10150"/>
    <cellStyle name="20% - Accent4 3 2 9" xfId="18105"/>
    <cellStyle name="20% - Accent4 3 2_Exh G" xfId="2366"/>
    <cellStyle name="20% - Accent4 3 3" xfId="204"/>
    <cellStyle name="20% - Accent4 3 3 2" xfId="1232"/>
    <cellStyle name="20% - Accent4 3 3 2 2" xfId="4762"/>
    <cellStyle name="20% - Accent4 3 3 2 2 2" xfId="8353"/>
    <cellStyle name="20% - Accent4 3 3 2 2 2 2" xfId="16324"/>
    <cellStyle name="20% - Accent4 3 3 2 2 2 3" xfId="24270"/>
    <cellStyle name="20% - Accent4 3 3 2 2 3" xfId="12786"/>
    <cellStyle name="20% - Accent4 3 3 2 2 4" xfId="20741"/>
    <cellStyle name="20% - Accent4 3 3 2 3" xfId="6594"/>
    <cellStyle name="20% - Accent4 3 3 2 3 2" xfId="14566"/>
    <cellStyle name="20% - Accent4 3 3 2 3 3" xfId="22513"/>
    <cellStyle name="20% - Accent4 3 3 2 4" xfId="11030"/>
    <cellStyle name="20% - Accent4 3 3 2 5" xfId="18985"/>
    <cellStyle name="20% - Accent4 3 3 2_Exh G" xfId="2373"/>
    <cellStyle name="20% - Accent4 3 3 3" xfId="3883"/>
    <cellStyle name="20% - Accent4 3 3 3 2" xfId="7475"/>
    <cellStyle name="20% - Accent4 3 3 3 2 2" xfId="15446"/>
    <cellStyle name="20% - Accent4 3 3 3 2 3" xfId="23392"/>
    <cellStyle name="20% - Accent4 3 3 3 3" xfId="11908"/>
    <cellStyle name="20% - Accent4 3 3 3 4" xfId="19863"/>
    <cellStyle name="20% - Accent4 3 3 4" xfId="5703"/>
    <cellStyle name="20% - Accent4 3 3 4 2" xfId="13687"/>
    <cellStyle name="20% - Accent4 3 3 4 3" xfId="21635"/>
    <cellStyle name="20% - Accent4 3 3 5" xfId="9256"/>
    <cellStyle name="20% - Accent4 3 3 5 2" xfId="17214"/>
    <cellStyle name="20% - Accent4 3 3 5 3" xfId="25158"/>
    <cellStyle name="20% - Accent4 3 3 6" xfId="10152"/>
    <cellStyle name="20% - Accent4 3 3 7" xfId="18107"/>
    <cellStyle name="20% - Accent4 3 3_Exh G" xfId="2372"/>
    <cellStyle name="20% - Accent4 3 4" xfId="901"/>
    <cellStyle name="20% - Accent4 3 4 2" xfId="1831"/>
    <cellStyle name="20% - Accent4 3 4 2 2" xfId="5349"/>
    <cellStyle name="20% - Accent4 3 4 2 2 2" xfId="8940"/>
    <cellStyle name="20% - Accent4 3 4 2 2 2 2" xfId="16911"/>
    <cellStyle name="20% - Accent4 3 4 2 2 2 3" xfId="24857"/>
    <cellStyle name="20% - Accent4 3 4 2 2 3" xfId="13373"/>
    <cellStyle name="20% - Accent4 3 4 2 2 4" xfId="21328"/>
    <cellStyle name="20% - Accent4 3 4 2 3" xfId="7181"/>
    <cellStyle name="20% - Accent4 3 4 2 3 2" xfId="15153"/>
    <cellStyle name="20% - Accent4 3 4 2 3 3" xfId="23100"/>
    <cellStyle name="20% - Accent4 3 4 2 4" xfId="11617"/>
    <cellStyle name="20% - Accent4 3 4 2 5" xfId="19572"/>
    <cellStyle name="20% - Accent4 3 4 2_Exh G" xfId="2375"/>
    <cellStyle name="20% - Accent4 3 4 3" xfId="4470"/>
    <cellStyle name="20% - Accent4 3 4 3 2" xfId="8062"/>
    <cellStyle name="20% - Accent4 3 4 3 2 2" xfId="16033"/>
    <cellStyle name="20% - Accent4 3 4 3 2 3" xfId="23979"/>
    <cellStyle name="20% - Accent4 3 4 3 3" xfId="12495"/>
    <cellStyle name="20% - Accent4 3 4 3 4" xfId="20450"/>
    <cellStyle name="20% - Accent4 3 4 4" xfId="6300"/>
    <cellStyle name="20% - Accent4 3 4 4 2" xfId="14275"/>
    <cellStyle name="20% - Accent4 3 4 4 3" xfId="22222"/>
    <cellStyle name="20% - Accent4 3 4 5" xfId="9843"/>
    <cellStyle name="20% - Accent4 3 4 5 2" xfId="17801"/>
    <cellStyle name="20% - Accent4 3 4 5 3" xfId="25745"/>
    <cellStyle name="20% - Accent4 3 4 6" xfId="10739"/>
    <cellStyle name="20% - Accent4 3 4 7" xfId="18694"/>
    <cellStyle name="20% - Accent4 3 4_Exh G" xfId="2374"/>
    <cellStyle name="20% - Accent4 3 5" xfId="1229"/>
    <cellStyle name="20% - Accent4 3 5 2" xfId="4759"/>
    <cellStyle name="20% - Accent4 3 5 2 2" xfId="8350"/>
    <cellStyle name="20% - Accent4 3 5 2 2 2" xfId="16321"/>
    <cellStyle name="20% - Accent4 3 5 2 2 3" xfId="24267"/>
    <cellStyle name="20% - Accent4 3 5 2 3" xfId="12783"/>
    <cellStyle name="20% - Accent4 3 5 2 4" xfId="20738"/>
    <cellStyle name="20% - Accent4 3 5 3" xfId="6591"/>
    <cellStyle name="20% - Accent4 3 5 3 2" xfId="14563"/>
    <cellStyle name="20% - Accent4 3 5 3 3" xfId="22510"/>
    <cellStyle name="20% - Accent4 3 5 4" xfId="11027"/>
    <cellStyle name="20% - Accent4 3 5 5" xfId="18982"/>
    <cellStyle name="20% - Accent4 3 5_Exh G" xfId="2376"/>
    <cellStyle name="20% - Accent4 3 6" xfId="3880"/>
    <cellStyle name="20% - Accent4 3 6 2" xfId="7472"/>
    <cellStyle name="20% - Accent4 3 6 2 2" xfId="15443"/>
    <cellStyle name="20% - Accent4 3 6 2 3" xfId="23389"/>
    <cellStyle name="20% - Accent4 3 6 3" xfId="11905"/>
    <cellStyle name="20% - Accent4 3 6 4" xfId="19860"/>
    <cellStyle name="20% - Accent4 3 7" xfId="5700"/>
    <cellStyle name="20% - Accent4 3 7 2" xfId="13684"/>
    <cellStyle name="20% - Accent4 3 7 3" xfId="21632"/>
    <cellStyle name="20% - Accent4 3 8" xfId="9253"/>
    <cellStyle name="20% - Accent4 3 8 2" xfId="17211"/>
    <cellStyle name="20% - Accent4 3 8 3" xfId="25155"/>
    <cellStyle name="20% - Accent4 3 9" xfId="10149"/>
    <cellStyle name="20% - Accent4 3_Exh G" xfId="2365"/>
    <cellStyle name="20% - Accent4 4" xfId="205"/>
    <cellStyle name="20% - Accent4 4 10" xfId="18108"/>
    <cellStyle name="20% - Accent4 4 2" xfId="206"/>
    <cellStyle name="20% - Accent4 4 2 2" xfId="207"/>
    <cellStyle name="20% - Accent4 4 2 2 2" xfId="1235"/>
    <cellStyle name="20% - Accent4 4 2 2 2 2" xfId="4765"/>
    <cellStyle name="20% - Accent4 4 2 2 2 2 2" xfId="8356"/>
    <cellStyle name="20% - Accent4 4 2 2 2 2 2 2" xfId="16327"/>
    <cellStyle name="20% - Accent4 4 2 2 2 2 2 3" xfId="24273"/>
    <cellStyle name="20% - Accent4 4 2 2 2 2 3" xfId="12789"/>
    <cellStyle name="20% - Accent4 4 2 2 2 2 4" xfId="20744"/>
    <cellStyle name="20% - Accent4 4 2 2 2 3" xfId="6597"/>
    <cellStyle name="20% - Accent4 4 2 2 2 3 2" xfId="14569"/>
    <cellStyle name="20% - Accent4 4 2 2 2 3 3" xfId="22516"/>
    <cellStyle name="20% - Accent4 4 2 2 2 4" xfId="11033"/>
    <cellStyle name="20% - Accent4 4 2 2 2 5" xfId="18988"/>
    <cellStyle name="20% - Accent4 4 2 2 2_Exh G" xfId="2380"/>
    <cellStyle name="20% - Accent4 4 2 2 3" xfId="3886"/>
    <cellStyle name="20% - Accent4 4 2 2 3 2" xfId="7478"/>
    <cellStyle name="20% - Accent4 4 2 2 3 2 2" xfId="15449"/>
    <cellStyle name="20% - Accent4 4 2 2 3 2 3" xfId="23395"/>
    <cellStyle name="20% - Accent4 4 2 2 3 3" xfId="11911"/>
    <cellStyle name="20% - Accent4 4 2 2 3 4" xfId="19866"/>
    <cellStyle name="20% - Accent4 4 2 2 4" xfId="5706"/>
    <cellStyle name="20% - Accent4 4 2 2 4 2" xfId="13690"/>
    <cellStyle name="20% - Accent4 4 2 2 4 3" xfId="21638"/>
    <cellStyle name="20% - Accent4 4 2 2 5" xfId="9259"/>
    <cellStyle name="20% - Accent4 4 2 2 5 2" xfId="17217"/>
    <cellStyle name="20% - Accent4 4 2 2 5 3" xfId="25161"/>
    <cellStyle name="20% - Accent4 4 2 2 6" xfId="10155"/>
    <cellStyle name="20% - Accent4 4 2 2 7" xfId="18110"/>
    <cellStyle name="20% - Accent4 4 2 2_Exh G" xfId="2379"/>
    <cellStyle name="20% - Accent4 4 2 3" xfId="904"/>
    <cellStyle name="20% - Accent4 4 2 3 2" xfId="1834"/>
    <cellStyle name="20% - Accent4 4 2 3 2 2" xfId="5352"/>
    <cellStyle name="20% - Accent4 4 2 3 2 2 2" xfId="8943"/>
    <cellStyle name="20% - Accent4 4 2 3 2 2 2 2" xfId="16914"/>
    <cellStyle name="20% - Accent4 4 2 3 2 2 2 3" xfId="24860"/>
    <cellStyle name="20% - Accent4 4 2 3 2 2 3" xfId="13376"/>
    <cellStyle name="20% - Accent4 4 2 3 2 2 4" xfId="21331"/>
    <cellStyle name="20% - Accent4 4 2 3 2 3" xfId="7184"/>
    <cellStyle name="20% - Accent4 4 2 3 2 3 2" xfId="15156"/>
    <cellStyle name="20% - Accent4 4 2 3 2 3 3" xfId="23103"/>
    <cellStyle name="20% - Accent4 4 2 3 2 4" xfId="11620"/>
    <cellStyle name="20% - Accent4 4 2 3 2 5" xfId="19575"/>
    <cellStyle name="20% - Accent4 4 2 3 2_Exh G" xfId="2382"/>
    <cellStyle name="20% - Accent4 4 2 3 3" xfId="4473"/>
    <cellStyle name="20% - Accent4 4 2 3 3 2" xfId="8065"/>
    <cellStyle name="20% - Accent4 4 2 3 3 2 2" xfId="16036"/>
    <cellStyle name="20% - Accent4 4 2 3 3 2 3" xfId="23982"/>
    <cellStyle name="20% - Accent4 4 2 3 3 3" xfId="12498"/>
    <cellStyle name="20% - Accent4 4 2 3 3 4" xfId="20453"/>
    <cellStyle name="20% - Accent4 4 2 3 4" xfId="6303"/>
    <cellStyle name="20% - Accent4 4 2 3 4 2" xfId="14278"/>
    <cellStyle name="20% - Accent4 4 2 3 4 3" xfId="22225"/>
    <cellStyle name="20% - Accent4 4 2 3 5" xfId="9846"/>
    <cellStyle name="20% - Accent4 4 2 3 5 2" xfId="17804"/>
    <cellStyle name="20% - Accent4 4 2 3 5 3" xfId="25748"/>
    <cellStyle name="20% - Accent4 4 2 3 6" xfId="10742"/>
    <cellStyle name="20% - Accent4 4 2 3 7" xfId="18697"/>
    <cellStyle name="20% - Accent4 4 2 3_Exh G" xfId="2381"/>
    <cellStyle name="20% - Accent4 4 2 4" xfId="1234"/>
    <cellStyle name="20% - Accent4 4 2 4 2" xfId="4764"/>
    <cellStyle name="20% - Accent4 4 2 4 2 2" xfId="8355"/>
    <cellStyle name="20% - Accent4 4 2 4 2 2 2" xfId="16326"/>
    <cellStyle name="20% - Accent4 4 2 4 2 2 3" xfId="24272"/>
    <cellStyle name="20% - Accent4 4 2 4 2 3" xfId="12788"/>
    <cellStyle name="20% - Accent4 4 2 4 2 4" xfId="20743"/>
    <cellStyle name="20% - Accent4 4 2 4 3" xfId="6596"/>
    <cellStyle name="20% - Accent4 4 2 4 3 2" xfId="14568"/>
    <cellStyle name="20% - Accent4 4 2 4 3 3" xfId="22515"/>
    <cellStyle name="20% - Accent4 4 2 4 4" xfId="11032"/>
    <cellStyle name="20% - Accent4 4 2 4 5" xfId="18987"/>
    <cellStyle name="20% - Accent4 4 2 4_Exh G" xfId="2383"/>
    <cellStyle name="20% - Accent4 4 2 5" xfId="3885"/>
    <cellStyle name="20% - Accent4 4 2 5 2" xfId="7477"/>
    <cellStyle name="20% - Accent4 4 2 5 2 2" xfId="15448"/>
    <cellStyle name="20% - Accent4 4 2 5 2 3" xfId="23394"/>
    <cellStyle name="20% - Accent4 4 2 5 3" xfId="11910"/>
    <cellStyle name="20% - Accent4 4 2 5 4" xfId="19865"/>
    <cellStyle name="20% - Accent4 4 2 6" xfId="5705"/>
    <cellStyle name="20% - Accent4 4 2 6 2" xfId="13689"/>
    <cellStyle name="20% - Accent4 4 2 6 3" xfId="21637"/>
    <cellStyle name="20% - Accent4 4 2 7" xfId="9258"/>
    <cellStyle name="20% - Accent4 4 2 7 2" xfId="17216"/>
    <cellStyle name="20% - Accent4 4 2 7 3" xfId="25160"/>
    <cellStyle name="20% - Accent4 4 2 8" xfId="10154"/>
    <cellStyle name="20% - Accent4 4 2 9" xfId="18109"/>
    <cellStyle name="20% - Accent4 4 2_Exh G" xfId="2378"/>
    <cellStyle name="20% - Accent4 4 3" xfId="208"/>
    <cellStyle name="20% - Accent4 4 3 2" xfId="1236"/>
    <cellStyle name="20% - Accent4 4 3 2 2" xfId="4766"/>
    <cellStyle name="20% - Accent4 4 3 2 2 2" xfId="8357"/>
    <cellStyle name="20% - Accent4 4 3 2 2 2 2" xfId="16328"/>
    <cellStyle name="20% - Accent4 4 3 2 2 2 3" xfId="24274"/>
    <cellStyle name="20% - Accent4 4 3 2 2 3" xfId="12790"/>
    <cellStyle name="20% - Accent4 4 3 2 2 4" xfId="20745"/>
    <cellStyle name="20% - Accent4 4 3 2 3" xfId="6598"/>
    <cellStyle name="20% - Accent4 4 3 2 3 2" xfId="14570"/>
    <cellStyle name="20% - Accent4 4 3 2 3 3" xfId="22517"/>
    <cellStyle name="20% - Accent4 4 3 2 4" xfId="11034"/>
    <cellStyle name="20% - Accent4 4 3 2 5" xfId="18989"/>
    <cellStyle name="20% - Accent4 4 3 2_Exh G" xfId="2385"/>
    <cellStyle name="20% - Accent4 4 3 3" xfId="3887"/>
    <cellStyle name="20% - Accent4 4 3 3 2" xfId="7479"/>
    <cellStyle name="20% - Accent4 4 3 3 2 2" xfId="15450"/>
    <cellStyle name="20% - Accent4 4 3 3 2 3" xfId="23396"/>
    <cellStyle name="20% - Accent4 4 3 3 3" xfId="11912"/>
    <cellStyle name="20% - Accent4 4 3 3 4" xfId="19867"/>
    <cellStyle name="20% - Accent4 4 3 4" xfId="5707"/>
    <cellStyle name="20% - Accent4 4 3 4 2" xfId="13691"/>
    <cellStyle name="20% - Accent4 4 3 4 3" xfId="21639"/>
    <cellStyle name="20% - Accent4 4 3 5" xfId="9260"/>
    <cellStyle name="20% - Accent4 4 3 5 2" xfId="17218"/>
    <cellStyle name="20% - Accent4 4 3 5 3" xfId="25162"/>
    <cellStyle name="20% - Accent4 4 3 6" xfId="10156"/>
    <cellStyle name="20% - Accent4 4 3 7" xfId="18111"/>
    <cellStyle name="20% - Accent4 4 3_Exh G" xfId="2384"/>
    <cellStyle name="20% - Accent4 4 4" xfId="903"/>
    <cellStyle name="20% - Accent4 4 4 2" xfId="1833"/>
    <cellStyle name="20% - Accent4 4 4 2 2" xfId="5351"/>
    <cellStyle name="20% - Accent4 4 4 2 2 2" xfId="8942"/>
    <cellStyle name="20% - Accent4 4 4 2 2 2 2" xfId="16913"/>
    <cellStyle name="20% - Accent4 4 4 2 2 2 3" xfId="24859"/>
    <cellStyle name="20% - Accent4 4 4 2 2 3" xfId="13375"/>
    <cellStyle name="20% - Accent4 4 4 2 2 4" xfId="21330"/>
    <cellStyle name="20% - Accent4 4 4 2 3" xfId="7183"/>
    <cellStyle name="20% - Accent4 4 4 2 3 2" xfId="15155"/>
    <cellStyle name="20% - Accent4 4 4 2 3 3" xfId="23102"/>
    <cellStyle name="20% - Accent4 4 4 2 4" xfId="11619"/>
    <cellStyle name="20% - Accent4 4 4 2 5" xfId="19574"/>
    <cellStyle name="20% - Accent4 4 4 2_Exh G" xfId="2387"/>
    <cellStyle name="20% - Accent4 4 4 3" xfId="4472"/>
    <cellStyle name="20% - Accent4 4 4 3 2" xfId="8064"/>
    <cellStyle name="20% - Accent4 4 4 3 2 2" xfId="16035"/>
    <cellStyle name="20% - Accent4 4 4 3 2 3" xfId="23981"/>
    <cellStyle name="20% - Accent4 4 4 3 3" xfId="12497"/>
    <cellStyle name="20% - Accent4 4 4 3 4" xfId="20452"/>
    <cellStyle name="20% - Accent4 4 4 4" xfId="6302"/>
    <cellStyle name="20% - Accent4 4 4 4 2" xfId="14277"/>
    <cellStyle name="20% - Accent4 4 4 4 3" xfId="22224"/>
    <cellStyle name="20% - Accent4 4 4 5" xfId="9845"/>
    <cellStyle name="20% - Accent4 4 4 5 2" xfId="17803"/>
    <cellStyle name="20% - Accent4 4 4 5 3" xfId="25747"/>
    <cellStyle name="20% - Accent4 4 4 6" xfId="10741"/>
    <cellStyle name="20% - Accent4 4 4 7" xfId="18696"/>
    <cellStyle name="20% - Accent4 4 4_Exh G" xfId="2386"/>
    <cellStyle name="20% - Accent4 4 5" xfId="1233"/>
    <cellStyle name="20% - Accent4 4 5 2" xfId="4763"/>
    <cellStyle name="20% - Accent4 4 5 2 2" xfId="8354"/>
    <cellStyle name="20% - Accent4 4 5 2 2 2" xfId="16325"/>
    <cellStyle name="20% - Accent4 4 5 2 2 3" xfId="24271"/>
    <cellStyle name="20% - Accent4 4 5 2 3" xfId="12787"/>
    <cellStyle name="20% - Accent4 4 5 2 4" xfId="20742"/>
    <cellStyle name="20% - Accent4 4 5 3" xfId="6595"/>
    <cellStyle name="20% - Accent4 4 5 3 2" xfId="14567"/>
    <cellStyle name="20% - Accent4 4 5 3 3" xfId="22514"/>
    <cellStyle name="20% - Accent4 4 5 4" xfId="11031"/>
    <cellStyle name="20% - Accent4 4 5 5" xfId="18986"/>
    <cellStyle name="20% - Accent4 4 5_Exh G" xfId="2388"/>
    <cellStyle name="20% - Accent4 4 6" xfId="3884"/>
    <cellStyle name="20% - Accent4 4 6 2" xfId="7476"/>
    <cellStyle name="20% - Accent4 4 6 2 2" xfId="15447"/>
    <cellStyle name="20% - Accent4 4 6 2 3" xfId="23393"/>
    <cellStyle name="20% - Accent4 4 6 3" xfId="11909"/>
    <cellStyle name="20% - Accent4 4 6 4" xfId="19864"/>
    <cellStyle name="20% - Accent4 4 7" xfId="5704"/>
    <cellStyle name="20% - Accent4 4 7 2" xfId="13688"/>
    <cellStyle name="20% - Accent4 4 7 3" xfId="21636"/>
    <cellStyle name="20% - Accent4 4 8" xfId="9257"/>
    <cellStyle name="20% - Accent4 4 8 2" xfId="17215"/>
    <cellStyle name="20% - Accent4 4 8 3" xfId="25159"/>
    <cellStyle name="20% - Accent4 4 9" xfId="10153"/>
    <cellStyle name="20% - Accent4 4_Exh G" xfId="2377"/>
    <cellStyle name="20% - Accent4 5" xfId="209"/>
    <cellStyle name="20% - Accent4 5 10" xfId="18112"/>
    <cellStyle name="20% - Accent4 5 2" xfId="210"/>
    <cellStyle name="20% - Accent4 5 2 2" xfId="211"/>
    <cellStyle name="20% - Accent4 5 2 2 2" xfId="1239"/>
    <cellStyle name="20% - Accent4 5 2 2 2 2" xfId="4769"/>
    <cellStyle name="20% - Accent4 5 2 2 2 2 2" xfId="8360"/>
    <cellStyle name="20% - Accent4 5 2 2 2 2 2 2" xfId="16331"/>
    <cellStyle name="20% - Accent4 5 2 2 2 2 2 3" xfId="24277"/>
    <cellStyle name="20% - Accent4 5 2 2 2 2 3" xfId="12793"/>
    <cellStyle name="20% - Accent4 5 2 2 2 2 4" xfId="20748"/>
    <cellStyle name="20% - Accent4 5 2 2 2 3" xfId="6601"/>
    <cellStyle name="20% - Accent4 5 2 2 2 3 2" xfId="14573"/>
    <cellStyle name="20% - Accent4 5 2 2 2 3 3" xfId="22520"/>
    <cellStyle name="20% - Accent4 5 2 2 2 4" xfId="11037"/>
    <cellStyle name="20% - Accent4 5 2 2 2 5" xfId="18992"/>
    <cellStyle name="20% - Accent4 5 2 2 2_Exh G" xfId="2392"/>
    <cellStyle name="20% - Accent4 5 2 2 3" xfId="3890"/>
    <cellStyle name="20% - Accent4 5 2 2 3 2" xfId="7482"/>
    <cellStyle name="20% - Accent4 5 2 2 3 2 2" xfId="15453"/>
    <cellStyle name="20% - Accent4 5 2 2 3 2 3" xfId="23399"/>
    <cellStyle name="20% - Accent4 5 2 2 3 3" xfId="11915"/>
    <cellStyle name="20% - Accent4 5 2 2 3 4" xfId="19870"/>
    <cellStyle name="20% - Accent4 5 2 2 4" xfId="5710"/>
    <cellStyle name="20% - Accent4 5 2 2 4 2" xfId="13694"/>
    <cellStyle name="20% - Accent4 5 2 2 4 3" xfId="21642"/>
    <cellStyle name="20% - Accent4 5 2 2 5" xfId="9263"/>
    <cellStyle name="20% - Accent4 5 2 2 5 2" xfId="17221"/>
    <cellStyle name="20% - Accent4 5 2 2 5 3" xfId="25165"/>
    <cellStyle name="20% - Accent4 5 2 2 6" xfId="10159"/>
    <cellStyle name="20% - Accent4 5 2 2 7" xfId="18114"/>
    <cellStyle name="20% - Accent4 5 2 2_Exh G" xfId="2391"/>
    <cellStyle name="20% - Accent4 5 2 3" xfId="1238"/>
    <cellStyle name="20% - Accent4 5 2 3 2" xfId="4768"/>
    <cellStyle name="20% - Accent4 5 2 3 2 2" xfId="8359"/>
    <cellStyle name="20% - Accent4 5 2 3 2 2 2" xfId="16330"/>
    <cellStyle name="20% - Accent4 5 2 3 2 2 3" xfId="24276"/>
    <cellStyle name="20% - Accent4 5 2 3 2 3" xfId="12792"/>
    <cellStyle name="20% - Accent4 5 2 3 2 4" xfId="20747"/>
    <cellStyle name="20% - Accent4 5 2 3 3" xfId="6600"/>
    <cellStyle name="20% - Accent4 5 2 3 3 2" xfId="14572"/>
    <cellStyle name="20% - Accent4 5 2 3 3 3" xfId="22519"/>
    <cellStyle name="20% - Accent4 5 2 3 4" xfId="11036"/>
    <cellStyle name="20% - Accent4 5 2 3 5" xfId="18991"/>
    <cellStyle name="20% - Accent4 5 2 3_Exh G" xfId="2393"/>
    <cellStyle name="20% - Accent4 5 2 4" xfId="3889"/>
    <cellStyle name="20% - Accent4 5 2 4 2" xfId="7481"/>
    <cellStyle name="20% - Accent4 5 2 4 2 2" xfId="15452"/>
    <cellStyle name="20% - Accent4 5 2 4 2 3" xfId="23398"/>
    <cellStyle name="20% - Accent4 5 2 4 3" xfId="11914"/>
    <cellStyle name="20% - Accent4 5 2 4 4" xfId="19869"/>
    <cellStyle name="20% - Accent4 5 2 5" xfId="5709"/>
    <cellStyle name="20% - Accent4 5 2 5 2" xfId="13693"/>
    <cellStyle name="20% - Accent4 5 2 5 3" xfId="21641"/>
    <cellStyle name="20% - Accent4 5 2 6" xfId="9262"/>
    <cellStyle name="20% - Accent4 5 2 6 2" xfId="17220"/>
    <cellStyle name="20% - Accent4 5 2 6 3" xfId="25164"/>
    <cellStyle name="20% - Accent4 5 2 7" xfId="10158"/>
    <cellStyle name="20% - Accent4 5 2 8" xfId="18113"/>
    <cellStyle name="20% - Accent4 5 2_Exh G" xfId="2390"/>
    <cellStyle name="20% - Accent4 5 3" xfId="212"/>
    <cellStyle name="20% - Accent4 5 3 2" xfId="1240"/>
    <cellStyle name="20% - Accent4 5 3 2 2" xfId="4770"/>
    <cellStyle name="20% - Accent4 5 3 2 2 2" xfId="8361"/>
    <cellStyle name="20% - Accent4 5 3 2 2 2 2" xfId="16332"/>
    <cellStyle name="20% - Accent4 5 3 2 2 2 3" xfId="24278"/>
    <cellStyle name="20% - Accent4 5 3 2 2 3" xfId="12794"/>
    <cellStyle name="20% - Accent4 5 3 2 2 4" xfId="20749"/>
    <cellStyle name="20% - Accent4 5 3 2 3" xfId="6602"/>
    <cellStyle name="20% - Accent4 5 3 2 3 2" xfId="14574"/>
    <cellStyle name="20% - Accent4 5 3 2 3 3" xfId="22521"/>
    <cellStyle name="20% - Accent4 5 3 2 4" xfId="11038"/>
    <cellStyle name="20% - Accent4 5 3 2 5" xfId="18993"/>
    <cellStyle name="20% - Accent4 5 3 2_Exh G" xfId="2395"/>
    <cellStyle name="20% - Accent4 5 3 3" xfId="3891"/>
    <cellStyle name="20% - Accent4 5 3 3 2" xfId="7483"/>
    <cellStyle name="20% - Accent4 5 3 3 2 2" xfId="15454"/>
    <cellStyle name="20% - Accent4 5 3 3 2 3" xfId="23400"/>
    <cellStyle name="20% - Accent4 5 3 3 3" xfId="11916"/>
    <cellStyle name="20% - Accent4 5 3 3 4" xfId="19871"/>
    <cellStyle name="20% - Accent4 5 3 4" xfId="5711"/>
    <cellStyle name="20% - Accent4 5 3 4 2" xfId="13695"/>
    <cellStyle name="20% - Accent4 5 3 4 3" xfId="21643"/>
    <cellStyle name="20% - Accent4 5 3 5" xfId="9264"/>
    <cellStyle name="20% - Accent4 5 3 5 2" xfId="17222"/>
    <cellStyle name="20% - Accent4 5 3 5 3" xfId="25166"/>
    <cellStyle name="20% - Accent4 5 3 6" xfId="10160"/>
    <cellStyle name="20% - Accent4 5 3 7" xfId="18115"/>
    <cellStyle name="20% - Accent4 5 3_Exh G" xfId="2394"/>
    <cellStyle name="20% - Accent4 5 4" xfId="905"/>
    <cellStyle name="20% - Accent4 5 5" xfId="1237"/>
    <cellStyle name="20% - Accent4 5 5 2" xfId="4767"/>
    <cellStyle name="20% - Accent4 5 5 2 2" xfId="8358"/>
    <cellStyle name="20% - Accent4 5 5 2 2 2" xfId="16329"/>
    <cellStyle name="20% - Accent4 5 5 2 2 3" xfId="24275"/>
    <cellStyle name="20% - Accent4 5 5 2 3" xfId="12791"/>
    <cellStyle name="20% - Accent4 5 5 2 4" xfId="20746"/>
    <cellStyle name="20% - Accent4 5 5 3" xfId="6599"/>
    <cellStyle name="20% - Accent4 5 5 3 2" xfId="14571"/>
    <cellStyle name="20% - Accent4 5 5 3 3" xfId="22518"/>
    <cellStyle name="20% - Accent4 5 5 4" xfId="11035"/>
    <cellStyle name="20% - Accent4 5 5 5" xfId="18990"/>
    <cellStyle name="20% - Accent4 5 5_Exh G" xfId="2396"/>
    <cellStyle name="20% - Accent4 5 6" xfId="3888"/>
    <cellStyle name="20% - Accent4 5 6 2" xfId="7480"/>
    <cellStyle name="20% - Accent4 5 6 2 2" xfId="15451"/>
    <cellStyle name="20% - Accent4 5 6 2 3" xfId="23397"/>
    <cellStyle name="20% - Accent4 5 6 3" xfId="11913"/>
    <cellStyle name="20% - Accent4 5 6 4" xfId="19868"/>
    <cellStyle name="20% - Accent4 5 7" xfId="5708"/>
    <cellStyle name="20% - Accent4 5 7 2" xfId="13692"/>
    <cellStyle name="20% - Accent4 5 7 3" xfId="21640"/>
    <cellStyle name="20% - Accent4 5 8" xfId="9261"/>
    <cellStyle name="20% - Accent4 5 8 2" xfId="17219"/>
    <cellStyle name="20% - Accent4 5 8 3" xfId="25163"/>
    <cellStyle name="20% - Accent4 5 9" xfId="10157"/>
    <cellStyle name="20% - Accent4 5_Exh G" xfId="2389"/>
    <cellStyle name="20% - Accent4 6" xfId="213"/>
    <cellStyle name="20% - Accent4 6 10" xfId="18116"/>
    <cellStyle name="20% - Accent4 6 2" xfId="214"/>
    <cellStyle name="20% - Accent4 6 2 2" xfId="215"/>
    <cellStyle name="20% - Accent4 6 2 2 2" xfId="1243"/>
    <cellStyle name="20% - Accent4 6 2 2 2 2" xfId="4773"/>
    <cellStyle name="20% - Accent4 6 2 2 2 2 2" xfId="8364"/>
    <cellStyle name="20% - Accent4 6 2 2 2 2 2 2" xfId="16335"/>
    <cellStyle name="20% - Accent4 6 2 2 2 2 2 3" xfId="24281"/>
    <cellStyle name="20% - Accent4 6 2 2 2 2 3" xfId="12797"/>
    <cellStyle name="20% - Accent4 6 2 2 2 2 4" xfId="20752"/>
    <cellStyle name="20% - Accent4 6 2 2 2 3" xfId="6605"/>
    <cellStyle name="20% - Accent4 6 2 2 2 3 2" xfId="14577"/>
    <cellStyle name="20% - Accent4 6 2 2 2 3 3" xfId="22524"/>
    <cellStyle name="20% - Accent4 6 2 2 2 4" xfId="11041"/>
    <cellStyle name="20% - Accent4 6 2 2 2 5" xfId="18996"/>
    <cellStyle name="20% - Accent4 6 2 2 2_Exh G" xfId="2400"/>
    <cellStyle name="20% - Accent4 6 2 2 3" xfId="3894"/>
    <cellStyle name="20% - Accent4 6 2 2 3 2" xfId="7486"/>
    <cellStyle name="20% - Accent4 6 2 2 3 2 2" xfId="15457"/>
    <cellStyle name="20% - Accent4 6 2 2 3 2 3" xfId="23403"/>
    <cellStyle name="20% - Accent4 6 2 2 3 3" xfId="11919"/>
    <cellStyle name="20% - Accent4 6 2 2 3 4" xfId="19874"/>
    <cellStyle name="20% - Accent4 6 2 2 4" xfId="5714"/>
    <cellStyle name="20% - Accent4 6 2 2 4 2" xfId="13698"/>
    <cellStyle name="20% - Accent4 6 2 2 4 3" xfId="21646"/>
    <cellStyle name="20% - Accent4 6 2 2 5" xfId="9267"/>
    <cellStyle name="20% - Accent4 6 2 2 5 2" xfId="17225"/>
    <cellStyle name="20% - Accent4 6 2 2 5 3" xfId="25169"/>
    <cellStyle name="20% - Accent4 6 2 2 6" xfId="10163"/>
    <cellStyle name="20% - Accent4 6 2 2 7" xfId="18118"/>
    <cellStyle name="20% - Accent4 6 2 2_Exh G" xfId="2399"/>
    <cellStyle name="20% - Accent4 6 2 3" xfId="1242"/>
    <cellStyle name="20% - Accent4 6 2 3 2" xfId="4772"/>
    <cellStyle name="20% - Accent4 6 2 3 2 2" xfId="8363"/>
    <cellStyle name="20% - Accent4 6 2 3 2 2 2" xfId="16334"/>
    <cellStyle name="20% - Accent4 6 2 3 2 2 3" xfId="24280"/>
    <cellStyle name="20% - Accent4 6 2 3 2 3" xfId="12796"/>
    <cellStyle name="20% - Accent4 6 2 3 2 4" xfId="20751"/>
    <cellStyle name="20% - Accent4 6 2 3 3" xfId="6604"/>
    <cellStyle name="20% - Accent4 6 2 3 3 2" xfId="14576"/>
    <cellStyle name="20% - Accent4 6 2 3 3 3" xfId="22523"/>
    <cellStyle name="20% - Accent4 6 2 3 4" xfId="11040"/>
    <cellStyle name="20% - Accent4 6 2 3 5" xfId="18995"/>
    <cellStyle name="20% - Accent4 6 2 3_Exh G" xfId="2401"/>
    <cellStyle name="20% - Accent4 6 2 4" xfId="3893"/>
    <cellStyle name="20% - Accent4 6 2 4 2" xfId="7485"/>
    <cellStyle name="20% - Accent4 6 2 4 2 2" xfId="15456"/>
    <cellStyle name="20% - Accent4 6 2 4 2 3" xfId="23402"/>
    <cellStyle name="20% - Accent4 6 2 4 3" xfId="11918"/>
    <cellStyle name="20% - Accent4 6 2 4 4" xfId="19873"/>
    <cellStyle name="20% - Accent4 6 2 5" xfId="5713"/>
    <cellStyle name="20% - Accent4 6 2 5 2" xfId="13697"/>
    <cellStyle name="20% - Accent4 6 2 5 3" xfId="21645"/>
    <cellStyle name="20% - Accent4 6 2 6" xfId="9266"/>
    <cellStyle name="20% - Accent4 6 2 6 2" xfId="17224"/>
    <cellStyle name="20% - Accent4 6 2 6 3" xfId="25168"/>
    <cellStyle name="20% - Accent4 6 2 7" xfId="10162"/>
    <cellStyle name="20% - Accent4 6 2 8" xfId="18117"/>
    <cellStyle name="20% - Accent4 6 2_Exh G" xfId="2398"/>
    <cellStyle name="20% - Accent4 6 3" xfId="216"/>
    <cellStyle name="20% - Accent4 6 3 2" xfId="1244"/>
    <cellStyle name="20% - Accent4 6 3 2 2" xfId="4774"/>
    <cellStyle name="20% - Accent4 6 3 2 2 2" xfId="8365"/>
    <cellStyle name="20% - Accent4 6 3 2 2 2 2" xfId="16336"/>
    <cellStyle name="20% - Accent4 6 3 2 2 2 3" xfId="24282"/>
    <cellStyle name="20% - Accent4 6 3 2 2 3" xfId="12798"/>
    <cellStyle name="20% - Accent4 6 3 2 2 4" xfId="20753"/>
    <cellStyle name="20% - Accent4 6 3 2 3" xfId="6606"/>
    <cellStyle name="20% - Accent4 6 3 2 3 2" xfId="14578"/>
    <cellStyle name="20% - Accent4 6 3 2 3 3" xfId="22525"/>
    <cellStyle name="20% - Accent4 6 3 2 4" xfId="11042"/>
    <cellStyle name="20% - Accent4 6 3 2 5" xfId="18997"/>
    <cellStyle name="20% - Accent4 6 3 2_Exh G" xfId="2403"/>
    <cellStyle name="20% - Accent4 6 3 3" xfId="3895"/>
    <cellStyle name="20% - Accent4 6 3 3 2" xfId="7487"/>
    <cellStyle name="20% - Accent4 6 3 3 2 2" xfId="15458"/>
    <cellStyle name="20% - Accent4 6 3 3 2 3" xfId="23404"/>
    <cellStyle name="20% - Accent4 6 3 3 3" xfId="11920"/>
    <cellStyle name="20% - Accent4 6 3 3 4" xfId="19875"/>
    <cellStyle name="20% - Accent4 6 3 4" xfId="5715"/>
    <cellStyle name="20% - Accent4 6 3 4 2" xfId="13699"/>
    <cellStyle name="20% - Accent4 6 3 4 3" xfId="21647"/>
    <cellStyle name="20% - Accent4 6 3 5" xfId="9268"/>
    <cellStyle name="20% - Accent4 6 3 5 2" xfId="17226"/>
    <cellStyle name="20% - Accent4 6 3 5 3" xfId="25170"/>
    <cellStyle name="20% - Accent4 6 3 6" xfId="10164"/>
    <cellStyle name="20% - Accent4 6 3 7" xfId="18119"/>
    <cellStyle name="20% - Accent4 6 3_Exh G" xfId="2402"/>
    <cellStyle name="20% - Accent4 6 4" xfId="906"/>
    <cellStyle name="20% - Accent4 6 4 2" xfId="1835"/>
    <cellStyle name="20% - Accent4 6 4 2 2" xfId="5353"/>
    <cellStyle name="20% - Accent4 6 4 2 2 2" xfId="8944"/>
    <cellStyle name="20% - Accent4 6 4 2 2 2 2" xfId="16915"/>
    <cellStyle name="20% - Accent4 6 4 2 2 2 3" xfId="24861"/>
    <cellStyle name="20% - Accent4 6 4 2 2 3" xfId="13377"/>
    <cellStyle name="20% - Accent4 6 4 2 2 4" xfId="21332"/>
    <cellStyle name="20% - Accent4 6 4 2 3" xfId="7185"/>
    <cellStyle name="20% - Accent4 6 4 2 3 2" xfId="15157"/>
    <cellStyle name="20% - Accent4 6 4 2 3 3" xfId="23104"/>
    <cellStyle name="20% - Accent4 6 4 2 4" xfId="11621"/>
    <cellStyle name="20% - Accent4 6 4 2 5" xfId="19576"/>
    <cellStyle name="20% - Accent4 6 4 2_Exh G" xfId="2405"/>
    <cellStyle name="20% - Accent4 6 4 3" xfId="4474"/>
    <cellStyle name="20% - Accent4 6 4 3 2" xfId="8066"/>
    <cellStyle name="20% - Accent4 6 4 3 2 2" xfId="16037"/>
    <cellStyle name="20% - Accent4 6 4 3 2 3" xfId="23983"/>
    <cellStyle name="20% - Accent4 6 4 3 3" xfId="12499"/>
    <cellStyle name="20% - Accent4 6 4 3 4" xfId="20454"/>
    <cellStyle name="20% - Accent4 6 4 4" xfId="6304"/>
    <cellStyle name="20% - Accent4 6 4 4 2" xfId="14279"/>
    <cellStyle name="20% - Accent4 6 4 4 3" xfId="22226"/>
    <cellStyle name="20% - Accent4 6 4 5" xfId="9847"/>
    <cellStyle name="20% - Accent4 6 4 5 2" xfId="17805"/>
    <cellStyle name="20% - Accent4 6 4 5 3" xfId="25749"/>
    <cellStyle name="20% - Accent4 6 4 6" xfId="10743"/>
    <cellStyle name="20% - Accent4 6 4 7" xfId="18698"/>
    <cellStyle name="20% - Accent4 6 4_Exh G" xfId="2404"/>
    <cellStyle name="20% - Accent4 6 5" xfId="1241"/>
    <cellStyle name="20% - Accent4 6 5 2" xfId="4771"/>
    <cellStyle name="20% - Accent4 6 5 2 2" xfId="8362"/>
    <cellStyle name="20% - Accent4 6 5 2 2 2" xfId="16333"/>
    <cellStyle name="20% - Accent4 6 5 2 2 3" xfId="24279"/>
    <cellStyle name="20% - Accent4 6 5 2 3" xfId="12795"/>
    <cellStyle name="20% - Accent4 6 5 2 4" xfId="20750"/>
    <cellStyle name="20% - Accent4 6 5 3" xfId="6603"/>
    <cellStyle name="20% - Accent4 6 5 3 2" xfId="14575"/>
    <cellStyle name="20% - Accent4 6 5 3 3" xfId="22522"/>
    <cellStyle name="20% - Accent4 6 5 4" xfId="11039"/>
    <cellStyle name="20% - Accent4 6 5 5" xfId="18994"/>
    <cellStyle name="20% - Accent4 6 5_Exh G" xfId="2406"/>
    <cellStyle name="20% - Accent4 6 6" xfId="3892"/>
    <cellStyle name="20% - Accent4 6 6 2" xfId="7484"/>
    <cellStyle name="20% - Accent4 6 6 2 2" xfId="15455"/>
    <cellStyle name="20% - Accent4 6 6 2 3" xfId="23401"/>
    <cellStyle name="20% - Accent4 6 6 3" xfId="11917"/>
    <cellStyle name="20% - Accent4 6 6 4" xfId="19872"/>
    <cellStyle name="20% - Accent4 6 7" xfId="5712"/>
    <cellStyle name="20% - Accent4 6 7 2" xfId="13696"/>
    <cellStyle name="20% - Accent4 6 7 3" xfId="21644"/>
    <cellStyle name="20% - Accent4 6 8" xfId="9265"/>
    <cellStyle name="20% - Accent4 6 8 2" xfId="17223"/>
    <cellStyle name="20% - Accent4 6 8 3" xfId="25167"/>
    <cellStyle name="20% - Accent4 6 9" xfId="10161"/>
    <cellStyle name="20% - Accent4 6_Exh G" xfId="2397"/>
    <cellStyle name="20% - Accent4 7" xfId="217"/>
    <cellStyle name="20% - Accent4 7 10" xfId="18120"/>
    <cellStyle name="20% - Accent4 7 2" xfId="218"/>
    <cellStyle name="20% - Accent4 7 2 2" xfId="219"/>
    <cellStyle name="20% - Accent4 7 2 2 2" xfId="1247"/>
    <cellStyle name="20% - Accent4 7 2 2 2 2" xfId="4777"/>
    <cellStyle name="20% - Accent4 7 2 2 2 2 2" xfId="8368"/>
    <cellStyle name="20% - Accent4 7 2 2 2 2 2 2" xfId="16339"/>
    <cellStyle name="20% - Accent4 7 2 2 2 2 2 3" xfId="24285"/>
    <cellStyle name="20% - Accent4 7 2 2 2 2 3" xfId="12801"/>
    <cellStyle name="20% - Accent4 7 2 2 2 2 4" xfId="20756"/>
    <cellStyle name="20% - Accent4 7 2 2 2 3" xfId="6609"/>
    <cellStyle name="20% - Accent4 7 2 2 2 3 2" xfId="14581"/>
    <cellStyle name="20% - Accent4 7 2 2 2 3 3" xfId="22528"/>
    <cellStyle name="20% - Accent4 7 2 2 2 4" xfId="11045"/>
    <cellStyle name="20% - Accent4 7 2 2 2 5" xfId="19000"/>
    <cellStyle name="20% - Accent4 7 2 2 2_Exh G" xfId="2410"/>
    <cellStyle name="20% - Accent4 7 2 2 3" xfId="3898"/>
    <cellStyle name="20% - Accent4 7 2 2 3 2" xfId="7490"/>
    <cellStyle name="20% - Accent4 7 2 2 3 2 2" xfId="15461"/>
    <cellStyle name="20% - Accent4 7 2 2 3 2 3" xfId="23407"/>
    <cellStyle name="20% - Accent4 7 2 2 3 3" xfId="11923"/>
    <cellStyle name="20% - Accent4 7 2 2 3 4" xfId="19878"/>
    <cellStyle name="20% - Accent4 7 2 2 4" xfId="5718"/>
    <cellStyle name="20% - Accent4 7 2 2 4 2" xfId="13702"/>
    <cellStyle name="20% - Accent4 7 2 2 4 3" xfId="21650"/>
    <cellStyle name="20% - Accent4 7 2 2 5" xfId="9271"/>
    <cellStyle name="20% - Accent4 7 2 2 5 2" xfId="17229"/>
    <cellStyle name="20% - Accent4 7 2 2 5 3" xfId="25173"/>
    <cellStyle name="20% - Accent4 7 2 2 6" xfId="10167"/>
    <cellStyle name="20% - Accent4 7 2 2 7" xfId="18122"/>
    <cellStyle name="20% - Accent4 7 2 2_Exh G" xfId="2409"/>
    <cellStyle name="20% - Accent4 7 2 3" xfId="1246"/>
    <cellStyle name="20% - Accent4 7 2 3 2" xfId="4776"/>
    <cellStyle name="20% - Accent4 7 2 3 2 2" xfId="8367"/>
    <cellStyle name="20% - Accent4 7 2 3 2 2 2" xfId="16338"/>
    <cellStyle name="20% - Accent4 7 2 3 2 2 3" xfId="24284"/>
    <cellStyle name="20% - Accent4 7 2 3 2 3" xfId="12800"/>
    <cellStyle name="20% - Accent4 7 2 3 2 4" xfId="20755"/>
    <cellStyle name="20% - Accent4 7 2 3 3" xfId="6608"/>
    <cellStyle name="20% - Accent4 7 2 3 3 2" xfId="14580"/>
    <cellStyle name="20% - Accent4 7 2 3 3 3" xfId="22527"/>
    <cellStyle name="20% - Accent4 7 2 3 4" xfId="11044"/>
    <cellStyle name="20% - Accent4 7 2 3 5" xfId="18999"/>
    <cellStyle name="20% - Accent4 7 2 3_Exh G" xfId="2411"/>
    <cellStyle name="20% - Accent4 7 2 4" xfId="3897"/>
    <cellStyle name="20% - Accent4 7 2 4 2" xfId="7489"/>
    <cellStyle name="20% - Accent4 7 2 4 2 2" xfId="15460"/>
    <cellStyle name="20% - Accent4 7 2 4 2 3" xfId="23406"/>
    <cellStyle name="20% - Accent4 7 2 4 3" xfId="11922"/>
    <cellStyle name="20% - Accent4 7 2 4 4" xfId="19877"/>
    <cellStyle name="20% - Accent4 7 2 5" xfId="5717"/>
    <cellStyle name="20% - Accent4 7 2 5 2" xfId="13701"/>
    <cellStyle name="20% - Accent4 7 2 5 3" xfId="21649"/>
    <cellStyle name="20% - Accent4 7 2 6" xfId="9270"/>
    <cellStyle name="20% - Accent4 7 2 6 2" xfId="17228"/>
    <cellStyle name="20% - Accent4 7 2 6 3" xfId="25172"/>
    <cellStyle name="20% - Accent4 7 2 7" xfId="10166"/>
    <cellStyle name="20% - Accent4 7 2 8" xfId="18121"/>
    <cellStyle name="20% - Accent4 7 2_Exh G" xfId="2408"/>
    <cellStyle name="20% - Accent4 7 3" xfId="220"/>
    <cellStyle name="20% - Accent4 7 3 2" xfId="1248"/>
    <cellStyle name="20% - Accent4 7 3 2 2" xfId="4778"/>
    <cellStyle name="20% - Accent4 7 3 2 2 2" xfId="8369"/>
    <cellStyle name="20% - Accent4 7 3 2 2 2 2" xfId="16340"/>
    <cellStyle name="20% - Accent4 7 3 2 2 2 3" xfId="24286"/>
    <cellStyle name="20% - Accent4 7 3 2 2 3" xfId="12802"/>
    <cellStyle name="20% - Accent4 7 3 2 2 4" xfId="20757"/>
    <cellStyle name="20% - Accent4 7 3 2 3" xfId="6610"/>
    <cellStyle name="20% - Accent4 7 3 2 3 2" xfId="14582"/>
    <cellStyle name="20% - Accent4 7 3 2 3 3" xfId="22529"/>
    <cellStyle name="20% - Accent4 7 3 2 4" xfId="11046"/>
    <cellStyle name="20% - Accent4 7 3 2 5" xfId="19001"/>
    <cellStyle name="20% - Accent4 7 3 2_Exh G" xfId="2413"/>
    <cellStyle name="20% - Accent4 7 3 3" xfId="3899"/>
    <cellStyle name="20% - Accent4 7 3 3 2" xfId="7491"/>
    <cellStyle name="20% - Accent4 7 3 3 2 2" xfId="15462"/>
    <cellStyle name="20% - Accent4 7 3 3 2 3" xfId="23408"/>
    <cellStyle name="20% - Accent4 7 3 3 3" xfId="11924"/>
    <cellStyle name="20% - Accent4 7 3 3 4" xfId="19879"/>
    <cellStyle name="20% - Accent4 7 3 4" xfId="5719"/>
    <cellStyle name="20% - Accent4 7 3 4 2" xfId="13703"/>
    <cellStyle name="20% - Accent4 7 3 4 3" xfId="21651"/>
    <cellStyle name="20% - Accent4 7 3 5" xfId="9272"/>
    <cellStyle name="20% - Accent4 7 3 5 2" xfId="17230"/>
    <cellStyle name="20% - Accent4 7 3 5 3" xfId="25174"/>
    <cellStyle name="20% - Accent4 7 3 6" xfId="10168"/>
    <cellStyle name="20% - Accent4 7 3 7" xfId="18123"/>
    <cellStyle name="20% - Accent4 7 3_Exh G" xfId="2412"/>
    <cellStyle name="20% - Accent4 7 4" xfId="907"/>
    <cellStyle name="20% - Accent4 7 4 2" xfId="1836"/>
    <cellStyle name="20% - Accent4 7 4 2 2" xfId="5354"/>
    <cellStyle name="20% - Accent4 7 4 2 2 2" xfId="8945"/>
    <cellStyle name="20% - Accent4 7 4 2 2 2 2" xfId="16916"/>
    <cellStyle name="20% - Accent4 7 4 2 2 2 3" xfId="24862"/>
    <cellStyle name="20% - Accent4 7 4 2 2 3" xfId="13378"/>
    <cellStyle name="20% - Accent4 7 4 2 2 4" xfId="21333"/>
    <cellStyle name="20% - Accent4 7 4 2 3" xfId="7186"/>
    <cellStyle name="20% - Accent4 7 4 2 3 2" xfId="15158"/>
    <cellStyle name="20% - Accent4 7 4 2 3 3" xfId="23105"/>
    <cellStyle name="20% - Accent4 7 4 2 4" xfId="11622"/>
    <cellStyle name="20% - Accent4 7 4 2 5" xfId="19577"/>
    <cellStyle name="20% - Accent4 7 4 2_Exh G" xfId="2415"/>
    <cellStyle name="20% - Accent4 7 4 3" xfId="4475"/>
    <cellStyle name="20% - Accent4 7 4 3 2" xfId="8067"/>
    <cellStyle name="20% - Accent4 7 4 3 2 2" xfId="16038"/>
    <cellStyle name="20% - Accent4 7 4 3 2 3" xfId="23984"/>
    <cellStyle name="20% - Accent4 7 4 3 3" xfId="12500"/>
    <cellStyle name="20% - Accent4 7 4 3 4" xfId="20455"/>
    <cellStyle name="20% - Accent4 7 4 4" xfId="6305"/>
    <cellStyle name="20% - Accent4 7 4 4 2" xfId="14280"/>
    <cellStyle name="20% - Accent4 7 4 4 3" xfId="22227"/>
    <cellStyle name="20% - Accent4 7 4 5" xfId="9848"/>
    <cellStyle name="20% - Accent4 7 4 5 2" xfId="17806"/>
    <cellStyle name="20% - Accent4 7 4 5 3" xfId="25750"/>
    <cellStyle name="20% - Accent4 7 4 6" xfId="10744"/>
    <cellStyle name="20% - Accent4 7 4 7" xfId="18699"/>
    <cellStyle name="20% - Accent4 7 4_Exh G" xfId="2414"/>
    <cellStyle name="20% - Accent4 7 5" xfId="1245"/>
    <cellStyle name="20% - Accent4 7 5 2" xfId="4775"/>
    <cellStyle name="20% - Accent4 7 5 2 2" xfId="8366"/>
    <cellStyle name="20% - Accent4 7 5 2 2 2" xfId="16337"/>
    <cellStyle name="20% - Accent4 7 5 2 2 3" xfId="24283"/>
    <cellStyle name="20% - Accent4 7 5 2 3" xfId="12799"/>
    <cellStyle name="20% - Accent4 7 5 2 4" xfId="20754"/>
    <cellStyle name="20% - Accent4 7 5 3" xfId="6607"/>
    <cellStyle name="20% - Accent4 7 5 3 2" xfId="14579"/>
    <cellStyle name="20% - Accent4 7 5 3 3" xfId="22526"/>
    <cellStyle name="20% - Accent4 7 5 4" xfId="11043"/>
    <cellStyle name="20% - Accent4 7 5 5" xfId="18998"/>
    <cellStyle name="20% - Accent4 7 5_Exh G" xfId="2416"/>
    <cellStyle name="20% - Accent4 7 6" xfId="3896"/>
    <cellStyle name="20% - Accent4 7 6 2" xfId="7488"/>
    <cellStyle name="20% - Accent4 7 6 2 2" xfId="15459"/>
    <cellStyle name="20% - Accent4 7 6 2 3" xfId="23405"/>
    <cellStyle name="20% - Accent4 7 6 3" xfId="11921"/>
    <cellStyle name="20% - Accent4 7 6 4" xfId="19876"/>
    <cellStyle name="20% - Accent4 7 7" xfId="5716"/>
    <cellStyle name="20% - Accent4 7 7 2" xfId="13700"/>
    <cellStyle name="20% - Accent4 7 7 3" xfId="21648"/>
    <cellStyle name="20% - Accent4 7 8" xfId="9269"/>
    <cellStyle name="20% - Accent4 7 8 2" xfId="17227"/>
    <cellStyle name="20% - Accent4 7 8 3" xfId="25171"/>
    <cellStyle name="20% - Accent4 7 9" xfId="10165"/>
    <cellStyle name="20% - Accent4 7_Exh G" xfId="2407"/>
    <cellStyle name="20% - Accent4 8" xfId="221"/>
    <cellStyle name="20% - Accent4 8 10" xfId="18124"/>
    <cellStyle name="20% - Accent4 8 2" xfId="222"/>
    <cellStyle name="20% - Accent4 8 2 2" xfId="223"/>
    <cellStyle name="20% - Accent4 8 2 2 2" xfId="1251"/>
    <cellStyle name="20% - Accent4 8 2 2 2 2" xfId="4781"/>
    <cellStyle name="20% - Accent4 8 2 2 2 2 2" xfId="8372"/>
    <cellStyle name="20% - Accent4 8 2 2 2 2 2 2" xfId="16343"/>
    <cellStyle name="20% - Accent4 8 2 2 2 2 2 3" xfId="24289"/>
    <cellStyle name="20% - Accent4 8 2 2 2 2 3" xfId="12805"/>
    <cellStyle name="20% - Accent4 8 2 2 2 2 4" xfId="20760"/>
    <cellStyle name="20% - Accent4 8 2 2 2 3" xfId="6613"/>
    <cellStyle name="20% - Accent4 8 2 2 2 3 2" xfId="14585"/>
    <cellStyle name="20% - Accent4 8 2 2 2 3 3" xfId="22532"/>
    <cellStyle name="20% - Accent4 8 2 2 2 4" xfId="11049"/>
    <cellStyle name="20% - Accent4 8 2 2 2 5" xfId="19004"/>
    <cellStyle name="20% - Accent4 8 2 2 2_Exh G" xfId="2420"/>
    <cellStyle name="20% - Accent4 8 2 2 3" xfId="3902"/>
    <cellStyle name="20% - Accent4 8 2 2 3 2" xfId="7494"/>
    <cellStyle name="20% - Accent4 8 2 2 3 2 2" xfId="15465"/>
    <cellStyle name="20% - Accent4 8 2 2 3 2 3" xfId="23411"/>
    <cellStyle name="20% - Accent4 8 2 2 3 3" xfId="11927"/>
    <cellStyle name="20% - Accent4 8 2 2 3 4" xfId="19882"/>
    <cellStyle name="20% - Accent4 8 2 2 4" xfId="5722"/>
    <cellStyle name="20% - Accent4 8 2 2 4 2" xfId="13706"/>
    <cellStyle name="20% - Accent4 8 2 2 4 3" xfId="21654"/>
    <cellStyle name="20% - Accent4 8 2 2 5" xfId="9275"/>
    <cellStyle name="20% - Accent4 8 2 2 5 2" xfId="17233"/>
    <cellStyle name="20% - Accent4 8 2 2 5 3" xfId="25177"/>
    <cellStyle name="20% - Accent4 8 2 2 6" xfId="10171"/>
    <cellStyle name="20% - Accent4 8 2 2 7" xfId="18126"/>
    <cellStyle name="20% - Accent4 8 2 2_Exh G" xfId="2419"/>
    <cellStyle name="20% - Accent4 8 2 3" xfId="1250"/>
    <cellStyle name="20% - Accent4 8 2 3 2" xfId="4780"/>
    <cellStyle name="20% - Accent4 8 2 3 2 2" xfId="8371"/>
    <cellStyle name="20% - Accent4 8 2 3 2 2 2" xfId="16342"/>
    <cellStyle name="20% - Accent4 8 2 3 2 2 3" xfId="24288"/>
    <cellStyle name="20% - Accent4 8 2 3 2 3" xfId="12804"/>
    <cellStyle name="20% - Accent4 8 2 3 2 4" xfId="20759"/>
    <cellStyle name="20% - Accent4 8 2 3 3" xfId="6612"/>
    <cellStyle name="20% - Accent4 8 2 3 3 2" xfId="14584"/>
    <cellStyle name="20% - Accent4 8 2 3 3 3" xfId="22531"/>
    <cellStyle name="20% - Accent4 8 2 3 4" xfId="11048"/>
    <cellStyle name="20% - Accent4 8 2 3 5" xfId="19003"/>
    <cellStyle name="20% - Accent4 8 2 3_Exh G" xfId="2421"/>
    <cellStyle name="20% - Accent4 8 2 4" xfId="3901"/>
    <cellStyle name="20% - Accent4 8 2 4 2" xfId="7493"/>
    <cellStyle name="20% - Accent4 8 2 4 2 2" xfId="15464"/>
    <cellStyle name="20% - Accent4 8 2 4 2 3" xfId="23410"/>
    <cellStyle name="20% - Accent4 8 2 4 3" xfId="11926"/>
    <cellStyle name="20% - Accent4 8 2 4 4" xfId="19881"/>
    <cellStyle name="20% - Accent4 8 2 5" xfId="5721"/>
    <cellStyle name="20% - Accent4 8 2 5 2" xfId="13705"/>
    <cellStyle name="20% - Accent4 8 2 5 3" xfId="21653"/>
    <cellStyle name="20% - Accent4 8 2 6" xfId="9274"/>
    <cellStyle name="20% - Accent4 8 2 6 2" xfId="17232"/>
    <cellStyle name="20% - Accent4 8 2 6 3" xfId="25176"/>
    <cellStyle name="20% - Accent4 8 2 7" xfId="10170"/>
    <cellStyle name="20% - Accent4 8 2 8" xfId="18125"/>
    <cellStyle name="20% - Accent4 8 2_Exh G" xfId="2418"/>
    <cellStyle name="20% - Accent4 8 3" xfId="224"/>
    <cellStyle name="20% - Accent4 8 3 2" xfId="1252"/>
    <cellStyle name="20% - Accent4 8 3 2 2" xfId="4782"/>
    <cellStyle name="20% - Accent4 8 3 2 2 2" xfId="8373"/>
    <cellStyle name="20% - Accent4 8 3 2 2 2 2" xfId="16344"/>
    <cellStyle name="20% - Accent4 8 3 2 2 2 3" xfId="24290"/>
    <cellStyle name="20% - Accent4 8 3 2 2 3" xfId="12806"/>
    <cellStyle name="20% - Accent4 8 3 2 2 4" xfId="20761"/>
    <cellStyle name="20% - Accent4 8 3 2 3" xfId="6614"/>
    <cellStyle name="20% - Accent4 8 3 2 3 2" xfId="14586"/>
    <cellStyle name="20% - Accent4 8 3 2 3 3" xfId="22533"/>
    <cellStyle name="20% - Accent4 8 3 2 4" xfId="11050"/>
    <cellStyle name="20% - Accent4 8 3 2 5" xfId="19005"/>
    <cellStyle name="20% - Accent4 8 3 2_Exh G" xfId="2423"/>
    <cellStyle name="20% - Accent4 8 3 3" xfId="3903"/>
    <cellStyle name="20% - Accent4 8 3 3 2" xfId="7495"/>
    <cellStyle name="20% - Accent4 8 3 3 2 2" xfId="15466"/>
    <cellStyle name="20% - Accent4 8 3 3 2 3" xfId="23412"/>
    <cellStyle name="20% - Accent4 8 3 3 3" xfId="11928"/>
    <cellStyle name="20% - Accent4 8 3 3 4" xfId="19883"/>
    <cellStyle name="20% - Accent4 8 3 4" xfId="5723"/>
    <cellStyle name="20% - Accent4 8 3 4 2" xfId="13707"/>
    <cellStyle name="20% - Accent4 8 3 4 3" xfId="21655"/>
    <cellStyle name="20% - Accent4 8 3 5" xfId="9276"/>
    <cellStyle name="20% - Accent4 8 3 5 2" xfId="17234"/>
    <cellStyle name="20% - Accent4 8 3 5 3" xfId="25178"/>
    <cellStyle name="20% - Accent4 8 3 6" xfId="10172"/>
    <cellStyle name="20% - Accent4 8 3 7" xfId="18127"/>
    <cellStyle name="20% - Accent4 8 3_Exh G" xfId="2422"/>
    <cellStyle name="20% - Accent4 8 4" xfId="908"/>
    <cellStyle name="20% - Accent4 8 4 2" xfId="1837"/>
    <cellStyle name="20% - Accent4 8 4 2 2" xfId="5355"/>
    <cellStyle name="20% - Accent4 8 4 2 2 2" xfId="8946"/>
    <cellStyle name="20% - Accent4 8 4 2 2 2 2" xfId="16917"/>
    <cellStyle name="20% - Accent4 8 4 2 2 2 3" xfId="24863"/>
    <cellStyle name="20% - Accent4 8 4 2 2 3" xfId="13379"/>
    <cellStyle name="20% - Accent4 8 4 2 2 4" xfId="21334"/>
    <cellStyle name="20% - Accent4 8 4 2 3" xfId="7187"/>
    <cellStyle name="20% - Accent4 8 4 2 3 2" xfId="15159"/>
    <cellStyle name="20% - Accent4 8 4 2 3 3" xfId="23106"/>
    <cellStyle name="20% - Accent4 8 4 2 4" xfId="11623"/>
    <cellStyle name="20% - Accent4 8 4 2 5" xfId="19578"/>
    <cellStyle name="20% - Accent4 8 4 2_Exh G" xfId="2425"/>
    <cellStyle name="20% - Accent4 8 4 3" xfId="4476"/>
    <cellStyle name="20% - Accent4 8 4 3 2" xfId="8068"/>
    <cellStyle name="20% - Accent4 8 4 3 2 2" xfId="16039"/>
    <cellStyle name="20% - Accent4 8 4 3 2 3" xfId="23985"/>
    <cellStyle name="20% - Accent4 8 4 3 3" xfId="12501"/>
    <cellStyle name="20% - Accent4 8 4 3 4" xfId="20456"/>
    <cellStyle name="20% - Accent4 8 4 4" xfId="6306"/>
    <cellStyle name="20% - Accent4 8 4 4 2" xfId="14281"/>
    <cellStyle name="20% - Accent4 8 4 4 3" xfId="22228"/>
    <cellStyle name="20% - Accent4 8 4 5" xfId="9849"/>
    <cellStyle name="20% - Accent4 8 4 5 2" xfId="17807"/>
    <cellStyle name="20% - Accent4 8 4 5 3" xfId="25751"/>
    <cellStyle name="20% - Accent4 8 4 6" xfId="10745"/>
    <cellStyle name="20% - Accent4 8 4 7" xfId="18700"/>
    <cellStyle name="20% - Accent4 8 4_Exh G" xfId="2424"/>
    <cellStyle name="20% - Accent4 8 5" xfId="1249"/>
    <cellStyle name="20% - Accent4 8 5 2" xfId="4779"/>
    <cellStyle name="20% - Accent4 8 5 2 2" xfId="8370"/>
    <cellStyle name="20% - Accent4 8 5 2 2 2" xfId="16341"/>
    <cellStyle name="20% - Accent4 8 5 2 2 3" xfId="24287"/>
    <cellStyle name="20% - Accent4 8 5 2 3" xfId="12803"/>
    <cellStyle name="20% - Accent4 8 5 2 4" xfId="20758"/>
    <cellStyle name="20% - Accent4 8 5 3" xfId="6611"/>
    <cellStyle name="20% - Accent4 8 5 3 2" xfId="14583"/>
    <cellStyle name="20% - Accent4 8 5 3 3" xfId="22530"/>
    <cellStyle name="20% - Accent4 8 5 4" xfId="11047"/>
    <cellStyle name="20% - Accent4 8 5 5" xfId="19002"/>
    <cellStyle name="20% - Accent4 8 5_Exh G" xfId="2426"/>
    <cellStyle name="20% - Accent4 8 6" xfId="3900"/>
    <cellStyle name="20% - Accent4 8 6 2" xfId="7492"/>
    <cellStyle name="20% - Accent4 8 6 2 2" xfId="15463"/>
    <cellStyle name="20% - Accent4 8 6 2 3" xfId="23409"/>
    <cellStyle name="20% - Accent4 8 6 3" xfId="11925"/>
    <cellStyle name="20% - Accent4 8 6 4" xfId="19880"/>
    <cellStyle name="20% - Accent4 8 7" xfId="5720"/>
    <cellStyle name="20% - Accent4 8 7 2" xfId="13704"/>
    <cellStyle name="20% - Accent4 8 7 3" xfId="21652"/>
    <cellStyle name="20% - Accent4 8 8" xfId="9273"/>
    <cellStyle name="20% - Accent4 8 8 2" xfId="17231"/>
    <cellStyle name="20% - Accent4 8 8 3" xfId="25175"/>
    <cellStyle name="20% - Accent4 8 9" xfId="10169"/>
    <cellStyle name="20% - Accent4 8_Exh G" xfId="2417"/>
    <cellStyle name="20% - Accent4 9" xfId="225"/>
    <cellStyle name="20% - Accent4 9 10" xfId="18128"/>
    <cellStyle name="20% - Accent4 9 2" xfId="226"/>
    <cellStyle name="20% - Accent4 9 2 2" xfId="227"/>
    <cellStyle name="20% - Accent4 9 2 2 2" xfId="1255"/>
    <cellStyle name="20% - Accent4 9 2 2 2 2" xfId="4785"/>
    <cellStyle name="20% - Accent4 9 2 2 2 2 2" xfId="8376"/>
    <cellStyle name="20% - Accent4 9 2 2 2 2 2 2" xfId="16347"/>
    <cellStyle name="20% - Accent4 9 2 2 2 2 2 3" xfId="24293"/>
    <cellStyle name="20% - Accent4 9 2 2 2 2 3" xfId="12809"/>
    <cellStyle name="20% - Accent4 9 2 2 2 2 4" xfId="20764"/>
    <cellStyle name="20% - Accent4 9 2 2 2 3" xfId="6617"/>
    <cellStyle name="20% - Accent4 9 2 2 2 3 2" xfId="14589"/>
    <cellStyle name="20% - Accent4 9 2 2 2 3 3" xfId="22536"/>
    <cellStyle name="20% - Accent4 9 2 2 2 4" xfId="11053"/>
    <cellStyle name="20% - Accent4 9 2 2 2 5" xfId="19008"/>
    <cellStyle name="20% - Accent4 9 2 2 2_Exh G" xfId="2430"/>
    <cellStyle name="20% - Accent4 9 2 2 3" xfId="3906"/>
    <cellStyle name="20% - Accent4 9 2 2 3 2" xfId="7498"/>
    <cellStyle name="20% - Accent4 9 2 2 3 2 2" xfId="15469"/>
    <cellStyle name="20% - Accent4 9 2 2 3 2 3" xfId="23415"/>
    <cellStyle name="20% - Accent4 9 2 2 3 3" xfId="11931"/>
    <cellStyle name="20% - Accent4 9 2 2 3 4" xfId="19886"/>
    <cellStyle name="20% - Accent4 9 2 2 4" xfId="5726"/>
    <cellStyle name="20% - Accent4 9 2 2 4 2" xfId="13710"/>
    <cellStyle name="20% - Accent4 9 2 2 4 3" xfId="21658"/>
    <cellStyle name="20% - Accent4 9 2 2 5" xfId="9279"/>
    <cellStyle name="20% - Accent4 9 2 2 5 2" xfId="17237"/>
    <cellStyle name="20% - Accent4 9 2 2 5 3" xfId="25181"/>
    <cellStyle name="20% - Accent4 9 2 2 6" xfId="10175"/>
    <cellStyle name="20% - Accent4 9 2 2 7" xfId="18130"/>
    <cellStyle name="20% - Accent4 9 2 2_Exh G" xfId="2429"/>
    <cellStyle name="20% - Accent4 9 2 3" xfId="1254"/>
    <cellStyle name="20% - Accent4 9 2 3 2" xfId="4784"/>
    <cellStyle name="20% - Accent4 9 2 3 2 2" xfId="8375"/>
    <cellStyle name="20% - Accent4 9 2 3 2 2 2" xfId="16346"/>
    <cellStyle name="20% - Accent4 9 2 3 2 2 3" xfId="24292"/>
    <cellStyle name="20% - Accent4 9 2 3 2 3" xfId="12808"/>
    <cellStyle name="20% - Accent4 9 2 3 2 4" xfId="20763"/>
    <cellStyle name="20% - Accent4 9 2 3 3" xfId="6616"/>
    <cellStyle name="20% - Accent4 9 2 3 3 2" xfId="14588"/>
    <cellStyle name="20% - Accent4 9 2 3 3 3" xfId="22535"/>
    <cellStyle name="20% - Accent4 9 2 3 4" xfId="11052"/>
    <cellStyle name="20% - Accent4 9 2 3 5" xfId="19007"/>
    <cellStyle name="20% - Accent4 9 2 3_Exh G" xfId="2431"/>
    <cellStyle name="20% - Accent4 9 2 4" xfId="3905"/>
    <cellStyle name="20% - Accent4 9 2 4 2" xfId="7497"/>
    <cellStyle name="20% - Accent4 9 2 4 2 2" xfId="15468"/>
    <cellStyle name="20% - Accent4 9 2 4 2 3" xfId="23414"/>
    <cellStyle name="20% - Accent4 9 2 4 3" xfId="11930"/>
    <cellStyle name="20% - Accent4 9 2 4 4" xfId="19885"/>
    <cellStyle name="20% - Accent4 9 2 5" xfId="5725"/>
    <cellStyle name="20% - Accent4 9 2 5 2" xfId="13709"/>
    <cellStyle name="20% - Accent4 9 2 5 3" xfId="21657"/>
    <cellStyle name="20% - Accent4 9 2 6" xfId="9278"/>
    <cellStyle name="20% - Accent4 9 2 6 2" xfId="17236"/>
    <cellStyle name="20% - Accent4 9 2 6 3" xfId="25180"/>
    <cellStyle name="20% - Accent4 9 2 7" xfId="10174"/>
    <cellStyle name="20% - Accent4 9 2 8" xfId="18129"/>
    <cellStyle name="20% - Accent4 9 2_Exh G" xfId="2428"/>
    <cellStyle name="20% - Accent4 9 3" xfId="228"/>
    <cellStyle name="20% - Accent4 9 3 2" xfId="1256"/>
    <cellStyle name="20% - Accent4 9 3 2 2" xfId="4786"/>
    <cellStyle name="20% - Accent4 9 3 2 2 2" xfId="8377"/>
    <cellStyle name="20% - Accent4 9 3 2 2 2 2" xfId="16348"/>
    <cellStyle name="20% - Accent4 9 3 2 2 2 3" xfId="24294"/>
    <cellStyle name="20% - Accent4 9 3 2 2 3" xfId="12810"/>
    <cellStyle name="20% - Accent4 9 3 2 2 4" xfId="20765"/>
    <cellStyle name="20% - Accent4 9 3 2 3" xfId="6618"/>
    <cellStyle name="20% - Accent4 9 3 2 3 2" xfId="14590"/>
    <cellStyle name="20% - Accent4 9 3 2 3 3" xfId="22537"/>
    <cellStyle name="20% - Accent4 9 3 2 4" xfId="11054"/>
    <cellStyle name="20% - Accent4 9 3 2 5" xfId="19009"/>
    <cellStyle name="20% - Accent4 9 3 2_Exh G" xfId="2433"/>
    <cellStyle name="20% - Accent4 9 3 3" xfId="3907"/>
    <cellStyle name="20% - Accent4 9 3 3 2" xfId="7499"/>
    <cellStyle name="20% - Accent4 9 3 3 2 2" xfId="15470"/>
    <cellStyle name="20% - Accent4 9 3 3 2 3" xfId="23416"/>
    <cellStyle name="20% - Accent4 9 3 3 3" xfId="11932"/>
    <cellStyle name="20% - Accent4 9 3 3 4" xfId="19887"/>
    <cellStyle name="20% - Accent4 9 3 4" xfId="5727"/>
    <cellStyle name="20% - Accent4 9 3 4 2" xfId="13711"/>
    <cellStyle name="20% - Accent4 9 3 4 3" xfId="21659"/>
    <cellStyle name="20% - Accent4 9 3 5" xfId="9280"/>
    <cellStyle name="20% - Accent4 9 3 5 2" xfId="17238"/>
    <cellStyle name="20% - Accent4 9 3 5 3" xfId="25182"/>
    <cellStyle name="20% - Accent4 9 3 6" xfId="10176"/>
    <cellStyle name="20% - Accent4 9 3 7" xfId="18131"/>
    <cellStyle name="20% - Accent4 9 3_Exh G" xfId="2432"/>
    <cellStyle name="20% - Accent4 9 4" xfId="909"/>
    <cellStyle name="20% - Accent4 9 4 2" xfId="1838"/>
    <cellStyle name="20% - Accent4 9 4 2 2" xfId="5356"/>
    <cellStyle name="20% - Accent4 9 4 2 2 2" xfId="8947"/>
    <cellStyle name="20% - Accent4 9 4 2 2 2 2" xfId="16918"/>
    <cellStyle name="20% - Accent4 9 4 2 2 2 3" xfId="24864"/>
    <cellStyle name="20% - Accent4 9 4 2 2 3" xfId="13380"/>
    <cellStyle name="20% - Accent4 9 4 2 2 4" xfId="21335"/>
    <cellStyle name="20% - Accent4 9 4 2 3" xfId="7188"/>
    <cellStyle name="20% - Accent4 9 4 2 3 2" xfId="15160"/>
    <cellStyle name="20% - Accent4 9 4 2 3 3" xfId="23107"/>
    <cellStyle name="20% - Accent4 9 4 2 4" xfId="11624"/>
    <cellStyle name="20% - Accent4 9 4 2 5" xfId="19579"/>
    <cellStyle name="20% - Accent4 9 4 2_Exh G" xfId="2435"/>
    <cellStyle name="20% - Accent4 9 4 3" xfId="4477"/>
    <cellStyle name="20% - Accent4 9 4 3 2" xfId="8069"/>
    <cellStyle name="20% - Accent4 9 4 3 2 2" xfId="16040"/>
    <cellStyle name="20% - Accent4 9 4 3 2 3" xfId="23986"/>
    <cellStyle name="20% - Accent4 9 4 3 3" xfId="12502"/>
    <cellStyle name="20% - Accent4 9 4 3 4" xfId="20457"/>
    <cellStyle name="20% - Accent4 9 4 4" xfId="6307"/>
    <cellStyle name="20% - Accent4 9 4 4 2" xfId="14282"/>
    <cellStyle name="20% - Accent4 9 4 4 3" xfId="22229"/>
    <cellStyle name="20% - Accent4 9 4 5" xfId="9850"/>
    <cellStyle name="20% - Accent4 9 4 5 2" xfId="17808"/>
    <cellStyle name="20% - Accent4 9 4 5 3" xfId="25752"/>
    <cellStyle name="20% - Accent4 9 4 6" xfId="10746"/>
    <cellStyle name="20% - Accent4 9 4 7" xfId="18701"/>
    <cellStyle name="20% - Accent4 9 4_Exh G" xfId="2434"/>
    <cellStyle name="20% - Accent4 9 5" xfId="1253"/>
    <cellStyle name="20% - Accent4 9 5 2" xfId="4783"/>
    <cellStyle name="20% - Accent4 9 5 2 2" xfId="8374"/>
    <cellStyle name="20% - Accent4 9 5 2 2 2" xfId="16345"/>
    <cellStyle name="20% - Accent4 9 5 2 2 3" xfId="24291"/>
    <cellStyle name="20% - Accent4 9 5 2 3" xfId="12807"/>
    <cellStyle name="20% - Accent4 9 5 2 4" xfId="20762"/>
    <cellStyle name="20% - Accent4 9 5 3" xfId="6615"/>
    <cellStyle name="20% - Accent4 9 5 3 2" xfId="14587"/>
    <cellStyle name="20% - Accent4 9 5 3 3" xfId="22534"/>
    <cellStyle name="20% - Accent4 9 5 4" xfId="11051"/>
    <cellStyle name="20% - Accent4 9 5 5" xfId="19006"/>
    <cellStyle name="20% - Accent4 9 5_Exh G" xfId="2436"/>
    <cellStyle name="20% - Accent4 9 6" xfId="3904"/>
    <cellStyle name="20% - Accent4 9 6 2" xfId="7496"/>
    <cellStyle name="20% - Accent4 9 6 2 2" xfId="15467"/>
    <cellStyle name="20% - Accent4 9 6 2 3" xfId="23413"/>
    <cellStyle name="20% - Accent4 9 6 3" xfId="11929"/>
    <cellStyle name="20% - Accent4 9 6 4" xfId="19884"/>
    <cellStyle name="20% - Accent4 9 7" xfId="5724"/>
    <cellStyle name="20% - Accent4 9 7 2" xfId="13708"/>
    <cellStyle name="20% - Accent4 9 7 3" xfId="21656"/>
    <cellStyle name="20% - Accent4 9 8" xfId="9277"/>
    <cellStyle name="20% - Accent4 9 8 2" xfId="17235"/>
    <cellStyle name="20% - Accent4 9 8 3" xfId="25179"/>
    <cellStyle name="20% - Accent4 9 9" xfId="10173"/>
    <cellStyle name="20% - Accent4 9_Exh G" xfId="2427"/>
    <cellStyle name="20% - Accent5 10" xfId="229"/>
    <cellStyle name="20% - Accent5 10 10" xfId="18132"/>
    <cellStyle name="20% - Accent5 10 2" xfId="230"/>
    <cellStyle name="20% - Accent5 10 2 2" xfId="231"/>
    <cellStyle name="20% - Accent5 10 2 2 2" xfId="1259"/>
    <cellStyle name="20% - Accent5 10 2 2 2 2" xfId="4789"/>
    <cellStyle name="20% - Accent5 10 2 2 2 2 2" xfId="8380"/>
    <cellStyle name="20% - Accent5 10 2 2 2 2 2 2" xfId="16351"/>
    <cellStyle name="20% - Accent5 10 2 2 2 2 2 3" xfId="24297"/>
    <cellStyle name="20% - Accent5 10 2 2 2 2 3" xfId="12813"/>
    <cellStyle name="20% - Accent5 10 2 2 2 2 4" xfId="20768"/>
    <cellStyle name="20% - Accent5 10 2 2 2 3" xfId="6621"/>
    <cellStyle name="20% - Accent5 10 2 2 2 3 2" xfId="14593"/>
    <cellStyle name="20% - Accent5 10 2 2 2 3 3" xfId="22540"/>
    <cellStyle name="20% - Accent5 10 2 2 2 4" xfId="11057"/>
    <cellStyle name="20% - Accent5 10 2 2 2 5" xfId="19012"/>
    <cellStyle name="20% - Accent5 10 2 2 2_Exh G" xfId="2440"/>
    <cellStyle name="20% - Accent5 10 2 2 3" xfId="3910"/>
    <cellStyle name="20% - Accent5 10 2 2 3 2" xfId="7502"/>
    <cellStyle name="20% - Accent5 10 2 2 3 2 2" xfId="15473"/>
    <cellStyle name="20% - Accent5 10 2 2 3 2 3" xfId="23419"/>
    <cellStyle name="20% - Accent5 10 2 2 3 3" xfId="11935"/>
    <cellStyle name="20% - Accent5 10 2 2 3 4" xfId="19890"/>
    <cellStyle name="20% - Accent5 10 2 2 4" xfId="5730"/>
    <cellStyle name="20% - Accent5 10 2 2 4 2" xfId="13714"/>
    <cellStyle name="20% - Accent5 10 2 2 4 3" xfId="21662"/>
    <cellStyle name="20% - Accent5 10 2 2 5" xfId="9283"/>
    <cellStyle name="20% - Accent5 10 2 2 5 2" xfId="17241"/>
    <cellStyle name="20% - Accent5 10 2 2 5 3" xfId="25185"/>
    <cellStyle name="20% - Accent5 10 2 2 6" xfId="10179"/>
    <cellStyle name="20% - Accent5 10 2 2 7" xfId="18134"/>
    <cellStyle name="20% - Accent5 10 2 2_Exh G" xfId="2439"/>
    <cellStyle name="20% - Accent5 10 2 3" xfId="1258"/>
    <cellStyle name="20% - Accent5 10 2 3 2" xfId="4788"/>
    <cellStyle name="20% - Accent5 10 2 3 2 2" xfId="8379"/>
    <cellStyle name="20% - Accent5 10 2 3 2 2 2" xfId="16350"/>
    <cellStyle name="20% - Accent5 10 2 3 2 2 3" xfId="24296"/>
    <cellStyle name="20% - Accent5 10 2 3 2 3" xfId="12812"/>
    <cellStyle name="20% - Accent5 10 2 3 2 4" xfId="20767"/>
    <cellStyle name="20% - Accent5 10 2 3 3" xfId="6620"/>
    <cellStyle name="20% - Accent5 10 2 3 3 2" xfId="14592"/>
    <cellStyle name="20% - Accent5 10 2 3 3 3" xfId="22539"/>
    <cellStyle name="20% - Accent5 10 2 3 4" xfId="11056"/>
    <cellStyle name="20% - Accent5 10 2 3 5" xfId="19011"/>
    <cellStyle name="20% - Accent5 10 2 3_Exh G" xfId="2441"/>
    <cellStyle name="20% - Accent5 10 2 4" xfId="3909"/>
    <cellStyle name="20% - Accent5 10 2 4 2" xfId="7501"/>
    <cellStyle name="20% - Accent5 10 2 4 2 2" xfId="15472"/>
    <cellStyle name="20% - Accent5 10 2 4 2 3" xfId="23418"/>
    <cellStyle name="20% - Accent5 10 2 4 3" xfId="11934"/>
    <cellStyle name="20% - Accent5 10 2 4 4" xfId="19889"/>
    <cellStyle name="20% - Accent5 10 2 5" xfId="5729"/>
    <cellStyle name="20% - Accent5 10 2 5 2" xfId="13713"/>
    <cellStyle name="20% - Accent5 10 2 5 3" xfId="21661"/>
    <cellStyle name="20% - Accent5 10 2 6" xfId="9282"/>
    <cellStyle name="20% - Accent5 10 2 6 2" xfId="17240"/>
    <cellStyle name="20% - Accent5 10 2 6 3" xfId="25184"/>
    <cellStyle name="20% - Accent5 10 2 7" xfId="10178"/>
    <cellStyle name="20% - Accent5 10 2 8" xfId="18133"/>
    <cellStyle name="20% - Accent5 10 2_Exh G" xfId="2438"/>
    <cellStyle name="20% - Accent5 10 3" xfId="232"/>
    <cellStyle name="20% - Accent5 10 3 2" xfId="1260"/>
    <cellStyle name="20% - Accent5 10 3 2 2" xfId="4790"/>
    <cellStyle name="20% - Accent5 10 3 2 2 2" xfId="8381"/>
    <cellStyle name="20% - Accent5 10 3 2 2 2 2" xfId="16352"/>
    <cellStyle name="20% - Accent5 10 3 2 2 2 3" xfId="24298"/>
    <cellStyle name="20% - Accent5 10 3 2 2 3" xfId="12814"/>
    <cellStyle name="20% - Accent5 10 3 2 2 4" xfId="20769"/>
    <cellStyle name="20% - Accent5 10 3 2 3" xfId="6622"/>
    <cellStyle name="20% - Accent5 10 3 2 3 2" xfId="14594"/>
    <cellStyle name="20% - Accent5 10 3 2 3 3" xfId="22541"/>
    <cellStyle name="20% - Accent5 10 3 2 4" xfId="11058"/>
    <cellStyle name="20% - Accent5 10 3 2 5" xfId="19013"/>
    <cellStyle name="20% - Accent5 10 3 2_Exh G" xfId="2443"/>
    <cellStyle name="20% - Accent5 10 3 3" xfId="3911"/>
    <cellStyle name="20% - Accent5 10 3 3 2" xfId="7503"/>
    <cellStyle name="20% - Accent5 10 3 3 2 2" xfId="15474"/>
    <cellStyle name="20% - Accent5 10 3 3 2 3" xfId="23420"/>
    <cellStyle name="20% - Accent5 10 3 3 3" xfId="11936"/>
    <cellStyle name="20% - Accent5 10 3 3 4" xfId="19891"/>
    <cellStyle name="20% - Accent5 10 3 4" xfId="5731"/>
    <cellStyle name="20% - Accent5 10 3 4 2" xfId="13715"/>
    <cellStyle name="20% - Accent5 10 3 4 3" xfId="21663"/>
    <cellStyle name="20% - Accent5 10 3 5" xfId="9284"/>
    <cellStyle name="20% - Accent5 10 3 5 2" xfId="17242"/>
    <cellStyle name="20% - Accent5 10 3 5 3" xfId="25186"/>
    <cellStyle name="20% - Accent5 10 3 6" xfId="10180"/>
    <cellStyle name="20% - Accent5 10 3 7" xfId="18135"/>
    <cellStyle name="20% - Accent5 10 3_Exh G" xfId="2442"/>
    <cellStyle name="20% - Accent5 10 4" xfId="910"/>
    <cellStyle name="20% - Accent5 10 5" xfId="1257"/>
    <cellStyle name="20% - Accent5 10 5 2" xfId="4787"/>
    <cellStyle name="20% - Accent5 10 5 2 2" xfId="8378"/>
    <cellStyle name="20% - Accent5 10 5 2 2 2" xfId="16349"/>
    <cellStyle name="20% - Accent5 10 5 2 2 3" xfId="24295"/>
    <cellStyle name="20% - Accent5 10 5 2 3" xfId="12811"/>
    <cellStyle name="20% - Accent5 10 5 2 4" xfId="20766"/>
    <cellStyle name="20% - Accent5 10 5 3" xfId="6619"/>
    <cellStyle name="20% - Accent5 10 5 3 2" xfId="14591"/>
    <cellStyle name="20% - Accent5 10 5 3 3" xfId="22538"/>
    <cellStyle name="20% - Accent5 10 5 4" xfId="11055"/>
    <cellStyle name="20% - Accent5 10 5 5" xfId="19010"/>
    <cellStyle name="20% - Accent5 10 5_Exh G" xfId="2444"/>
    <cellStyle name="20% - Accent5 10 6" xfId="3908"/>
    <cellStyle name="20% - Accent5 10 6 2" xfId="7500"/>
    <cellStyle name="20% - Accent5 10 6 2 2" xfId="15471"/>
    <cellStyle name="20% - Accent5 10 6 2 3" xfId="23417"/>
    <cellStyle name="20% - Accent5 10 6 3" xfId="11933"/>
    <cellStyle name="20% - Accent5 10 6 4" xfId="19888"/>
    <cellStyle name="20% - Accent5 10 7" xfId="5728"/>
    <cellStyle name="20% - Accent5 10 7 2" xfId="13712"/>
    <cellStyle name="20% - Accent5 10 7 3" xfId="21660"/>
    <cellStyle name="20% - Accent5 10 8" xfId="9281"/>
    <cellStyle name="20% - Accent5 10 8 2" xfId="17239"/>
    <cellStyle name="20% - Accent5 10 8 3" xfId="25183"/>
    <cellStyle name="20% - Accent5 10 9" xfId="10177"/>
    <cellStyle name="20% - Accent5 10_Exh G" xfId="2437"/>
    <cellStyle name="20% - Accent5 11" xfId="233"/>
    <cellStyle name="20% - Accent5 11 2" xfId="234"/>
    <cellStyle name="20% - Accent5 11 2 2" xfId="235"/>
    <cellStyle name="20% - Accent5 11 2 2 2" xfId="1263"/>
    <cellStyle name="20% - Accent5 11 2 2 2 2" xfId="4793"/>
    <cellStyle name="20% - Accent5 11 2 2 2 2 2" xfId="8384"/>
    <cellStyle name="20% - Accent5 11 2 2 2 2 2 2" xfId="16355"/>
    <cellStyle name="20% - Accent5 11 2 2 2 2 2 3" xfId="24301"/>
    <cellStyle name="20% - Accent5 11 2 2 2 2 3" xfId="12817"/>
    <cellStyle name="20% - Accent5 11 2 2 2 2 4" xfId="20772"/>
    <cellStyle name="20% - Accent5 11 2 2 2 3" xfId="6625"/>
    <cellStyle name="20% - Accent5 11 2 2 2 3 2" xfId="14597"/>
    <cellStyle name="20% - Accent5 11 2 2 2 3 3" xfId="22544"/>
    <cellStyle name="20% - Accent5 11 2 2 2 4" xfId="11061"/>
    <cellStyle name="20% - Accent5 11 2 2 2 5" xfId="19016"/>
    <cellStyle name="20% - Accent5 11 2 2 2_Exh G" xfId="2448"/>
    <cellStyle name="20% - Accent5 11 2 2 3" xfId="3914"/>
    <cellStyle name="20% - Accent5 11 2 2 3 2" xfId="7506"/>
    <cellStyle name="20% - Accent5 11 2 2 3 2 2" xfId="15477"/>
    <cellStyle name="20% - Accent5 11 2 2 3 2 3" xfId="23423"/>
    <cellStyle name="20% - Accent5 11 2 2 3 3" xfId="11939"/>
    <cellStyle name="20% - Accent5 11 2 2 3 4" xfId="19894"/>
    <cellStyle name="20% - Accent5 11 2 2 4" xfId="5734"/>
    <cellStyle name="20% - Accent5 11 2 2 4 2" xfId="13718"/>
    <cellStyle name="20% - Accent5 11 2 2 4 3" xfId="21666"/>
    <cellStyle name="20% - Accent5 11 2 2 5" xfId="9287"/>
    <cellStyle name="20% - Accent5 11 2 2 5 2" xfId="17245"/>
    <cellStyle name="20% - Accent5 11 2 2 5 3" xfId="25189"/>
    <cellStyle name="20% - Accent5 11 2 2 6" xfId="10183"/>
    <cellStyle name="20% - Accent5 11 2 2 7" xfId="18138"/>
    <cellStyle name="20% - Accent5 11 2 2_Exh G" xfId="2447"/>
    <cellStyle name="20% - Accent5 11 2 3" xfId="1262"/>
    <cellStyle name="20% - Accent5 11 2 3 2" xfId="4792"/>
    <cellStyle name="20% - Accent5 11 2 3 2 2" xfId="8383"/>
    <cellStyle name="20% - Accent5 11 2 3 2 2 2" xfId="16354"/>
    <cellStyle name="20% - Accent5 11 2 3 2 2 3" xfId="24300"/>
    <cellStyle name="20% - Accent5 11 2 3 2 3" xfId="12816"/>
    <cellStyle name="20% - Accent5 11 2 3 2 4" xfId="20771"/>
    <cellStyle name="20% - Accent5 11 2 3 3" xfId="6624"/>
    <cellStyle name="20% - Accent5 11 2 3 3 2" xfId="14596"/>
    <cellStyle name="20% - Accent5 11 2 3 3 3" xfId="22543"/>
    <cellStyle name="20% - Accent5 11 2 3 4" xfId="11060"/>
    <cellStyle name="20% - Accent5 11 2 3 5" xfId="19015"/>
    <cellStyle name="20% - Accent5 11 2 3_Exh G" xfId="2449"/>
    <cellStyle name="20% - Accent5 11 2 4" xfId="3913"/>
    <cellStyle name="20% - Accent5 11 2 4 2" xfId="7505"/>
    <cellStyle name="20% - Accent5 11 2 4 2 2" xfId="15476"/>
    <cellStyle name="20% - Accent5 11 2 4 2 3" xfId="23422"/>
    <cellStyle name="20% - Accent5 11 2 4 3" xfId="11938"/>
    <cellStyle name="20% - Accent5 11 2 4 4" xfId="19893"/>
    <cellStyle name="20% - Accent5 11 2 5" xfId="5733"/>
    <cellStyle name="20% - Accent5 11 2 5 2" xfId="13717"/>
    <cellStyle name="20% - Accent5 11 2 5 3" xfId="21665"/>
    <cellStyle name="20% - Accent5 11 2 6" xfId="9286"/>
    <cellStyle name="20% - Accent5 11 2 6 2" xfId="17244"/>
    <cellStyle name="20% - Accent5 11 2 6 3" xfId="25188"/>
    <cellStyle name="20% - Accent5 11 2 7" xfId="10182"/>
    <cellStyle name="20% - Accent5 11 2 8" xfId="18137"/>
    <cellStyle name="20% - Accent5 11 2_Exh G" xfId="2446"/>
    <cellStyle name="20% - Accent5 11 3" xfId="236"/>
    <cellStyle name="20% - Accent5 11 3 2" xfId="1264"/>
    <cellStyle name="20% - Accent5 11 3 2 2" xfId="4794"/>
    <cellStyle name="20% - Accent5 11 3 2 2 2" xfId="8385"/>
    <cellStyle name="20% - Accent5 11 3 2 2 2 2" xfId="16356"/>
    <cellStyle name="20% - Accent5 11 3 2 2 2 3" xfId="24302"/>
    <cellStyle name="20% - Accent5 11 3 2 2 3" xfId="12818"/>
    <cellStyle name="20% - Accent5 11 3 2 2 4" xfId="20773"/>
    <cellStyle name="20% - Accent5 11 3 2 3" xfId="6626"/>
    <cellStyle name="20% - Accent5 11 3 2 3 2" xfId="14598"/>
    <cellStyle name="20% - Accent5 11 3 2 3 3" xfId="22545"/>
    <cellStyle name="20% - Accent5 11 3 2 4" xfId="11062"/>
    <cellStyle name="20% - Accent5 11 3 2 5" xfId="19017"/>
    <cellStyle name="20% - Accent5 11 3 2_Exh G" xfId="2451"/>
    <cellStyle name="20% - Accent5 11 3 3" xfId="3915"/>
    <cellStyle name="20% - Accent5 11 3 3 2" xfId="7507"/>
    <cellStyle name="20% - Accent5 11 3 3 2 2" xfId="15478"/>
    <cellStyle name="20% - Accent5 11 3 3 2 3" xfId="23424"/>
    <cellStyle name="20% - Accent5 11 3 3 3" xfId="11940"/>
    <cellStyle name="20% - Accent5 11 3 3 4" xfId="19895"/>
    <cellStyle name="20% - Accent5 11 3 4" xfId="5735"/>
    <cellStyle name="20% - Accent5 11 3 4 2" xfId="13719"/>
    <cellStyle name="20% - Accent5 11 3 4 3" xfId="21667"/>
    <cellStyle name="20% - Accent5 11 3 5" xfId="9288"/>
    <cellStyle name="20% - Accent5 11 3 5 2" xfId="17246"/>
    <cellStyle name="20% - Accent5 11 3 5 3" xfId="25190"/>
    <cellStyle name="20% - Accent5 11 3 6" xfId="10184"/>
    <cellStyle name="20% - Accent5 11 3 7" xfId="18139"/>
    <cellStyle name="20% - Accent5 11 3_Exh G" xfId="2450"/>
    <cellStyle name="20% - Accent5 11 4" xfId="1261"/>
    <cellStyle name="20% - Accent5 11 4 2" xfId="4791"/>
    <cellStyle name="20% - Accent5 11 4 2 2" xfId="8382"/>
    <cellStyle name="20% - Accent5 11 4 2 2 2" xfId="16353"/>
    <cellStyle name="20% - Accent5 11 4 2 2 3" xfId="24299"/>
    <cellStyle name="20% - Accent5 11 4 2 3" xfId="12815"/>
    <cellStyle name="20% - Accent5 11 4 2 4" xfId="20770"/>
    <cellStyle name="20% - Accent5 11 4 3" xfId="6623"/>
    <cellStyle name="20% - Accent5 11 4 3 2" xfId="14595"/>
    <cellStyle name="20% - Accent5 11 4 3 3" xfId="22542"/>
    <cellStyle name="20% - Accent5 11 4 4" xfId="11059"/>
    <cellStyle name="20% - Accent5 11 4 5" xfId="19014"/>
    <cellStyle name="20% - Accent5 11 4_Exh G" xfId="2452"/>
    <cellStyle name="20% - Accent5 11 5" xfId="3912"/>
    <cellStyle name="20% - Accent5 11 5 2" xfId="7504"/>
    <cellStyle name="20% - Accent5 11 5 2 2" xfId="15475"/>
    <cellStyle name="20% - Accent5 11 5 2 3" xfId="23421"/>
    <cellStyle name="20% - Accent5 11 5 3" xfId="11937"/>
    <cellStyle name="20% - Accent5 11 5 4" xfId="19892"/>
    <cellStyle name="20% - Accent5 11 6" xfId="5732"/>
    <cellStyle name="20% - Accent5 11 6 2" xfId="13716"/>
    <cellStyle name="20% - Accent5 11 6 3" xfId="21664"/>
    <cellStyle name="20% - Accent5 11 7" xfId="9285"/>
    <cellStyle name="20% - Accent5 11 7 2" xfId="17243"/>
    <cellStyle name="20% - Accent5 11 7 3" xfId="25187"/>
    <cellStyle name="20% - Accent5 11 8" xfId="10181"/>
    <cellStyle name="20% - Accent5 11 9" xfId="18136"/>
    <cellStyle name="20% - Accent5 11_Exh G" xfId="2445"/>
    <cellStyle name="20% - Accent5 12" xfId="237"/>
    <cellStyle name="20% - Accent5 12 2" xfId="238"/>
    <cellStyle name="20% - Accent5 12 2 2" xfId="239"/>
    <cellStyle name="20% - Accent5 12 2 2 2" xfId="1267"/>
    <cellStyle name="20% - Accent5 12 2 2 2 2" xfId="4797"/>
    <cellStyle name="20% - Accent5 12 2 2 2 2 2" xfId="8388"/>
    <cellStyle name="20% - Accent5 12 2 2 2 2 2 2" xfId="16359"/>
    <cellStyle name="20% - Accent5 12 2 2 2 2 2 3" xfId="24305"/>
    <cellStyle name="20% - Accent5 12 2 2 2 2 3" xfId="12821"/>
    <cellStyle name="20% - Accent5 12 2 2 2 2 4" xfId="20776"/>
    <cellStyle name="20% - Accent5 12 2 2 2 3" xfId="6629"/>
    <cellStyle name="20% - Accent5 12 2 2 2 3 2" xfId="14601"/>
    <cellStyle name="20% - Accent5 12 2 2 2 3 3" xfId="22548"/>
    <cellStyle name="20% - Accent5 12 2 2 2 4" xfId="11065"/>
    <cellStyle name="20% - Accent5 12 2 2 2 5" xfId="19020"/>
    <cellStyle name="20% - Accent5 12 2 2 2_Exh G" xfId="2456"/>
    <cellStyle name="20% - Accent5 12 2 2 3" xfId="3918"/>
    <cellStyle name="20% - Accent5 12 2 2 3 2" xfId="7510"/>
    <cellStyle name="20% - Accent5 12 2 2 3 2 2" xfId="15481"/>
    <cellStyle name="20% - Accent5 12 2 2 3 2 3" xfId="23427"/>
    <cellStyle name="20% - Accent5 12 2 2 3 3" xfId="11943"/>
    <cellStyle name="20% - Accent5 12 2 2 3 4" xfId="19898"/>
    <cellStyle name="20% - Accent5 12 2 2 4" xfId="5738"/>
    <cellStyle name="20% - Accent5 12 2 2 4 2" xfId="13722"/>
    <cellStyle name="20% - Accent5 12 2 2 4 3" xfId="21670"/>
    <cellStyle name="20% - Accent5 12 2 2 5" xfId="9291"/>
    <cellStyle name="20% - Accent5 12 2 2 5 2" xfId="17249"/>
    <cellStyle name="20% - Accent5 12 2 2 5 3" xfId="25193"/>
    <cellStyle name="20% - Accent5 12 2 2 6" xfId="10187"/>
    <cellStyle name="20% - Accent5 12 2 2 7" xfId="18142"/>
    <cellStyle name="20% - Accent5 12 2 2_Exh G" xfId="2455"/>
    <cellStyle name="20% - Accent5 12 2 3" xfId="1266"/>
    <cellStyle name="20% - Accent5 12 2 3 2" xfId="4796"/>
    <cellStyle name="20% - Accent5 12 2 3 2 2" xfId="8387"/>
    <cellStyle name="20% - Accent5 12 2 3 2 2 2" xfId="16358"/>
    <cellStyle name="20% - Accent5 12 2 3 2 2 3" xfId="24304"/>
    <cellStyle name="20% - Accent5 12 2 3 2 3" xfId="12820"/>
    <cellStyle name="20% - Accent5 12 2 3 2 4" xfId="20775"/>
    <cellStyle name="20% - Accent5 12 2 3 3" xfId="6628"/>
    <cellStyle name="20% - Accent5 12 2 3 3 2" xfId="14600"/>
    <cellStyle name="20% - Accent5 12 2 3 3 3" xfId="22547"/>
    <cellStyle name="20% - Accent5 12 2 3 4" xfId="11064"/>
    <cellStyle name="20% - Accent5 12 2 3 5" xfId="19019"/>
    <cellStyle name="20% - Accent5 12 2 3_Exh G" xfId="2457"/>
    <cellStyle name="20% - Accent5 12 2 4" xfId="3917"/>
    <cellStyle name="20% - Accent5 12 2 4 2" xfId="7509"/>
    <cellStyle name="20% - Accent5 12 2 4 2 2" xfId="15480"/>
    <cellStyle name="20% - Accent5 12 2 4 2 3" xfId="23426"/>
    <cellStyle name="20% - Accent5 12 2 4 3" xfId="11942"/>
    <cellStyle name="20% - Accent5 12 2 4 4" xfId="19897"/>
    <cellStyle name="20% - Accent5 12 2 5" xfId="5737"/>
    <cellStyle name="20% - Accent5 12 2 5 2" xfId="13721"/>
    <cellStyle name="20% - Accent5 12 2 5 3" xfId="21669"/>
    <cellStyle name="20% - Accent5 12 2 6" xfId="9290"/>
    <cellStyle name="20% - Accent5 12 2 6 2" xfId="17248"/>
    <cellStyle name="20% - Accent5 12 2 6 3" xfId="25192"/>
    <cellStyle name="20% - Accent5 12 2 7" xfId="10186"/>
    <cellStyle name="20% - Accent5 12 2 8" xfId="18141"/>
    <cellStyle name="20% - Accent5 12 2_Exh G" xfId="2454"/>
    <cellStyle name="20% - Accent5 12 3" xfId="240"/>
    <cellStyle name="20% - Accent5 12 3 2" xfId="1268"/>
    <cellStyle name="20% - Accent5 12 3 2 2" xfId="4798"/>
    <cellStyle name="20% - Accent5 12 3 2 2 2" xfId="8389"/>
    <cellStyle name="20% - Accent5 12 3 2 2 2 2" xfId="16360"/>
    <cellStyle name="20% - Accent5 12 3 2 2 2 3" xfId="24306"/>
    <cellStyle name="20% - Accent5 12 3 2 2 3" xfId="12822"/>
    <cellStyle name="20% - Accent5 12 3 2 2 4" xfId="20777"/>
    <cellStyle name="20% - Accent5 12 3 2 3" xfId="6630"/>
    <cellStyle name="20% - Accent5 12 3 2 3 2" xfId="14602"/>
    <cellStyle name="20% - Accent5 12 3 2 3 3" xfId="22549"/>
    <cellStyle name="20% - Accent5 12 3 2 4" xfId="11066"/>
    <cellStyle name="20% - Accent5 12 3 2 5" xfId="19021"/>
    <cellStyle name="20% - Accent5 12 3 2_Exh G" xfId="2459"/>
    <cellStyle name="20% - Accent5 12 3 3" xfId="3919"/>
    <cellStyle name="20% - Accent5 12 3 3 2" xfId="7511"/>
    <cellStyle name="20% - Accent5 12 3 3 2 2" xfId="15482"/>
    <cellStyle name="20% - Accent5 12 3 3 2 3" xfId="23428"/>
    <cellStyle name="20% - Accent5 12 3 3 3" xfId="11944"/>
    <cellStyle name="20% - Accent5 12 3 3 4" xfId="19899"/>
    <cellStyle name="20% - Accent5 12 3 4" xfId="5739"/>
    <cellStyle name="20% - Accent5 12 3 4 2" xfId="13723"/>
    <cellStyle name="20% - Accent5 12 3 4 3" xfId="21671"/>
    <cellStyle name="20% - Accent5 12 3 5" xfId="9292"/>
    <cellStyle name="20% - Accent5 12 3 5 2" xfId="17250"/>
    <cellStyle name="20% - Accent5 12 3 5 3" xfId="25194"/>
    <cellStyle name="20% - Accent5 12 3 6" xfId="10188"/>
    <cellStyle name="20% - Accent5 12 3 7" xfId="18143"/>
    <cellStyle name="20% - Accent5 12 3_Exh G" xfId="2458"/>
    <cellStyle name="20% - Accent5 12 4" xfId="1265"/>
    <cellStyle name="20% - Accent5 12 4 2" xfId="4795"/>
    <cellStyle name="20% - Accent5 12 4 2 2" xfId="8386"/>
    <cellStyle name="20% - Accent5 12 4 2 2 2" xfId="16357"/>
    <cellStyle name="20% - Accent5 12 4 2 2 3" xfId="24303"/>
    <cellStyle name="20% - Accent5 12 4 2 3" xfId="12819"/>
    <cellStyle name="20% - Accent5 12 4 2 4" xfId="20774"/>
    <cellStyle name="20% - Accent5 12 4 3" xfId="6627"/>
    <cellStyle name="20% - Accent5 12 4 3 2" xfId="14599"/>
    <cellStyle name="20% - Accent5 12 4 3 3" xfId="22546"/>
    <cellStyle name="20% - Accent5 12 4 4" xfId="11063"/>
    <cellStyle name="20% - Accent5 12 4 5" xfId="19018"/>
    <cellStyle name="20% - Accent5 12 4_Exh G" xfId="2460"/>
    <cellStyle name="20% - Accent5 12 5" xfId="3916"/>
    <cellStyle name="20% - Accent5 12 5 2" xfId="7508"/>
    <cellStyle name="20% - Accent5 12 5 2 2" xfId="15479"/>
    <cellStyle name="20% - Accent5 12 5 2 3" xfId="23425"/>
    <cellStyle name="20% - Accent5 12 5 3" xfId="11941"/>
    <cellStyle name="20% - Accent5 12 5 4" xfId="19896"/>
    <cellStyle name="20% - Accent5 12 6" xfId="5736"/>
    <cellStyle name="20% - Accent5 12 6 2" xfId="13720"/>
    <cellStyle name="20% - Accent5 12 6 3" xfId="21668"/>
    <cellStyle name="20% - Accent5 12 7" xfId="9289"/>
    <cellStyle name="20% - Accent5 12 7 2" xfId="17247"/>
    <cellStyle name="20% - Accent5 12 7 3" xfId="25191"/>
    <cellStyle name="20% - Accent5 12 8" xfId="10185"/>
    <cellStyle name="20% - Accent5 12 9" xfId="18140"/>
    <cellStyle name="20% - Accent5 12_Exh G" xfId="2453"/>
    <cellStyle name="20% - Accent5 13" xfId="241"/>
    <cellStyle name="20% - Accent5 13 2" xfId="242"/>
    <cellStyle name="20% - Accent5 13 2 2" xfId="243"/>
    <cellStyle name="20% - Accent5 13 2 2 2" xfId="1271"/>
    <cellStyle name="20% - Accent5 13 2 2 2 2" xfId="4801"/>
    <cellStyle name="20% - Accent5 13 2 2 2 2 2" xfId="8392"/>
    <cellStyle name="20% - Accent5 13 2 2 2 2 2 2" xfId="16363"/>
    <cellStyle name="20% - Accent5 13 2 2 2 2 2 3" xfId="24309"/>
    <cellStyle name="20% - Accent5 13 2 2 2 2 3" xfId="12825"/>
    <cellStyle name="20% - Accent5 13 2 2 2 2 4" xfId="20780"/>
    <cellStyle name="20% - Accent5 13 2 2 2 3" xfId="6633"/>
    <cellStyle name="20% - Accent5 13 2 2 2 3 2" xfId="14605"/>
    <cellStyle name="20% - Accent5 13 2 2 2 3 3" xfId="22552"/>
    <cellStyle name="20% - Accent5 13 2 2 2 4" xfId="11069"/>
    <cellStyle name="20% - Accent5 13 2 2 2 5" xfId="19024"/>
    <cellStyle name="20% - Accent5 13 2 2 2_Exh G" xfId="2464"/>
    <cellStyle name="20% - Accent5 13 2 2 3" xfId="3922"/>
    <cellStyle name="20% - Accent5 13 2 2 3 2" xfId="7514"/>
    <cellStyle name="20% - Accent5 13 2 2 3 2 2" xfId="15485"/>
    <cellStyle name="20% - Accent5 13 2 2 3 2 3" xfId="23431"/>
    <cellStyle name="20% - Accent5 13 2 2 3 3" xfId="11947"/>
    <cellStyle name="20% - Accent5 13 2 2 3 4" xfId="19902"/>
    <cellStyle name="20% - Accent5 13 2 2 4" xfId="5742"/>
    <cellStyle name="20% - Accent5 13 2 2 4 2" xfId="13726"/>
    <cellStyle name="20% - Accent5 13 2 2 4 3" xfId="21674"/>
    <cellStyle name="20% - Accent5 13 2 2 5" xfId="9295"/>
    <cellStyle name="20% - Accent5 13 2 2 5 2" xfId="17253"/>
    <cellStyle name="20% - Accent5 13 2 2 5 3" xfId="25197"/>
    <cellStyle name="20% - Accent5 13 2 2 6" xfId="10191"/>
    <cellStyle name="20% - Accent5 13 2 2 7" xfId="18146"/>
    <cellStyle name="20% - Accent5 13 2 2_Exh G" xfId="2463"/>
    <cellStyle name="20% - Accent5 13 2 3" xfId="1270"/>
    <cellStyle name="20% - Accent5 13 2 3 2" xfId="4800"/>
    <cellStyle name="20% - Accent5 13 2 3 2 2" xfId="8391"/>
    <cellStyle name="20% - Accent5 13 2 3 2 2 2" xfId="16362"/>
    <cellStyle name="20% - Accent5 13 2 3 2 2 3" xfId="24308"/>
    <cellStyle name="20% - Accent5 13 2 3 2 3" xfId="12824"/>
    <cellStyle name="20% - Accent5 13 2 3 2 4" xfId="20779"/>
    <cellStyle name="20% - Accent5 13 2 3 3" xfId="6632"/>
    <cellStyle name="20% - Accent5 13 2 3 3 2" xfId="14604"/>
    <cellStyle name="20% - Accent5 13 2 3 3 3" xfId="22551"/>
    <cellStyle name="20% - Accent5 13 2 3 4" xfId="11068"/>
    <cellStyle name="20% - Accent5 13 2 3 5" xfId="19023"/>
    <cellStyle name="20% - Accent5 13 2 3_Exh G" xfId="2465"/>
    <cellStyle name="20% - Accent5 13 2 4" xfId="3921"/>
    <cellStyle name="20% - Accent5 13 2 4 2" xfId="7513"/>
    <cellStyle name="20% - Accent5 13 2 4 2 2" xfId="15484"/>
    <cellStyle name="20% - Accent5 13 2 4 2 3" xfId="23430"/>
    <cellStyle name="20% - Accent5 13 2 4 3" xfId="11946"/>
    <cellStyle name="20% - Accent5 13 2 4 4" xfId="19901"/>
    <cellStyle name="20% - Accent5 13 2 5" xfId="5741"/>
    <cellStyle name="20% - Accent5 13 2 5 2" xfId="13725"/>
    <cellStyle name="20% - Accent5 13 2 5 3" xfId="21673"/>
    <cellStyle name="20% - Accent5 13 2 6" xfId="9294"/>
    <cellStyle name="20% - Accent5 13 2 6 2" xfId="17252"/>
    <cellStyle name="20% - Accent5 13 2 6 3" xfId="25196"/>
    <cellStyle name="20% - Accent5 13 2 7" xfId="10190"/>
    <cellStyle name="20% - Accent5 13 2 8" xfId="18145"/>
    <cellStyle name="20% - Accent5 13 2_Exh G" xfId="2462"/>
    <cellStyle name="20% - Accent5 13 3" xfId="244"/>
    <cellStyle name="20% - Accent5 13 3 2" xfId="1272"/>
    <cellStyle name="20% - Accent5 13 3 2 2" xfId="4802"/>
    <cellStyle name="20% - Accent5 13 3 2 2 2" xfId="8393"/>
    <cellStyle name="20% - Accent5 13 3 2 2 2 2" xfId="16364"/>
    <cellStyle name="20% - Accent5 13 3 2 2 2 3" xfId="24310"/>
    <cellStyle name="20% - Accent5 13 3 2 2 3" xfId="12826"/>
    <cellStyle name="20% - Accent5 13 3 2 2 4" xfId="20781"/>
    <cellStyle name="20% - Accent5 13 3 2 3" xfId="6634"/>
    <cellStyle name="20% - Accent5 13 3 2 3 2" xfId="14606"/>
    <cellStyle name="20% - Accent5 13 3 2 3 3" xfId="22553"/>
    <cellStyle name="20% - Accent5 13 3 2 4" xfId="11070"/>
    <cellStyle name="20% - Accent5 13 3 2 5" xfId="19025"/>
    <cellStyle name="20% - Accent5 13 3 2_Exh G" xfId="2467"/>
    <cellStyle name="20% - Accent5 13 3 3" xfId="3923"/>
    <cellStyle name="20% - Accent5 13 3 3 2" xfId="7515"/>
    <cellStyle name="20% - Accent5 13 3 3 2 2" xfId="15486"/>
    <cellStyle name="20% - Accent5 13 3 3 2 3" xfId="23432"/>
    <cellStyle name="20% - Accent5 13 3 3 3" xfId="11948"/>
    <cellStyle name="20% - Accent5 13 3 3 4" xfId="19903"/>
    <cellStyle name="20% - Accent5 13 3 4" xfId="5743"/>
    <cellStyle name="20% - Accent5 13 3 4 2" xfId="13727"/>
    <cellStyle name="20% - Accent5 13 3 4 3" xfId="21675"/>
    <cellStyle name="20% - Accent5 13 3 5" xfId="9296"/>
    <cellStyle name="20% - Accent5 13 3 5 2" xfId="17254"/>
    <cellStyle name="20% - Accent5 13 3 5 3" xfId="25198"/>
    <cellStyle name="20% - Accent5 13 3 6" xfId="10192"/>
    <cellStyle name="20% - Accent5 13 3 7" xfId="18147"/>
    <cellStyle name="20% - Accent5 13 3_Exh G" xfId="2466"/>
    <cellStyle name="20% - Accent5 13 4" xfId="1269"/>
    <cellStyle name="20% - Accent5 13 4 2" xfId="4799"/>
    <cellStyle name="20% - Accent5 13 4 2 2" xfId="8390"/>
    <cellStyle name="20% - Accent5 13 4 2 2 2" xfId="16361"/>
    <cellStyle name="20% - Accent5 13 4 2 2 3" xfId="24307"/>
    <cellStyle name="20% - Accent5 13 4 2 3" xfId="12823"/>
    <cellStyle name="20% - Accent5 13 4 2 4" xfId="20778"/>
    <cellStyle name="20% - Accent5 13 4 3" xfId="6631"/>
    <cellStyle name="20% - Accent5 13 4 3 2" xfId="14603"/>
    <cellStyle name="20% - Accent5 13 4 3 3" xfId="22550"/>
    <cellStyle name="20% - Accent5 13 4 4" xfId="11067"/>
    <cellStyle name="20% - Accent5 13 4 5" xfId="19022"/>
    <cellStyle name="20% - Accent5 13 4_Exh G" xfId="2468"/>
    <cellStyle name="20% - Accent5 13 5" xfId="3920"/>
    <cellStyle name="20% - Accent5 13 5 2" xfId="7512"/>
    <cellStyle name="20% - Accent5 13 5 2 2" xfId="15483"/>
    <cellStyle name="20% - Accent5 13 5 2 3" xfId="23429"/>
    <cellStyle name="20% - Accent5 13 5 3" xfId="11945"/>
    <cellStyle name="20% - Accent5 13 5 4" xfId="19900"/>
    <cellStyle name="20% - Accent5 13 6" xfId="5740"/>
    <cellStyle name="20% - Accent5 13 6 2" xfId="13724"/>
    <cellStyle name="20% - Accent5 13 6 3" xfId="21672"/>
    <cellStyle name="20% - Accent5 13 7" xfId="9293"/>
    <cellStyle name="20% - Accent5 13 7 2" xfId="17251"/>
    <cellStyle name="20% - Accent5 13 7 3" xfId="25195"/>
    <cellStyle name="20% - Accent5 13 8" xfId="10189"/>
    <cellStyle name="20% - Accent5 13 9" xfId="18144"/>
    <cellStyle name="20% - Accent5 13_Exh G" xfId="2461"/>
    <cellStyle name="20% - Accent5 14" xfId="245"/>
    <cellStyle name="20% - Accent5 14 2" xfId="246"/>
    <cellStyle name="20% - Accent5 14 2 2" xfId="1274"/>
    <cellStyle name="20% - Accent5 14 2 2 2" xfId="4804"/>
    <cellStyle name="20% - Accent5 14 2 2 2 2" xfId="8395"/>
    <cellStyle name="20% - Accent5 14 2 2 2 2 2" xfId="16366"/>
    <cellStyle name="20% - Accent5 14 2 2 2 2 3" xfId="24312"/>
    <cellStyle name="20% - Accent5 14 2 2 2 3" xfId="12828"/>
    <cellStyle name="20% - Accent5 14 2 2 2 4" xfId="20783"/>
    <cellStyle name="20% - Accent5 14 2 2 3" xfId="6636"/>
    <cellStyle name="20% - Accent5 14 2 2 3 2" xfId="14608"/>
    <cellStyle name="20% - Accent5 14 2 2 3 3" xfId="22555"/>
    <cellStyle name="20% - Accent5 14 2 2 4" xfId="11072"/>
    <cellStyle name="20% - Accent5 14 2 2 5" xfId="19027"/>
    <cellStyle name="20% - Accent5 14 2 2_Exh G" xfId="2471"/>
    <cellStyle name="20% - Accent5 14 2 3" xfId="3925"/>
    <cellStyle name="20% - Accent5 14 2 3 2" xfId="7517"/>
    <cellStyle name="20% - Accent5 14 2 3 2 2" xfId="15488"/>
    <cellStyle name="20% - Accent5 14 2 3 2 3" xfId="23434"/>
    <cellStyle name="20% - Accent5 14 2 3 3" xfId="11950"/>
    <cellStyle name="20% - Accent5 14 2 3 4" xfId="19905"/>
    <cellStyle name="20% - Accent5 14 2 4" xfId="5745"/>
    <cellStyle name="20% - Accent5 14 2 4 2" xfId="13729"/>
    <cellStyle name="20% - Accent5 14 2 4 3" xfId="21677"/>
    <cellStyle name="20% - Accent5 14 2 5" xfId="9298"/>
    <cellStyle name="20% - Accent5 14 2 5 2" xfId="17256"/>
    <cellStyle name="20% - Accent5 14 2 5 3" xfId="25200"/>
    <cellStyle name="20% - Accent5 14 2 6" xfId="10194"/>
    <cellStyle name="20% - Accent5 14 2 7" xfId="18149"/>
    <cellStyle name="20% - Accent5 14 2_Exh G" xfId="2470"/>
    <cellStyle name="20% - Accent5 14 3" xfId="1273"/>
    <cellStyle name="20% - Accent5 14 3 2" xfId="4803"/>
    <cellStyle name="20% - Accent5 14 3 2 2" xfId="8394"/>
    <cellStyle name="20% - Accent5 14 3 2 2 2" xfId="16365"/>
    <cellStyle name="20% - Accent5 14 3 2 2 3" xfId="24311"/>
    <cellStyle name="20% - Accent5 14 3 2 3" xfId="12827"/>
    <cellStyle name="20% - Accent5 14 3 2 4" xfId="20782"/>
    <cellStyle name="20% - Accent5 14 3 3" xfId="6635"/>
    <cellStyle name="20% - Accent5 14 3 3 2" xfId="14607"/>
    <cellStyle name="20% - Accent5 14 3 3 3" xfId="22554"/>
    <cellStyle name="20% - Accent5 14 3 4" xfId="11071"/>
    <cellStyle name="20% - Accent5 14 3 5" xfId="19026"/>
    <cellStyle name="20% - Accent5 14 3_Exh G" xfId="2472"/>
    <cellStyle name="20% - Accent5 14 4" xfId="3924"/>
    <cellStyle name="20% - Accent5 14 4 2" xfId="7516"/>
    <cellStyle name="20% - Accent5 14 4 2 2" xfId="15487"/>
    <cellStyle name="20% - Accent5 14 4 2 3" xfId="23433"/>
    <cellStyle name="20% - Accent5 14 4 3" xfId="11949"/>
    <cellStyle name="20% - Accent5 14 4 4" xfId="19904"/>
    <cellStyle name="20% - Accent5 14 5" xfId="5744"/>
    <cellStyle name="20% - Accent5 14 5 2" xfId="13728"/>
    <cellStyle name="20% - Accent5 14 5 3" xfId="21676"/>
    <cellStyle name="20% - Accent5 14 6" xfId="9297"/>
    <cellStyle name="20% - Accent5 14 6 2" xfId="17255"/>
    <cellStyle name="20% - Accent5 14 6 3" xfId="25199"/>
    <cellStyle name="20% - Accent5 14 7" xfId="10193"/>
    <cellStyle name="20% - Accent5 14 8" xfId="18148"/>
    <cellStyle name="20% - Accent5 14_Exh G" xfId="2469"/>
    <cellStyle name="20% - Accent5 15" xfId="247"/>
    <cellStyle name="20% - Accent5 15 2" xfId="1275"/>
    <cellStyle name="20% - Accent5 15 2 2" xfId="4805"/>
    <cellStyle name="20% - Accent5 15 2 2 2" xfId="8396"/>
    <cellStyle name="20% - Accent5 15 2 2 2 2" xfId="16367"/>
    <cellStyle name="20% - Accent5 15 2 2 2 3" xfId="24313"/>
    <cellStyle name="20% - Accent5 15 2 2 3" xfId="12829"/>
    <cellStyle name="20% - Accent5 15 2 2 4" xfId="20784"/>
    <cellStyle name="20% - Accent5 15 2 3" xfId="6637"/>
    <cellStyle name="20% - Accent5 15 2 3 2" xfId="14609"/>
    <cellStyle name="20% - Accent5 15 2 3 3" xfId="22556"/>
    <cellStyle name="20% - Accent5 15 2 4" xfId="11073"/>
    <cellStyle name="20% - Accent5 15 2 5" xfId="19028"/>
    <cellStyle name="20% - Accent5 15 2_Exh G" xfId="2474"/>
    <cellStyle name="20% - Accent5 15 3" xfId="3926"/>
    <cellStyle name="20% - Accent5 15 3 2" xfId="7518"/>
    <cellStyle name="20% - Accent5 15 3 2 2" xfId="15489"/>
    <cellStyle name="20% - Accent5 15 3 2 3" xfId="23435"/>
    <cellStyle name="20% - Accent5 15 3 3" xfId="11951"/>
    <cellStyle name="20% - Accent5 15 3 4" xfId="19906"/>
    <cellStyle name="20% - Accent5 15 4" xfId="5746"/>
    <cellStyle name="20% - Accent5 15 4 2" xfId="13730"/>
    <cellStyle name="20% - Accent5 15 4 3" xfId="21678"/>
    <cellStyle name="20% - Accent5 15 5" xfId="9299"/>
    <cellStyle name="20% - Accent5 15 5 2" xfId="17257"/>
    <cellStyle name="20% - Accent5 15 5 3" xfId="25201"/>
    <cellStyle name="20% - Accent5 15 6" xfId="10195"/>
    <cellStyle name="20% - Accent5 15 7" xfId="18150"/>
    <cellStyle name="20% - Accent5 15_Exh G" xfId="2473"/>
    <cellStyle name="20% - Accent5 16" xfId="847"/>
    <cellStyle name="20% - Accent5 16 2" xfId="1786"/>
    <cellStyle name="20% - Accent5 16 2 2" xfId="5307"/>
    <cellStyle name="20% - Accent5 16 2 2 2" xfId="8898"/>
    <cellStyle name="20% - Accent5 16 2 2 2 2" xfId="16869"/>
    <cellStyle name="20% - Accent5 16 2 2 2 3" xfId="24815"/>
    <cellStyle name="20% - Accent5 16 2 2 3" xfId="13331"/>
    <cellStyle name="20% - Accent5 16 2 2 4" xfId="21286"/>
    <cellStyle name="20% - Accent5 16 2 3" xfId="7139"/>
    <cellStyle name="20% - Accent5 16 2 3 2" xfId="15111"/>
    <cellStyle name="20% - Accent5 16 2 3 3" xfId="23058"/>
    <cellStyle name="20% - Accent5 16 2 4" xfId="11575"/>
    <cellStyle name="20% - Accent5 16 2 5" xfId="19530"/>
    <cellStyle name="20% - Accent5 16 2_Exh G" xfId="2476"/>
    <cellStyle name="20% - Accent5 16 3" xfId="4428"/>
    <cellStyle name="20% - Accent5 16 3 2" xfId="8020"/>
    <cellStyle name="20% - Accent5 16 3 2 2" xfId="15991"/>
    <cellStyle name="20% - Accent5 16 3 2 3" xfId="23937"/>
    <cellStyle name="20% - Accent5 16 3 3" xfId="12453"/>
    <cellStyle name="20% - Accent5 16 3 4" xfId="20408"/>
    <cellStyle name="20% - Accent5 16 4" xfId="6258"/>
    <cellStyle name="20% - Accent5 16 4 2" xfId="14233"/>
    <cellStyle name="20% - Accent5 16 4 3" xfId="22180"/>
    <cellStyle name="20% - Accent5 16 5" xfId="9801"/>
    <cellStyle name="20% - Accent5 16 5 2" xfId="17759"/>
    <cellStyle name="20% - Accent5 16 5 3" xfId="25703"/>
    <cellStyle name="20% - Accent5 16 6" xfId="10697"/>
    <cellStyle name="20% - Accent5 16 7" xfId="18652"/>
    <cellStyle name="20% - Accent5 16_Exh G" xfId="2475"/>
    <cellStyle name="20% - Accent5 2" xfId="248"/>
    <cellStyle name="20% - Accent5 2 10" xfId="18151"/>
    <cellStyle name="20% - Accent5 2 2" xfId="249"/>
    <cellStyle name="20% - Accent5 2 2 2" xfId="250"/>
    <cellStyle name="20% - Accent5 2 2 2 2" xfId="1278"/>
    <cellStyle name="20% - Accent5 2 2 2 2 2" xfId="4808"/>
    <cellStyle name="20% - Accent5 2 2 2 2 2 2" xfId="8399"/>
    <cellStyle name="20% - Accent5 2 2 2 2 2 2 2" xfId="16370"/>
    <cellStyle name="20% - Accent5 2 2 2 2 2 2 3" xfId="24316"/>
    <cellStyle name="20% - Accent5 2 2 2 2 2 3" xfId="12832"/>
    <cellStyle name="20% - Accent5 2 2 2 2 2 4" xfId="20787"/>
    <cellStyle name="20% - Accent5 2 2 2 2 3" xfId="6640"/>
    <cellStyle name="20% - Accent5 2 2 2 2 3 2" xfId="14612"/>
    <cellStyle name="20% - Accent5 2 2 2 2 3 3" xfId="22559"/>
    <cellStyle name="20% - Accent5 2 2 2 2 4" xfId="11076"/>
    <cellStyle name="20% - Accent5 2 2 2 2 5" xfId="19031"/>
    <cellStyle name="20% - Accent5 2 2 2 2_Exh G" xfId="2480"/>
    <cellStyle name="20% - Accent5 2 2 2 3" xfId="3929"/>
    <cellStyle name="20% - Accent5 2 2 2 3 2" xfId="7521"/>
    <cellStyle name="20% - Accent5 2 2 2 3 2 2" xfId="15492"/>
    <cellStyle name="20% - Accent5 2 2 2 3 2 3" xfId="23438"/>
    <cellStyle name="20% - Accent5 2 2 2 3 3" xfId="11954"/>
    <cellStyle name="20% - Accent5 2 2 2 3 4" xfId="19909"/>
    <cellStyle name="20% - Accent5 2 2 2 4" xfId="5749"/>
    <cellStyle name="20% - Accent5 2 2 2 4 2" xfId="13733"/>
    <cellStyle name="20% - Accent5 2 2 2 4 3" xfId="21681"/>
    <cellStyle name="20% - Accent5 2 2 2 5" xfId="9302"/>
    <cellStyle name="20% - Accent5 2 2 2 5 2" xfId="17260"/>
    <cellStyle name="20% - Accent5 2 2 2 5 3" xfId="25204"/>
    <cellStyle name="20% - Accent5 2 2 2 6" xfId="10198"/>
    <cellStyle name="20% - Accent5 2 2 2 7" xfId="18153"/>
    <cellStyle name="20% - Accent5 2 2 2_Exh G" xfId="2479"/>
    <cellStyle name="20% - Accent5 2 2 3" xfId="912"/>
    <cellStyle name="20% - Accent5 2 2 3 2" xfId="1840"/>
    <cellStyle name="20% - Accent5 2 2 3 2 2" xfId="5358"/>
    <cellStyle name="20% - Accent5 2 2 3 2 2 2" xfId="8949"/>
    <cellStyle name="20% - Accent5 2 2 3 2 2 2 2" xfId="16920"/>
    <cellStyle name="20% - Accent5 2 2 3 2 2 2 3" xfId="24866"/>
    <cellStyle name="20% - Accent5 2 2 3 2 2 3" xfId="13382"/>
    <cellStyle name="20% - Accent5 2 2 3 2 2 4" xfId="21337"/>
    <cellStyle name="20% - Accent5 2 2 3 2 3" xfId="7190"/>
    <cellStyle name="20% - Accent5 2 2 3 2 3 2" xfId="15162"/>
    <cellStyle name="20% - Accent5 2 2 3 2 3 3" xfId="23109"/>
    <cellStyle name="20% - Accent5 2 2 3 2 4" xfId="11626"/>
    <cellStyle name="20% - Accent5 2 2 3 2 5" xfId="19581"/>
    <cellStyle name="20% - Accent5 2 2 3 2_Exh G" xfId="2482"/>
    <cellStyle name="20% - Accent5 2 2 3 3" xfId="4479"/>
    <cellStyle name="20% - Accent5 2 2 3 3 2" xfId="8071"/>
    <cellStyle name="20% - Accent5 2 2 3 3 2 2" xfId="16042"/>
    <cellStyle name="20% - Accent5 2 2 3 3 2 3" xfId="23988"/>
    <cellStyle name="20% - Accent5 2 2 3 3 3" xfId="12504"/>
    <cellStyle name="20% - Accent5 2 2 3 3 4" xfId="20459"/>
    <cellStyle name="20% - Accent5 2 2 3 4" xfId="6309"/>
    <cellStyle name="20% - Accent5 2 2 3 4 2" xfId="14284"/>
    <cellStyle name="20% - Accent5 2 2 3 4 3" xfId="22231"/>
    <cellStyle name="20% - Accent5 2 2 3 5" xfId="9852"/>
    <cellStyle name="20% - Accent5 2 2 3 5 2" xfId="17810"/>
    <cellStyle name="20% - Accent5 2 2 3 5 3" xfId="25754"/>
    <cellStyle name="20% - Accent5 2 2 3 6" xfId="10748"/>
    <cellStyle name="20% - Accent5 2 2 3 7" xfId="18703"/>
    <cellStyle name="20% - Accent5 2 2 3_Exh G" xfId="2481"/>
    <cellStyle name="20% - Accent5 2 2 4" xfId="1277"/>
    <cellStyle name="20% - Accent5 2 2 4 2" xfId="4807"/>
    <cellStyle name="20% - Accent5 2 2 4 2 2" xfId="8398"/>
    <cellStyle name="20% - Accent5 2 2 4 2 2 2" xfId="16369"/>
    <cellStyle name="20% - Accent5 2 2 4 2 2 3" xfId="24315"/>
    <cellStyle name="20% - Accent5 2 2 4 2 3" xfId="12831"/>
    <cellStyle name="20% - Accent5 2 2 4 2 4" xfId="20786"/>
    <cellStyle name="20% - Accent5 2 2 4 3" xfId="6639"/>
    <cellStyle name="20% - Accent5 2 2 4 3 2" xfId="14611"/>
    <cellStyle name="20% - Accent5 2 2 4 3 3" xfId="22558"/>
    <cellStyle name="20% - Accent5 2 2 4 4" xfId="11075"/>
    <cellStyle name="20% - Accent5 2 2 4 5" xfId="19030"/>
    <cellStyle name="20% - Accent5 2 2 4_Exh G" xfId="2483"/>
    <cellStyle name="20% - Accent5 2 2 5" xfId="3928"/>
    <cellStyle name="20% - Accent5 2 2 5 2" xfId="7520"/>
    <cellStyle name="20% - Accent5 2 2 5 2 2" xfId="15491"/>
    <cellStyle name="20% - Accent5 2 2 5 2 3" xfId="23437"/>
    <cellStyle name="20% - Accent5 2 2 5 3" xfId="11953"/>
    <cellStyle name="20% - Accent5 2 2 5 4" xfId="19908"/>
    <cellStyle name="20% - Accent5 2 2 6" xfId="5748"/>
    <cellStyle name="20% - Accent5 2 2 6 2" xfId="13732"/>
    <cellStyle name="20% - Accent5 2 2 6 3" xfId="21680"/>
    <cellStyle name="20% - Accent5 2 2 7" xfId="9301"/>
    <cellStyle name="20% - Accent5 2 2 7 2" xfId="17259"/>
    <cellStyle name="20% - Accent5 2 2 7 3" xfId="25203"/>
    <cellStyle name="20% - Accent5 2 2 8" xfId="10197"/>
    <cellStyle name="20% - Accent5 2 2 9" xfId="18152"/>
    <cellStyle name="20% - Accent5 2 2_Exh G" xfId="2478"/>
    <cellStyle name="20% - Accent5 2 3" xfId="251"/>
    <cellStyle name="20% - Accent5 2 3 2" xfId="1279"/>
    <cellStyle name="20% - Accent5 2 3 2 2" xfId="4809"/>
    <cellStyle name="20% - Accent5 2 3 2 2 2" xfId="8400"/>
    <cellStyle name="20% - Accent5 2 3 2 2 2 2" xfId="16371"/>
    <cellStyle name="20% - Accent5 2 3 2 2 2 3" xfId="24317"/>
    <cellStyle name="20% - Accent5 2 3 2 2 3" xfId="12833"/>
    <cellStyle name="20% - Accent5 2 3 2 2 4" xfId="20788"/>
    <cellStyle name="20% - Accent5 2 3 2 3" xfId="6641"/>
    <cellStyle name="20% - Accent5 2 3 2 3 2" xfId="14613"/>
    <cellStyle name="20% - Accent5 2 3 2 3 3" xfId="22560"/>
    <cellStyle name="20% - Accent5 2 3 2 4" xfId="11077"/>
    <cellStyle name="20% - Accent5 2 3 2 5" xfId="19032"/>
    <cellStyle name="20% - Accent5 2 3 2_Exh G" xfId="2485"/>
    <cellStyle name="20% - Accent5 2 3 3" xfId="3930"/>
    <cellStyle name="20% - Accent5 2 3 3 2" xfId="7522"/>
    <cellStyle name="20% - Accent5 2 3 3 2 2" xfId="15493"/>
    <cellStyle name="20% - Accent5 2 3 3 2 3" xfId="23439"/>
    <cellStyle name="20% - Accent5 2 3 3 3" xfId="11955"/>
    <cellStyle name="20% - Accent5 2 3 3 4" xfId="19910"/>
    <cellStyle name="20% - Accent5 2 3 4" xfId="5750"/>
    <cellStyle name="20% - Accent5 2 3 4 2" xfId="13734"/>
    <cellStyle name="20% - Accent5 2 3 4 3" xfId="21682"/>
    <cellStyle name="20% - Accent5 2 3 5" xfId="9303"/>
    <cellStyle name="20% - Accent5 2 3 5 2" xfId="17261"/>
    <cellStyle name="20% - Accent5 2 3 5 3" xfId="25205"/>
    <cellStyle name="20% - Accent5 2 3 6" xfId="10199"/>
    <cellStyle name="20% - Accent5 2 3 7" xfId="18154"/>
    <cellStyle name="20% - Accent5 2 3_Exh G" xfId="2484"/>
    <cellStyle name="20% - Accent5 2 4" xfId="911"/>
    <cellStyle name="20% - Accent5 2 4 2" xfId="1839"/>
    <cellStyle name="20% - Accent5 2 4 2 2" xfId="5357"/>
    <cellStyle name="20% - Accent5 2 4 2 2 2" xfId="8948"/>
    <cellStyle name="20% - Accent5 2 4 2 2 2 2" xfId="16919"/>
    <cellStyle name="20% - Accent5 2 4 2 2 2 3" xfId="24865"/>
    <cellStyle name="20% - Accent5 2 4 2 2 3" xfId="13381"/>
    <cellStyle name="20% - Accent5 2 4 2 2 4" xfId="21336"/>
    <cellStyle name="20% - Accent5 2 4 2 3" xfId="7189"/>
    <cellStyle name="20% - Accent5 2 4 2 3 2" xfId="15161"/>
    <cellStyle name="20% - Accent5 2 4 2 3 3" xfId="23108"/>
    <cellStyle name="20% - Accent5 2 4 2 4" xfId="11625"/>
    <cellStyle name="20% - Accent5 2 4 2 5" xfId="19580"/>
    <cellStyle name="20% - Accent5 2 4 2_Exh G" xfId="2487"/>
    <cellStyle name="20% - Accent5 2 4 3" xfId="4478"/>
    <cellStyle name="20% - Accent5 2 4 3 2" xfId="8070"/>
    <cellStyle name="20% - Accent5 2 4 3 2 2" xfId="16041"/>
    <cellStyle name="20% - Accent5 2 4 3 2 3" xfId="23987"/>
    <cellStyle name="20% - Accent5 2 4 3 3" xfId="12503"/>
    <cellStyle name="20% - Accent5 2 4 3 4" xfId="20458"/>
    <cellStyle name="20% - Accent5 2 4 4" xfId="6308"/>
    <cellStyle name="20% - Accent5 2 4 4 2" xfId="14283"/>
    <cellStyle name="20% - Accent5 2 4 4 3" xfId="22230"/>
    <cellStyle name="20% - Accent5 2 4 5" xfId="9851"/>
    <cellStyle name="20% - Accent5 2 4 5 2" xfId="17809"/>
    <cellStyle name="20% - Accent5 2 4 5 3" xfId="25753"/>
    <cellStyle name="20% - Accent5 2 4 6" xfId="10747"/>
    <cellStyle name="20% - Accent5 2 4 7" xfId="18702"/>
    <cellStyle name="20% - Accent5 2 4_Exh G" xfId="2486"/>
    <cellStyle name="20% - Accent5 2 5" xfId="1276"/>
    <cellStyle name="20% - Accent5 2 5 2" xfId="4806"/>
    <cellStyle name="20% - Accent5 2 5 2 2" xfId="8397"/>
    <cellStyle name="20% - Accent5 2 5 2 2 2" xfId="16368"/>
    <cellStyle name="20% - Accent5 2 5 2 2 3" xfId="24314"/>
    <cellStyle name="20% - Accent5 2 5 2 3" xfId="12830"/>
    <cellStyle name="20% - Accent5 2 5 2 4" xfId="20785"/>
    <cellStyle name="20% - Accent5 2 5 3" xfId="6638"/>
    <cellStyle name="20% - Accent5 2 5 3 2" xfId="14610"/>
    <cellStyle name="20% - Accent5 2 5 3 3" xfId="22557"/>
    <cellStyle name="20% - Accent5 2 5 4" xfId="11074"/>
    <cellStyle name="20% - Accent5 2 5 5" xfId="19029"/>
    <cellStyle name="20% - Accent5 2 5_Exh G" xfId="2488"/>
    <cellStyle name="20% - Accent5 2 6" xfId="3927"/>
    <cellStyle name="20% - Accent5 2 6 2" xfId="7519"/>
    <cellStyle name="20% - Accent5 2 6 2 2" xfId="15490"/>
    <cellStyle name="20% - Accent5 2 6 2 3" xfId="23436"/>
    <cellStyle name="20% - Accent5 2 6 3" xfId="11952"/>
    <cellStyle name="20% - Accent5 2 6 4" xfId="19907"/>
    <cellStyle name="20% - Accent5 2 7" xfId="5747"/>
    <cellStyle name="20% - Accent5 2 7 2" xfId="13731"/>
    <cellStyle name="20% - Accent5 2 7 3" xfId="21679"/>
    <cellStyle name="20% - Accent5 2 8" xfId="9300"/>
    <cellStyle name="20% - Accent5 2 8 2" xfId="17258"/>
    <cellStyle name="20% - Accent5 2 8 3" xfId="25202"/>
    <cellStyle name="20% - Accent5 2 9" xfId="10196"/>
    <cellStyle name="20% - Accent5 2_Exh G" xfId="2477"/>
    <cellStyle name="20% - Accent5 3" xfId="252"/>
    <cellStyle name="20% - Accent5 3 10" xfId="18155"/>
    <cellStyle name="20% - Accent5 3 2" xfId="253"/>
    <cellStyle name="20% - Accent5 3 2 2" xfId="254"/>
    <cellStyle name="20% - Accent5 3 2 2 2" xfId="1282"/>
    <cellStyle name="20% - Accent5 3 2 2 2 2" xfId="4812"/>
    <cellStyle name="20% - Accent5 3 2 2 2 2 2" xfId="8403"/>
    <cellStyle name="20% - Accent5 3 2 2 2 2 2 2" xfId="16374"/>
    <cellStyle name="20% - Accent5 3 2 2 2 2 2 3" xfId="24320"/>
    <cellStyle name="20% - Accent5 3 2 2 2 2 3" xfId="12836"/>
    <cellStyle name="20% - Accent5 3 2 2 2 2 4" xfId="20791"/>
    <cellStyle name="20% - Accent5 3 2 2 2 3" xfId="6644"/>
    <cellStyle name="20% - Accent5 3 2 2 2 3 2" xfId="14616"/>
    <cellStyle name="20% - Accent5 3 2 2 2 3 3" xfId="22563"/>
    <cellStyle name="20% - Accent5 3 2 2 2 4" xfId="11080"/>
    <cellStyle name="20% - Accent5 3 2 2 2 5" xfId="19035"/>
    <cellStyle name="20% - Accent5 3 2 2 2_Exh G" xfId="2492"/>
    <cellStyle name="20% - Accent5 3 2 2 3" xfId="3933"/>
    <cellStyle name="20% - Accent5 3 2 2 3 2" xfId="7525"/>
    <cellStyle name="20% - Accent5 3 2 2 3 2 2" xfId="15496"/>
    <cellStyle name="20% - Accent5 3 2 2 3 2 3" xfId="23442"/>
    <cellStyle name="20% - Accent5 3 2 2 3 3" xfId="11958"/>
    <cellStyle name="20% - Accent5 3 2 2 3 4" xfId="19913"/>
    <cellStyle name="20% - Accent5 3 2 2 4" xfId="5753"/>
    <cellStyle name="20% - Accent5 3 2 2 4 2" xfId="13737"/>
    <cellStyle name="20% - Accent5 3 2 2 4 3" xfId="21685"/>
    <cellStyle name="20% - Accent5 3 2 2 5" xfId="9306"/>
    <cellStyle name="20% - Accent5 3 2 2 5 2" xfId="17264"/>
    <cellStyle name="20% - Accent5 3 2 2 5 3" xfId="25208"/>
    <cellStyle name="20% - Accent5 3 2 2 6" xfId="10202"/>
    <cellStyle name="20% - Accent5 3 2 2 7" xfId="18157"/>
    <cellStyle name="20% - Accent5 3 2 2_Exh G" xfId="2491"/>
    <cellStyle name="20% - Accent5 3 2 3" xfId="914"/>
    <cellStyle name="20% - Accent5 3 2 3 2" xfId="1842"/>
    <cellStyle name="20% - Accent5 3 2 3 2 2" xfId="5360"/>
    <cellStyle name="20% - Accent5 3 2 3 2 2 2" xfId="8951"/>
    <cellStyle name="20% - Accent5 3 2 3 2 2 2 2" xfId="16922"/>
    <cellStyle name="20% - Accent5 3 2 3 2 2 2 3" xfId="24868"/>
    <cellStyle name="20% - Accent5 3 2 3 2 2 3" xfId="13384"/>
    <cellStyle name="20% - Accent5 3 2 3 2 2 4" xfId="21339"/>
    <cellStyle name="20% - Accent5 3 2 3 2 3" xfId="7192"/>
    <cellStyle name="20% - Accent5 3 2 3 2 3 2" xfId="15164"/>
    <cellStyle name="20% - Accent5 3 2 3 2 3 3" xfId="23111"/>
    <cellStyle name="20% - Accent5 3 2 3 2 4" xfId="11628"/>
    <cellStyle name="20% - Accent5 3 2 3 2 5" xfId="19583"/>
    <cellStyle name="20% - Accent5 3 2 3 2_Exh G" xfId="2494"/>
    <cellStyle name="20% - Accent5 3 2 3 3" xfId="4481"/>
    <cellStyle name="20% - Accent5 3 2 3 3 2" xfId="8073"/>
    <cellStyle name="20% - Accent5 3 2 3 3 2 2" xfId="16044"/>
    <cellStyle name="20% - Accent5 3 2 3 3 2 3" xfId="23990"/>
    <cellStyle name="20% - Accent5 3 2 3 3 3" xfId="12506"/>
    <cellStyle name="20% - Accent5 3 2 3 3 4" xfId="20461"/>
    <cellStyle name="20% - Accent5 3 2 3 4" xfId="6311"/>
    <cellStyle name="20% - Accent5 3 2 3 4 2" xfId="14286"/>
    <cellStyle name="20% - Accent5 3 2 3 4 3" xfId="22233"/>
    <cellStyle name="20% - Accent5 3 2 3 5" xfId="9854"/>
    <cellStyle name="20% - Accent5 3 2 3 5 2" xfId="17812"/>
    <cellStyle name="20% - Accent5 3 2 3 5 3" xfId="25756"/>
    <cellStyle name="20% - Accent5 3 2 3 6" xfId="10750"/>
    <cellStyle name="20% - Accent5 3 2 3 7" xfId="18705"/>
    <cellStyle name="20% - Accent5 3 2 3_Exh G" xfId="2493"/>
    <cellStyle name="20% - Accent5 3 2 4" xfId="1281"/>
    <cellStyle name="20% - Accent5 3 2 4 2" xfId="4811"/>
    <cellStyle name="20% - Accent5 3 2 4 2 2" xfId="8402"/>
    <cellStyle name="20% - Accent5 3 2 4 2 2 2" xfId="16373"/>
    <cellStyle name="20% - Accent5 3 2 4 2 2 3" xfId="24319"/>
    <cellStyle name="20% - Accent5 3 2 4 2 3" xfId="12835"/>
    <cellStyle name="20% - Accent5 3 2 4 2 4" xfId="20790"/>
    <cellStyle name="20% - Accent5 3 2 4 3" xfId="6643"/>
    <cellStyle name="20% - Accent5 3 2 4 3 2" xfId="14615"/>
    <cellStyle name="20% - Accent5 3 2 4 3 3" xfId="22562"/>
    <cellStyle name="20% - Accent5 3 2 4 4" xfId="11079"/>
    <cellStyle name="20% - Accent5 3 2 4 5" xfId="19034"/>
    <cellStyle name="20% - Accent5 3 2 4_Exh G" xfId="2495"/>
    <cellStyle name="20% - Accent5 3 2 5" xfId="3932"/>
    <cellStyle name="20% - Accent5 3 2 5 2" xfId="7524"/>
    <cellStyle name="20% - Accent5 3 2 5 2 2" xfId="15495"/>
    <cellStyle name="20% - Accent5 3 2 5 2 3" xfId="23441"/>
    <cellStyle name="20% - Accent5 3 2 5 3" xfId="11957"/>
    <cellStyle name="20% - Accent5 3 2 5 4" xfId="19912"/>
    <cellStyle name="20% - Accent5 3 2 6" xfId="5752"/>
    <cellStyle name="20% - Accent5 3 2 6 2" xfId="13736"/>
    <cellStyle name="20% - Accent5 3 2 6 3" xfId="21684"/>
    <cellStyle name="20% - Accent5 3 2 7" xfId="9305"/>
    <cellStyle name="20% - Accent5 3 2 7 2" xfId="17263"/>
    <cellStyle name="20% - Accent5 3 2 7 3" xfId="25207"/>
    <cellStyle name="20% - Accent5 3 2 8" xfId="10201"/>
    <cellStyle name="20% - Accent5 3 2 9" xfId="18156"/>
    <cellStyle name="20% - Accent5 3 2_Exh G" xfId="2490"/>
    <cellStyle name="20% - Accent5 3 3" xfId="255"/>
    <cellStyle name="20% - Accent5 3 3 2" xfId="1283"/>
    <cellStyle name="20% - Accent5 3 3 2 2" xfId="4813"/>
    <cellStyle name="20% - Accent5 3 3 2 2 2" xfId="8404"/>
    <cellStyle name="20% - Accent5 3 3 2 2 2 2" xfId="16375"/>
    <cellStyle name="20% - Accent5 3 3 2 2 2 3" xfId="24321"/>
    <cellStyle name="20% - Accent5 3 3 2 2 3" xfId="12837"/>
    <cellStyle name="20% - Accent5 3 3 2 2 4" xfId="20792"/>
    <cellStyle name="20% - Accent5 3 3 2 3" xfId="6645"/>
    <cellStyle name="20% - Accent5 3 3 2 3 2" xfId="14617"/>
    <cellStyle name="20% - Accent5 3 3 2 3 3" xfId="22564"/>
    <cellStyle name="20% - Accent5 3 3 2 4" xfId="11081"/>
    <cellStyle name="20% - Accent5 3 3 2 5" xfId="19036"/>
    <cellStyle name="20% - Accent5 3 3 2_Exh G" xfId="2497"/>
    <cellStyle name="20% - Accent5 3 3 3" xfId="3934"/>
    <cellStyle name="20% - Accent5 3 3 3 2" xfId="7526"/>
    <cellStyle name="20% - Accent5 3 3 3 2 2" xfId="15497"/>
    <cellStyle name="20% - Accent5 3 3 3 2 3" xfId="23443"/>
    <cellStyle name="20% - Accent5 3 3 3 3" xfId="11959"/>
    <cellStyle name="20% - Accent5 3 3 3 4" xfId="19914"/>
    <cellStyle name="20% - Accent5 3 3 4" xfId="5754"/>
    <cellStyle name="20% - Accent5 3 3 4 2" xfId="13738"/>
    <cellStyle name="20% - Accent5 3 3 4 3" xfId="21686"/>
    <cellStyle name="20% - Accent5 3 3 5" xfId="9307"/>
    <cellStyle name="20% - Accent5 3 3 5 2" xfId="17265"/>
    <cellStyle name="20% - Accent5 3 3 5 3" xfId="25209"/>
    <cellStyle name="20% - Accent5 3 3 6" xfId="10203"/>
    <cellStyle name="20% - Accent5 3 3 7" xfId="18158"/>
    <cellStyle name="20% - Accent5 3 3_Exh G" xfId="2496"/>
    <cellStyle name="20% - Accent5 3 4" xfId="913"/>
    <cellStyle name="20% - Accent5 3 4 2" xfId="1841"/>
    <cellStyle name="20% - Accent5 3 4 2 2" xfId="5359"/>
    <cellStyle name="20% - Accent5 3 4 2 2 2" xfId="8950"/>
    <cellStyle name="20% - Accent5 3 4 2 2 2 2" xfId="16921"/>
    <cellStyle name="20% - Accent5 3 4 2 2 2 3" xfId="24867"/>
    <cellStyle name="20% - Accent5 3 4 2 2 3" xfId="13383"/>
    <cellStyle name="20% - Accent5 3 4 2 2 4" xfId="21338"/>
    <cellStyle name="20% - Accent5 3 4 2 3" xfId="7191"/>
    <cellStyle name="20% - Accent5 3 4 2 3 2" xfId="15163"/>
    <cellStyle name="20% - Accent5 3 4 2 3 3" xfId="23110"/>
    <cellStyle name="20% - Accent5 3 4 2 4" xfId="11627"/>
    <cellStyle name="20% - Accent5 3 4 2 5" xfId="19582"/>
    <cellStyle name="20% - Accent5 3 4 2_Exh G" xfId="2499"/>
    <cellStyle name="20% - Accent5 3 4 3" xfId="4480"/>
    <cellStyle name="20% - Accent5 3 4 3 2" xfId="8072"/>
    <cellStyle name="20% - Accent5 3 4 3 2 2" xfId="16043"/>
    <cellStyle name="20% - Accent5 3 4 3 2 3" xfId="23989"/>
    <cellStyle name="20% - Accent5 3 4 3 3" xfId="12505"/>
    <cellStyle name="20% - Accent5 3 4 3 4" xfId="20460"/>
    <cellStyle name="20% - Accent5 3 4 4" xfId="6310"/>
    <cellStyle name="20% - Accent5 3 4 4 2" xfId="14285"/>
    <cellStyle name="20% - Accent5 3 4 4 3" xfId="22232"/>
    <cellStyle name="20% - Accent5 3 4 5" xfId="9853"/>
    <cellStyle name="20% - Accent5 3 4 5 2" xfId="17811"/>
    <cellStyle name="20% - Accent5 3 4 5 3" xfId="25755"/>
    <cellStyle name="20% - Accent5 3 4 6" xfId="10749"/>
    <cellStyle name="20% - Accent5 3 4 7" xfId="18704"/>
    <cellStyle name="20% - Accent5 3 4_Exh G" xfId="2498"/>
    <cellStyle name="20% - Accent5 3 5" xfId="1280"/>
    <cellStyle name="20% - Accent5 3 5 2" xfId="4810"/>
    <cellStyle name="20% - Accent5 3 5 2 2" xfId="8401"/>
    <cellStyle name="20% - Accent5 3 5 2 2 2" xfId="16372"/>
    <cellStyle name="20% - Accent5 3 5 2 2 3" xfId="24318"/>
    <cellStyle name="20% - Accent5 3 5 2 3" xfId="12834"/>
    <cellStyle name="20% - Accent5 3 5 2 4" xfId="20789"/>
    <cellStyle name="20% - Accent5 3 5 3" xfId="6642"/>
    <cellStyle name="20% - Accent5 3 5 3 2" xfId="14614"/>
    <cellStyle name="20% - Accent5 3 5 3 3" xfId="22561"/>
    <cellStyle name="20% - Accent5 3 5 4" xfId="11078"/>
    <cellStyle name="20% - Accent5 3 5 5" xfId="19033"/>
    <cellStyle name="20% - Accent5 3 5_Exh G" xfId="2500"/>
    <cellStyle name="20% - Accent5 3 6" xfId="3931"/>
    <cellStyle name="20% - Accent5 3 6 2" xfId="7523"/>
    <cellStyle name="20% - Accent5 3 6 2 2" xfId="15494"/>
    <cellStyle name="20% - Accent5 3 6 2 3" xfId="23440"/>
    <cellStyle name="20% - Accent5 3 6 3" xfId="11956"/>
    <cellStyle name="20% - Accent5 3 6 4" xfId="19911"/>
    <cellStyle name="20% - Accent5 3 7" xfId="5751"/>
    <cellStyle name="20% - Accent5 3 7 2" xfId="13735"/>
    <cellStyle name="20% - Accent5 3 7 3" xfId="21683"/>
    <cellStyle name="20% - Accent5 3 8" xfId="9304"/>
    <cellStyle name="20% - Accent5 3 8 2" xfId="17262"/>
    <cellStyle name="20% - Accent5 3 8 3" xfId="25206"/>
    <cellStyle name="20% - Accent5 3 9" xfId="10200"/>
    <cellStyle name="20% - Accent5 3_Exh G" xfId="2489"/>
    <cellStyle name="20% - Accent5 4" xfId="256"/>
    <cellStyle name="20% - Accent5 4 10" xfId="18159"/>
    <cellStyle name="20% - Accent5 4 2" xfId="257"/>
    <cellStyle name="20% - Accent5 4 2 2" xfId="258"/>
    <cellStyle name="20% - Accent5 4 2 2 2" xfId="1286"/>
    <cellStyle name="20% - Accent5 4 2 2 2 2" xfId="4816"/>
    <cellStyle name="20% - Accent5 4 2 2 2 2 2" xfId="8407"/>
    <cellStyle name="20% - Accent5 4 2 2 2 2 2 2" xfId="16378"/>
    <cellStyle name="20% - Accent5 4 2 2 2 2 2 3" xfId="24324"/>
    <cellStyle name="20% - Accent5 4 2 2 2 2 3" xfId="12840"/>
    <cellStyle name="20% - Accent5 4 2 2 2 2 4" xfId="20795"/>
    <cellStyle name="20% - Accent5 4 2 2 2 3" xfId="6648"/>
    <cellStyle name="20% - Accent5 4 2 2 2 3 2" xfId="14620"/>
    <cellStyle name="20% - Accent5 4 2 2 2 3 3" xfId="22567"/>
    <cellStyle name="20% - Accent5 4 2 2 2 4" xfId="11084"/>
    <cellStyle name="20% - Accent5 4 2 2 2 5" xfId="19039"/>
    <cellStyle name="20% - Accent5 4 2 2 2_Exh G" xfId="2504"/>
    <cellStyle name="20% - Accent5 4 2 2 3" xfId="3937"/>
    <cellStyle name="20% - Accent5 4 2 2 3 2" xfId="7529"/>
    <cellStyle name="20% - Accent5 4 2 2 3 2 2" xfId="15500"/>
    <cellStyle name="20% - Accent5 4 2 2 3 2 3" xfId="23446"/>
    <cellStyle name="20% - Accent5 4 2 2 3 3" xfId="11962"/>
    <cellStyle name="20% - Accent5 4 2 2 3 4" xfId="19917"/>
    <cellStyle name="20% - Accent5 4 2 2 4" xfId="5757"/>
    <cellStyle name="20% - Accent5 4 2 2 4 2" xfId="13741"/>
    <cellStyle name="20% - Accent5 4 2 2 4 3" xfId="21689"/>
    <cellStyle name="20% - Accent5 4 2 2 5" xfId="9310"/>
    <cellStyle name="20% - Accent5 4 2 2 5 2" xfId="17268"/>
    <cellStyle name="20% - Accent5 4 2 2 5 3" xfId="25212"/>
    <cellStyle name="20% - Accent5 4 2 2 6" xfId="10206"/>
    <cellStyle name="20% - Accent5 4 2 2 7" xfId="18161"/>
    <cellStyle name="20% - Accent5 4 2 2_Exh G" xfId="2503"/>
    <cellStyle name="20% - Accent5 4 2 3" xfId="916"/>
    <cellStyle name="20% - Accent5 4 2 3 2" xfId="1844"/>
    <cellStyle name="20% - Accent5 4 2 3 2 2" xfId="5362"/>
    <cellStyle name="20% - Accent5 4 2 3 2 2 2" xfId="8953"/>
    <cellStyle name="20% - Accent5 4 2 3 2 2 2 2" xfId="16924"/>
    <cellStyle name="20% - Accent5 4 2 3 2 2 2 3" xfId="24870"/>
    <cellStyle name="20% - Accent5 4 2 3 2 2 3" xfId="13386"/>
    <cellStyle name="20% - Accent5 4 2 3 2 2 4" xfId="21341"/>
    <cellStyle name="20% - Accent5 4 2 3 2 3" xfId="7194"/>
    <cellStyle name="20% - Accent5 4 2 3 2 3 2" xfId="15166"/>
    <cellStyle name="20% - Accent5 4 2 3 2 3 3" xfId="23113"/>
    <cellStyle name="20% - Accent5 4 2 3 2 4" xfId="11630"/>
    <cellStyle name="20% - Accent5 4 2 3 2 5" xfId="19585"/>
    <cellStyle name="20% - Accent5 4 2 3 2_Exh G" xfId="2506"/>
    <cellStyle name="20% - Accent5 4 2 3 3" xfId="4483"/>
    <cellStyle name="20% - Accent5 4 2 3 3 2" xfId="8075"/>
    <cellStyle name="20% - Accent5 4 2 3 3 2 2" xfId="16046"/>
    <cellStyle name="20% - Accent5 4 2 3 3 2 3" xfId="23992"/>
    <cellStyle name="20% - Accent5 4 2 3 3 3" xfId="12508"/>
    <cellStyle name="20% - Accent5 4 2 3 3 4" xfId="20463"/>
    <cellStyle name="20% - Accent5 4 2 3 4" xfId="6313"/>
    <cellStyle name="20% - Accent5 4 2 3 4 2" xfId="14288"/>
    <cellStyle name="20% - Accent5 4 2 3 4 3" xfId="22235"/>
    <cellStyle name="20% - Accent5 4 2 3 5" xfId="9856"/>
    <cellStyle name="20% - Accent5 4 2 3 5 2" xfId="17814"/>
    <cellStyle name="20% - Accent5 4 2 3 5 3" xfId="25758"/>
    <cellStyle name="20% - Accent5 4 2 3 6" xfId="10752"/>
    <cellStyle name="20% - Accent5 4 2 3 7" xfId="18707"/>
    <cellStyle name="20% - Accent5 4 2 3_Exh G" xfId="2505"/>
    <cellStyle name="20% - Accent5 4 2 4" xfId="1285"/>
    <cellStyle name="20% - Accent5 4 2 4 2" xfId="4815"/>
    <cellStyle name="20% - Accent5 4 2 4 2 2" xfId="8406"/>
    <cellStyle name="20% - Accent5 4 2 4 2 2 2" xfId="16377"/>
    <cellStyle name="20% - Accent5 4 2 4 2 2 3" xfId="24323"/>
    <cellStyle name="20% - Accent5 4 2 4 2 3" xfId="12839"/>
    <cellStyle name="20% - Accent5 4 2 4 2 4" xfId="20794"/>
    <cellStyle name="20% - Accent5 4 2 4 3" xfId="6647"/>
    <cellStyle name="20% - Accent5 4 2 4 3 2" xfId="14619"/>
    <cellStyle name="20% - Accent5 4 2 4 3 3" xfId="22566"/>
    <cellStyle name="20% - Accent5 4 2 4 4" xfId="11083"/>
    <cellStyle name="20% - Accent5 4 2 4 5" xfId="19038"/>
    <cellStyle name="20% - Accent5 4 2 4_Exh G" xfId="2507"/>
    <cellStyle name="20% - Accent5 4 2 5" xfId="3936"/>
    <cellStyle name="20% - Accent5 4 2 5 2" xfId="7528"/>
    <cellStyle name="20% - Accent5 4 2 5 2 2" xfId="15499"/>
    <cellStyle name="20% - Accent5 4 2 5 2 3" xfId="23445"/>
    <cellStyle name="20% - Accent5 4 2 5 3" xfId="11961"/>
    <cellStyle name="20% - Accent5 4 2 5 4" xfId="19916"/>
    <cellStyle name="20% - Accent5 4 2 6" xfId="5756"/>
    <cellStyle name="20% - Accent5 4 2 6 2" xfId="13740"/>
    <cellStyle name="20% - Accent5 4 2 6 3" xfId="21688"/>
    <cellStyle name="20% - Accent5 4 2 7" xfId="9309"/>
    <cellStyle name="20% - Accent5 4 2 7 2" xfId="17267"/>
    <cellStyle name="20% - Accent5 4 2 7 3" xfId="25211"/>
    <cellStyle name="20% - Accent5 4 2 8" xfId="10205"/>
    <cellStyle name="20% - Accent5 4 2 9" xfId="18160"/>
    <cellStyle name="20% - Accent5 4 2_Exh G" xfId="2502"/>
    <cellStyle name="20% - Accent5 4 3" xfId="259"/>
    <cellStyle name="20% - Accent5 4 3 2" xfId="1287"/>
    <cellStyle name="20% - Accent5 4 3 2 2" xfId="4817"/>
    <cellStyle name="20% - Accent5 4 3 2 2 2" xfId="8408"/>
    <cellStyle name="20% - Accent5 4 3 2 2 2 2" xfId="16379"/>
    <cellStyle name="20% - Accent5 4 3 2 2 2 3" xfId="24325"/>
    <cellStyle name="20% - Accent5 4 3 2 2 3" xfId="12841"/>
    <cellStyle name="20% - Accent5 4 3 2 2 4" xfId="20796"/>
    <cellStyle name="20% - Accent5 4 3 2 3" xfId="6649"/>
    <cellStyle name="20% - Accent5 4 3 2 3 2" xfId="14621"/>
    <cellStyle name="20% - Accent5 4 3 2 3 3" xfId="22568"/>
    <cellStyle name="20% - Accent5 4 3 2 4" xfId="11085"/>
    <cellStyle name="20% - Accent5 4 3 2 5" xfId="19040"/>
    <cellStyle name="20% - Accent5 4 3 2_Exh G" xfId="2509"/>
    <cellStyle name="20% - Accent5 4 3 3" xfId="3938"/>
    <cellStyle name="20% - Accent5 4 3 3 2" xfId="7530"/>
    <cellStyle name="20% - Accent5 4 3 3 2 2" xfId="15501"/>
    <cellStyle name="20% - Accent5 4 3 3 2 3" xfId="23447"/>
    <cellStyle name="20% - Accent5 4 3 3 3" xfId="11963"/>
    <cellStyle name="20% - Accent5 4 3 3 4" xfId="19918"/>
    <cellStyle name="20% - Accent5 4 3 4" xfId="5758"/>
    <cellStyle name="20% - Accent5 4 3 4 2" xfId="13742"/>
    <cellStyle name="20% - Accent5 4 3 4 3" xfId="21690"/>
    <cellStyle name="20% - Accent5 4 3 5" xfId="9311"/>
    <cellStyle name="20% - Accent5 4 3 5 2" xfId="17269"/>
    <cellStyle name="20% - Accent5 4 3 5 3" xfId="25213"/>
    <cellStyle name="20% - Accent5 4 3 6" xfId="10207"/>
    <cellStyle name="20% - Accent5 4 3 7" xfId="18162"/>
    <cellStyle name="20% - Accent5 4 3_Exh G" xfId="2508"/>
    <cellStyle name="20% - Accent5 4 4" xfId="915"/>
    <cellStyle name="20% - Accent5 4 4 2" xfId="1843"/>
    <cellStyle name="20% - Accent5 4 4 2 2" xfId="5361"/>
    <cellStyle name="20% - Accent5 4 4 2 2 2" xfId="8952"/>
    <cellStyle name="20% - Accent5 4 4 2 2 2 2" xfId="16923"/>
    <cellStyle name="20% - Accent5 4 4 2 2 2 3" xfId="24869"/>
    <cellStyle name="20% - Accent5 4 4 2 2 3" xfId="13385"/>
    <cellStyle name="20% - Accent5 4 4 2 2 4" xfId="21340"/>
    <cellStyle name="20% - Accent5 4 4 2 3" xfId="7193"/>
    <cellStyle name="20% - Accent5 4 4 2 3 2" xfId="15165"/>
    <cellStyle name="20% - Accent5 4 4 2 3 3" xfId="23112"/>
    <cellStyle name="20% - Accent5 4 4 2 4" xfId="11629"/>
    <cellStyle name="20% - Accent5 4 4 2 5" xfId="19584"/>
    <cellStyle name="20% - Accent5 4 4 2_Exh G" xfId="2511"/>
    <cellStyle name="20% - Accent5 4 4 3" xfId="4482"/>
    <cellStyle name="20% - Accent5 4 4 3 2" xfId="8074"/>
    <cellStyle name="20% - Accent5 4 4 3 2 2" xfId="16045"/>
    <cellStyle name="20% - Accent5 4 4 3 2 3" xfId="23991"/>
    <cellStyle name="20% - Accent5 4 4 3 3" xfId="12507"/>
    <cellStyle name="20% - Accent5 4 4 3 4" xfId="20462"/>
    <cellStyle name="20% - Accent5 4 4 4" xfId="6312"/>
    <cellStyle name="20% - Accent5 4 4 4 2" xfId="14287"/>
    <cellStyle name="20% - Accent5 4 4 4 3" xfId="22234"/>
    <cellStyle name="20% - Accent5 4 4 5" xfId="9855"/>
    <cellStyle name="20% - Accent5 4 4 5 2" xfId="17813"/>
    <cellStyle name="20% - Accent5 4 4 5 3" xfId="25757"/>
    <cellStyle name="20% - Accent5 4 4 6" xfId="10751"/>
    <cellStyle name="20% - Accent5 4 4 7" xfId="18706"/>
    <cellStyle name="20% - Accent5 4 4_Exh G" xfId="2510"/>
    <cellStyle name="20% - Accent5 4 5" xfId="1284"/>
    <cellStyle name="20% - Accent5 4 5 2" xfId="4814"/>
    <cellStyle name="20% - Accent5 4 5 2 2" xfId="8405"/>
    <cellStyle name="20% - Accent5 4 5 2 2 2" xfId="16376"/>
    <cellStyle name="20% - Accent5 4 5 2 2 3" xfId="24322"/>
    <cellStyle name="20% - Accent5 4 5 2 3" xfId="12838"/>
    <cellStyle name="20% - Accent5 4 5 2 4" xfId="20793"/>
    <cellStyle name="20% - Accent5 4 5 3" xfId="6646"/>
    <cellStyle name="20% - Accent5 4 5 3 2" xfId="14618"/>
    <cellStyle name="20% - Accent5 4 5 3 3" xfId="22565"/>
    <cellStyle name="20% - Accent5 4 5 4" xfId="11082"/>
    <cellStyle name="20% - Accent5 4 5 5" xfId="19037"/>
    <cellStyle name="20% - Accent5 4 5_Exh G" xfId="2512"/>
    <cellStyle name="20% - Accent5 4 6" xfId="3935"/>
    <cellStyle name="20% - Accent5 4 6 2" xfId="7527"/>
    <cellStyle name="20% - Accent5 4 6 2 2" xfId="15498"/>
    <cellStyle name="20% - Accent5 4 6 2 3" xfId="23444"/>
    <cellStyle name="20% - Accent5 4 6 3" xfId="11960"/>
    <cellStyle name="20% - Accent5 4 6 4" xfId="19915"/>
    <cellStyle name="20% - Accent5 4 7" xfId="5755"/>
    <cellStyle name="20% - Accent5 4 7 2" xfId="13739"/>
    <cellStyle name="20% - Accent5 4 7 3" xfId="21687"/>
    <cellStyle name="20% - Accent5 4 8" xfId="9308"/>
    <cellStyle name="20% - Accent5 4 8 2" xfId="17266"/>
    <cellStyle name="20% - Accent5 4 8 3" xfId="25210"/>
    <cellStyle name="20% - Accent5 4 9" xfId="10204"/>
    <cellStyle name="20% - Accent5 4_Exh G" xfId="2501"/>
    <cellStyle name="20% - Accent5 5" xfId="260"/>
    <cellStyle name="20% - Accent5 5 10" xfId="18163"/>
    <cellStyle name="20% - Accent5 5 2" xfId="261"/>
    <cellStyle name="20% - Accent5 5 2 2" xfId="262"/>
    <cellStyle name="20% - Accent5 5 2 2 2" xfId="1290"/>
    <cellStyle name="20% - Accent5 5 2 2 2 2" xfId="4820"/>
    <cellStyle name="20% - Accent5 5 2 2 2 2 2" xfId="8411"/>
    <cellStyle name="20% - Accent5 5 2 2 2 2 2 2" xfId="16382"/>
    <cellStyle name="20% - Accent5 5 2 2 2 2 2 3" xfId="24328"/>
    <cellStyle name="20% - Accent5 5 2 2 2 2 3" xfId="12844"/>
    <cellStyle name="20% - Accent5 5 2 2 2 2 4" xfId="20799"/>
    <cellStyle name="20% - Accent5 5 2 2 2 3" xfId="6652"/>
    <cellStyle name="20% - Accent5 5 2 2 2 3 2" xfId="14624"/>
    <cellStyle name="20% - Accent5 5 2 2 2 3 3" xfId="22571"/>
    <cellStyle name="20% - Accent5 5 2 2 2 4" xfId="11088"/>
    <cellStyle name="20% - Accent5 5 2 2 2 5" xfId="19043"/>
    <cellStyle name="20% - Accent5 5 2 2 2_Exh G" xfId="2516"/>
    <cellStyle name="20% - Accent5 5 2 2 3" xfId="3941"/>
    <cellStyle name="20% - Accent5 5 2 2 3 2" xfId="7533"/>
    <cellStyle name="20% - Accent5 5 2 2 3 2 2" xfId="15504"/>
    <cellStyle name="20% - Accent5 5 2 2 3 2 3" xfId="23450"/>
    <cellStyle name="20% - Accent5 5 2 2 3 3" xfId="11966"/>
    <cellStyle name="20% - Accent5 5 2 2 3 4" xfId="19921"/>
    <cellStyle name="20% - Accent5 5 2 2 4" xfId="5761"/>
    <cellStyle name="20% - Accent5 5 2 2 4 2" xfId="13745"/>
    <cellStyle name="20% - Accent5 5 2 2 4 3" xfId="21693"/>
    <cellStyle name="20% - Accent5 5 2 2 5" xfId="9314"/>
    <cellStyle name="20% - Accent5 5 2 2 5 2" xfId="17272"/>
    <cellStyle name="20% - Accent5 5 2 2 5 3" xfId="25216"/>
    <cellStyle name="20% - Accent5 5 2 2 6" xfId="10210"/>
    <cellStyle name="20% - Accent5 5 2 2 7" xfId="18165"/>
    <cellStyle name="20% - Accent5 5 2 2_Exh G" xfId="2515"/>
    <cellStyle name="20% - Accent5 5 2 3" xfId="1289"/>
    <cellStyle name="20% - Accent5 5 2 3 2" xfId="4819"/>
    <cellStyle name="20% - Accent5 5 2 3 2 2" xfId="8410"/>
    <cellStyle name="20% - Accent5 5 2 3 2 2 2" xfId="16381"/>
    <cellStyle name="20% - Accent5 5 2 3 2 2 3" xfId="24327"/>
    <cellStyle name="20% - Accent5 5 2 3 2 3" xfId="12843"/>
    <cellStyle name="20% - Accent5 5 2 3 2 4" xfId="20798"/>
    <cellStyle name="20% - Accent5 5 2 3 3" xfId="6651"/>
    <cellStyle name="20% - Accent5 5 2 3 3 2" xfId="14623"/>
    <cellStyle name="20% - Accent5 5 2 3 3 3" xfId="22570"/>
    <cellStyle name="20% - Accent5 5 2 3 4" xfId="11087"/>
    <cellStyle name="20% - Accent5 5 2 3 5" xfId="19042"/>
    <cellStyle name="20% - Accent5 5 2 3_Exh G" xfId="2517"/>
    <cellStyle name="20% - Accent5 5 2 4" xfId="3940"/>
    <cellStyle name="20% - Accent5 5 2 4 2" xfId="7532"/>
    <cellStyle name="20% - Accent5 5 2 4 2 2" xfId="15503"/>
    <cellStyle name="20% - Accent5 5 2 4 2 3" xfId="23449"/>
    <cellStyle name="20% - Accent5 5 2 4 3" xfId="11965"/>
    <cellStyle name="20% - Accent5 5 2 4 4" xfId="19920"/>
    <cellStyle name="20% - Accent5 5 2 5" xfId="5760"/>
    <cellStyle name="20% - Accent5 5 2 5 2" xfId="13744"/>
    <cellStyle name="20% - Accent5 5 2 5 3" xfId="21692"/>
    <cellStyle name="20% - Accent5 5 2 6" xfId="9313"/>
    <cellStyle name="20% - Accent5 5 2 6 2" xfId="17271"/>
    <cellStyle name="20% - Accent5 5 2 6 3" xfId="25215"/>
    <cellStyle name="20% - Accent5 5 2 7" xfId="10209"/>
    <cellStyle name="20% - Accent5 5 2 8" xfId="18164"/>
    <cellStyle name="20% - Accent5 5 2_Exh G" xfId="2514"/>
    <cellStyle name="20% - Accent5 5 3" xfId="263"/>
    <cellStyle name="20% - Accent5 5 3 2" xfId="1291"/>
    <cellStyle name="20% - Accent5 5 3 2 2" xfId="4821"/>
    <cellStyle name="20% - Accent5 5 3 2 2 2" xfId="8412"/>
    <cellStyle name="20% - Accent5 5 3 2 2 2 2" xfId="16383"/>
    <cellStyle name="20% - Accent5 5 3 2 2 2 3" xfId="24329"/>
    <cellStyle name="20% - Accent5 5 3 2 2 3" xfId="12845"/>
    <cellStyle name="20% - Accent5 5 3 2 2 4" xfId="20800"/>
    <cellStyle name="20% - Accent5 5 3 2 3" xfId="6653"/>
    <cellStyle name="20% - Accent5 5 3 2 3 2" xfId="14625"/>
    <cellStyle name="20% - Accent5 5 3 2 3 3" xfId="22572"/>
    <cellStyle name="20% - Accent5 5 3 2 4" xfId="11089"/>
    <cellStyle name="20% - Accent5 5 3 2 5" xfId="19044"/>
    <cellStyle name="20% - Accent5 5 3 2_Exh G" xfId="2519"/>
    <cellStyle name="20% - Accent5 5 3 3" xfId="3942"/>
    <cellStyle name="20% - Accent5 5 3 3 2" xfId="7534"/>
    <cellStyle name="20% - Accent5 5 3 3 2 2" xfId="15505"/>
    <cellStyle name="20% - Accent5 5 3 3 2 3" xfId="23451"/>
    <cellStyle name="20% - Accent5 5 3 3 3" xfId="11967"/>
    <cellStyle name="20% - Accent5 5 3 3 4" xfId="19922"/>
    <cellStyle name="20% - Accent5 5 3 4" xfId="5762"/>
    <cellStyle name="20% - Accent5 5 3 4 2" xfId="13746"/>
    <cellStyle name="20% - Accent5 5 3 4 3" xfId="21694"/>
    <cellStyle name="20% - Accent5 5 3 5" xfId="9315"/>
    <cellStyle name="20% - Accent5 5 3 5 2" xfId="17273"/>
    <cellStyle name="20% - Accent5 5 3 5 3" xfId="25217"/>
    <cellStyle name="20% - Accent5 5 3 6" xfId="10211"/>
    <cellStyle name="20% - Accent5 5 3 7" xfId="18166"/>
    <cellStyle name="20% - Accent5 5 3_Exh G" xfId="2518"/>
    <cellStyle name="20% - Accent5 5 4" xfId="917"/>
    <cellStyle name="20% - Accent5 5 5" xfId="1288"/>
    <cellStyle name="20% - Accent5 5 5 2" xfId="4818"/>
    <cellStyle name="20% - Accent5 5 5 2 2" xfId="8409"/>
    <cellStyle name="20% - Accent5 5 5 2 2 2" xfId="16380"/>
    <cellStyle name="20% - Accent5 5 5 2 2 3" xfId="24326"/>
    <cellStyle name="20% - Accent5 5 5 2 3" xfId="12842"/>
    <cellStyle name="20% - Accent5 5 5 2 4" xfId="20797"/>
    <cellStyle name="20% - Accent5 5 5 3" xfId="6650"/>
    <cellStyle name="20% - Accent5 5 5 3 2" xfId="14622"/>
    <cellStyle name="20% - Accent5 5 5 3 3" xfId="22569"/>
    <cellStyle name="20% - Accent5 5 5 4" xfId="11086"/>
    <cellStyle name="20% - Accent5 5 5 5" xfId="19041"/>
    <cellStyle name="20% - Accent5 5 5_Exh G" xfId="2520"/>
    <cellStyle name="20% - Accent5 5 6" xfId="3939"/>
    <cellStyle name="20% - Accent5 5 6 2" xfId="7531"/>
    <cellStyle name="20% - Accent5 5 6 2 2" xfId="15502"/>
    <cellStyle name="20% - Accent5 5 6 2 3" xfId="23448"/>
    <cellStyle name="20% - Accent5 5 6 3" xfId="11964"/>
    <cellStyle name="20% - Accent5 5 6 4" xfId="19919"/>
    <cellStyle name="20% - Accent5 5 7" xfId="5759"/>
    <cellStyle name="20% - Accent5 5 7 2" xfId="13743"/>
    <cellStyle name="20% - Accent5 5 7 3" xfId="21691"/>
    <cellStyle name="20% - Accent5 5 8" xfId="9312"/>
    <cellStyle name="20% - Accent5 5 8 2" xfId="17270"/>
    <cellStyle name="20% - Accent5 5 8 3" xfId="25214"/>
    <cellStyle name="20% - Accent5 5 9" xfId="10208"/>
    <cellStyle name="20% - Accent5 5_Exh G" xfId="2513"/>
    <cellStyle name="20% - Accent5 6" xfId="264"/>
    <cellStyle name="20% - Accent5 6 10" xfId="18167"/>
    <cellStyle name="20% - Accent5 6 2" xfId="265"/>
    <cellStyle name="20% - Accent5 6 2 2" xfId="266"/>
    <cellStyle name="20% - Accent5 6 2 2 2" xfId="1294"/>
    <cellStyle name="20% - Accent5 6 2 2 2 2" xfId="4824"/>
    <cellStyle name="20% - Accent5 6 2 2 2 2 2" xfId="8415"/>
    <cellStyle name="20% - Accent5 6 2 2 2 2 2 2" xfId="16386"/>
    <cellStyle name="20% - Accent5 6 2 2 2 2 2 3" xfId="24332"/>
    <cellStyle name="20% - Accent5 6 2 2 2 2 3" xfId="12848"/>
    <cellStyle name="20% - Accent5 6 2 2 2 2 4" xfId="20803"/>
    <cellStyle name="20% - Accent5 6 2 2 2 3" xfId="6656"/>
    <cellStyle name="20% - Accent5 6 2 2 2 3 2" xfId="14628"/>
    <cellStyle name="20% - Accent5 6 2 2 2 3 3" xfId="22575"/>
    <cellStyle name="20% - Accent5 6 2 2 2 4" xfId="11092"/>
    <cellStyle name="20% - Accent5 6 2 2 2 5" xfId="19047"/>
    <cellStyle name="20% - Accent5 6 2 2 2_Exh G" xfId="2524"/>
    <cellStyle name="20% - Accent5 6 2 2 3" xfId="3945"/>
    <cellStyle name="20% - Accent5 6 2 2 3 2" xfId="7537"/>
    <cellStyle name="20% - Accent5 6 2 2 3 2 2" xfId="15508"/>
    <cellStyle name="20% - Accent5 6 2 2 3 2 3" xfId="23454"/>
    <cellStyle name="20% - Accent5 6 2 2 3 3" xfId="11970"/>
    <cellStyle name="20% - Accent5 6 2 2 3 4" xfId="19925"/>
    <cellStyle name="20% - Accent5 6 2 2 4" xfId="5765"/>
    <cellStyle name="20% - Accent5 6 2 2 4 2" xfId="13749"/>
    <cellStyle name="20% - Accent5 6 2 2 4 3" xfId="21697"/>
    <cellStyle name="20% - Accent5 6 2 2 5" xfId="9318"/>
    <cellStyle name="20% - Accent5 6 2 2 5 2" xfId="17276"/>
    <cellStyle name="20% - Accent5 6 2 2 5 3" xfId="25220"/>
    <cellStyle name="20% - Accent5 6 2 2 6" xfId="10214"/>
    <cellStyle name="20% - Accent5 6 2 2 7" xfId="18169"/>
    <cellStyle name="20% - Accent5 6 2 2_Exh G" xfId="2523"/>
    <cellStyle name="20% - Accent5 6 2 3" xfId="1293"/>
    <cellStyle name="20% - Accent5 6 2 3 2" xfId="4823"/>
    <cellStyle name="20% - Accent5 6 2 3 2 2" xfId="8414"/>
    <cellStyle name="20% - Accent5 6 2 3 2 2 2" xfId="16385"/>
    <cellStyle name="20% - Accent5 6 2 3 2 2 3" xfId="24331"/>
    <cellStyle name="20% - Accent5 6 2 3 2 3" xfId="12847"/>
    <cellStyle name="20% - Accent5 6 2 3 2 4" xfId="20802"/>
    <cellStyle name="20% - Accent5 6 2 3 3" xfId="6655"/>
    <cellStyle name="20% - Accent5 6 2 3 3 2" xfId="14627"/>
    <cellStyle name="20% - Accent5 6 2 3 3 3" xfId="22574"/>
    <cellStyle name="20% - Accent5 6 2 3 4" xfId="11091"/>
    <cellStyle name="20% - Accent5 6 2 3 5" xfId="19046"/>
    <cellStyle name="20% - Accent5 6 2 3_Exh G" xfId="2525"/>
    <cellStyle name="20% - Accent5 6 2 4" xfId="3944"/>
    <cellStyle name="20% - Accent5 6 2 4 2" xfId="7536"/>
    <cellStyle name="20% - Accent5 6 2 4 2 2" xfId="15507"/>
    <cellStyle name="20% - Accent5 6 2 4 2 3" xfId="23453"/>
    <cellStyle name="20% - Accent5 6 2 4 3" xfId="11969"/>
    <cellStyle name="20% - Accent5 6 2 4 4" xfId="19924"/>
    <cellStyle name="20% - Accent5 6 2 5" xfId="5764"/>
    <cellStyle name="20% - Accent5 6 2 5 2" xfId="13748"/>
    <cellStyle name="20% - Accent5 6 2 5 3" xfId="21696"/>
    <cellStyle name="20% - Accent5 6 2 6" xfId="9317"/>
    <cellStyle name="20% - Accent5 6 2 6 2" xfId="17275"/>
    <cellStyle name="20% - Accent5 6 2 6 3" xfId="25219"/>
    <cellStyle name="20% - Accent5 6 2 7" xfId="10213"/>
    <cellStyle name="20% - Accent5 6 2 8" xfId="18168"/>
    <cellStyle name="20% - Accent5 6 2_Exh G" xfId="2522"/>
    <cellStyle name="20% - Accent5 6 3" xfId="267"/>
    <cellStyle name="20% - Accent5 6 3 2" xfId="1295"/>
    <cellStyle name="20% - Accent5 6 3 2 2" xfId="4825"/>
    <cellStyle name="20% - Accent5 6 3 2 2 2" xfId="8416"/>
    <cellStyle name="20% - Accent5 6 3 2 2 2 2" xfId="16387"/>
    <cellStyle name="20% - Accent5 6 3 2 2 2 3" xfId="24333"/>
    <cellStyle name="20% - Accent5 6 3 2 2 3" xfId="12849"/>
    <cellStyle name="20% - Accent5 6 3 2 2 4" xfId="20804"/>
    <cellStyle name="20% - Accent5 6 3 2 3" xfId="6657"/>
    <cellStyle name="20% - Accent5 6 3 2 3 2" xfId="14629"/>
    <cellStyle name="20% - Accent5 6 3 2 3 3" xfId="22576"/>
    <cellStyle name="20% - Accent5 6 3 2 4" xfId="11093"/>
    <cellStyle name="20% - Accent5 6 3 2 5" xfId="19048"/>
    <cellStyle name="20% - Accent5 6 3 2_Exh G" xfId="2527"/>
    <cellStyle name="20% - Accent5 6 3 3" xfId="3946"/>
    <cellStyle name="20% - Accent5 6 3 3 2" xfId="7538"/>
    <cellStyle name="20% - Accent5 6 3 3 2 2" xfId="15509"/>
    <cellStyle name="20% - Accent5 6 3 3 2 3" xfId="23455"/>
    <cellStyle name="20% - Accent5 6 3 3 3" xfId="11971"/>
    <cellStyle name="20% - Accent5 6 3 3 4" xfId="19926"/>
    <cellStyle name="20% - Accent5 6 3 4" xfId="5766"/>
    <cellStyle name="20% - Accent5 6 3 4 2" xfId="13750"/>
    <cellStyle name="20% - Accent5 6 3 4 3" xfId="21698"/>
    <cellStyle name="20% - Accent5 6 3 5" xfId="9319"/>
    <cellStyle name="20% - Accent5 6 3 5 2" xfId="17277"/>
    <cellStyle name="20% - Accent5 6 3 5 3" xfId="25221"/>
    <cellStyle name="20% - Accent5 6 3 6" xfId="10215"/>
    <cellStyle name="20% - Accent5 6 3 7" xfId="18170"/>
    <cellStyle name="20% - Accent5 6 3_Exh G" xfId="2526"/>
    <cellStyle name="20% - Accent5 6 4" xfId="918"/>
    <cellStyle name="20% - Accent5 6 4 2" xfId="1845"/>
    <cellStyle name="20% - Accent5 6 4 2 2" xfId="5363"/>
    <cellStyle name="20% - Accent5 6 4 2 2 2" xfId="8954"/>
    <cellStyle name="20% - Accent5 6 4 2 2 2 2" xfId="16925"/>
    <cellStyle name="20% - Accent5 6 4 2 2 2 3" xfId="24871"/>
    <cellStyle name="20% - Accent5 6 4 2 2 3" xfId="13387"/>
    <cellStyle name="20% - Accent5 6 4 2 2 4" xfId="21342"/>
    <cellStyle name="20% - Accent5 6 4 2 3" xfId="7195"/>
    <cellStyle name="20% - Accent5 6 4 2 3 2" xfId="15167"/>
    <cellStyle name="20% - Accent5 6 4 2 3 3" xfId="23114"/>
    <cellStyle name="20% - Accent5 6 4 2 4" xfId="11631"/>
    <cellStyle name="20% - Accent5 6 4 2 5" xfId="19586"/>
    <cellStyle name="20% - Accent5 6 4 2_Exh G" xfId="2529"/>
    <cellStyle name="20% - Accent5 6 4 3" xfId="4484"/>
    <cellStyle name="20% - Accent5 6 4 3 2" xfId="8076"/>
    <cellStyle name="20% - Accent5 6 4 3 2 2" xfId="16047"/>
    <cellStyle name="20% - Accent5 6 4 3 2 3" xfId="23993"/>
    <cellStyle name="20% - Accent5 6 4 3 3" xfId="12509"/>
    <cellStyle name="20% - Accent5 6 4 3 4" xfId="20464"/>
    <cellStyle name="20% - Accent5 6 4 4" xfId="6314"/>
    <cellStyle name="20% - Accent5 6 4 4 2" xfId="14289"/>
    <cellStyle name="20% - Accent5 6 4 4 3" xfId="22236"/>
    <cellStyle name="20% - Accent5 6 4 5" xfId="9857"/>
    <cellStyle name="20% - Accent5 6 4 5 2" xfId="17815"/>
    <cellStyle name="20% - Accent5 6 4 5 3" xfId="25759"/>
    <cellStyle name="20% - Accent5 6 4 6" xfId="10753"/>
    <cellStyle name="20% - Accent5 6 4 7" xfId="18708"/>
    <cellStyle name="20% - Accent5 6 4_Exh G" xfId="2528"/>
    <cellStyle name="20% - Accent5 6 5" xfId="1292"/>
    <cellStyle name="20% - Accent5 6 5 2" xfId="4822"/>
    <cellStyle name="20% - Accent5 6 5 2 2" xfId="8413"/>
    <cellStyle name="20% - Accent5 6 5 2 2 2" xfId="16384"/>
    <cellStyle name="20% - Accent5 6 5 2 2 3" xfId="24330"/>
    <cellStyle name="20% - Accent5 6 5 2 3" xfId="12846"/>
    <cellStyle name="20% - Accent5 6 5 2 4" xfId="20801"/>
    <cellStyle name="20% - Accent5 6 5 3" xfId="6654"/>
    <cellStyle name="20% - Accent5 6 5 3 2" xfId="14626"/>
    <cellStyle name="20% - Accent5 6 5 3 3" xfId="22573"/>
    <cellStyle name="20% - Accent5 6 5 4" xfId="11090"/>
    <cellStyle name="20% - Accent5 6 5 5" xfId="19045"/>
    <cellStyle name="20% - Accent5 6 5_Exh G" xfId="2530"/>
    <cellStyle name="20% - Accent5 6 6" xfId="3943"/>
    <cellStyle name="20% - Accent5 6 6 2" xfId="7535"/>
    <cellStyle name="20% - Accent5 6 6 2 2" xfId="15506"/>
    <cellStyle name="20% - Accent5 6 6 2 3" xfId="23452"/>
    <cellStyle name="20% - Accent5 6 6 3" xfId="11968"/>
    <cellStyle name="20% - Accent5 6 6 4" xfId="19923"/>
    <cellStyle name="20% - Accent5 6 7" xfId="5763"/>
    <cellStyle name="20% - Accent5 6 7 2" xfId="13747"/>
    <cellStyle name="20% - Accent5 6 7 3" xfId="21695"/>
    <cellStyle name="20% - Accent5 6 8" xfId="9316"/>
    <cellStyle name="20% - Accent5 6 8 2" xfId="17274"/>
    <cellStyle name="20% - Accent5 6 8 3" xfId="25218"/>
    <cellStyle name="20% - Accent5 6 9" xfId="10212"/>
    <cellStyle name="20% - Accent5 6_Exh G" xfId="2521"/>
    <cellStyle name="20% - Accent5 7" xfId="268"/>
    <cellStyle name="20% - Accent5 7 10" xfId="18171"/>
    <cellStyle name="20% - Accent5 7 2" xfId="269"/>
    <cellStyle name="20% - Accent5 7 2 2" xfId="270"/>
    <cellStyle name="20% - Accent5 7 2 2 2" xfId="1298"/>
    <cellStyle name="20% - Accent5 7 2 2 2 2" xfId="4828"/>
    <cellStyle name="20% - Accent5 7 2 2 2 2 2" xfId="8419"/>
    <cellStyle name="20% - Accent5 7 2 2 2 2 2 2" xfId="16390"/>
    <cellStyle name="20% - Accent5 7 2 2 2 2 2 3" xfId="24336"/>
    <cellStyle name="20% - Accent5 7 2 2 2 2 3" xfId="12852"/>
    <cellStyle name="20% - Accent5 7 2 2 2 2 4" xfId="20807"/>
    <cellStyle name="20% - Accent5 7 2 2 2 3" xfId="6660"/>
    <cellStyle name="20% - Accent5 7 2 2 2 3 2" xfId="14632"/>
    <cellStyle name="20% - Accent5 7 2 2 2 3 3" xfId="22579"/>
    <cellStyle name="20% - Accent5 7 2 2 2 4" xfId="11096"/>
    <cellStyle name="20% - Accent5 7 2 2 2 5" xfId="19051"/>
    <cellStyle name="20% - Accent5 7 2 2 2_Exh G" xfId="2534"/>
    <cellStyle name="20% - Accent5 7 2 2 3" xfId="3949"/>
    <cellStyle name="20% - Accent5 7 2 2 3 2" xfId="7541"/>
    <cellStyle name="20% - Accent5 7 2 2 3 2 2" xfId="15512"/>
    <cellStyle name="20% - Accent5 7 2 2 3 2 3" xfId="23458"/>
    <cellStyle name="20% - Accent5 7 2 2 3 3" xfId="11974"/>
    <cellStyle name="20% - Accent5 7 2 2 3 4" xfId="19929"/>
    <cellStyle name="20% - Accent5 7 2 2 4" xfId="5769"/>
    <cellStyle name="20% - Accent5 7 2 2 4 2" xfId="13753"/>
    <cellStyle name="20% - Accent5 7 2 2 4 3" xfId="21701"/>
    <cellStyle name="20% - Accent5 7 2 2 5" xfId="9322"/>
    <cellStyle name="20% - Accent5 7 2 2 5 2" xfId="17280"/>
    <cellStyle name="20% - Accent5 7 2 2 5 3" xfId="25224"/>
    <cellStyle name="20% - Accent5 7 2 2 6" xfId="10218"/>
    <cellStyle name="20% - Accent5 7 2 2 7" xfId="18173"/>
    <cellStyle name="20% - Accent5 7 2 2_Exh G" xfId="2533"/>
    <cellStyle name="20% - Accent5 7 2 3" xfId="1297"/>
    <cellStyle name="20% - Accent5 7 2 3 2" xfId="4827"/>
    <cellStyle name="20% - Accent5 7 2 3 2 2" xfId="8418"/>
    <cellStyle name="20% - Accent5 7 2 3 2 2 2" xfId="16389"/>
    <cellStyle name="20% - Accent5 7 2 3 2 2 3" xfId="24335"/>
    <cellStyle name="20% - Accent5 7 2 3 2 3" xfId="12851"/>
    <cellStyle name="20% - Accent5 7 2 3 2 4" xfId="20806"/>
    <cellStyle name="20% - Accent5 7 2 3 3" xfId="6659"/>
    <cellStyle name="20% - Accent5 7 2 3 3 2" xfId="14631"/>
    <cellStyle name="20% - Accent5 7 2 3 3 3" xfId="22578"/>
    <cellStyle name="20% - Accent5 7 2 3 4" xfId="11095"/>
    <cellStyle name="20% - Accent5 7 2 3 5" xfId="19050"/>
    <cellStyle name="20% - Accent5 7 2 3_Exh G" xfId="2535"/>
    <cellStyle name="20% - Accent5 7 2 4" xfId="3948"/>
    <cellStyle name="20% - Accent5 7 2 4 2" xfId="7540"/>
    <cellStyle name="20% - Accent5 7 2 4 2 2" xfId="15511"/>
    <cellStyle name="20% - Accent5 7 2 4 2 3" xfId="23457"/>
    <cellStyle name="20% - Accent5 7 2 4 3" xfId="11973"/>
    <cellStyle name="20% - Accent5 7 2 4 4" xfId="19928"/>
    <cellStyle name="20% - Accent5 7 2 5" xfId="5768"/>
    <cellStyle name="20% - Accent5 7 2 5 2" xfId="13752"/>
    <cellStyle name="20% - Accent5 7 2 5 3" xfId="21700"/>
    <cellStyle name="20% - Accent5 7 2 6" xfId="9321"/>
    <cellStyle name="20% - Accent5 7 2 6 2" xfId="17279"/>
    <cellStyle name="20% - Accent5 7 2 6 3" xfId="25223"/>
    <cellStyle name="20% - Accent5 7 2 7" xfId="10217"/>
    <cellStyle name="20% - Accent5 7 2 8" xfId="18172"/>
    <cellStyle name="20% - Accent5 7 2_Exh G" xfId="2532"/>
    <cellStyle name="20% - Accent5 7 3" xfId="271"/>
    <cellStyle name="20% - Accent5 7 3 2" xfId="1299"/>
    <cellStyle name="20% - Accent5 7 3 2 2" xfId="4829"/>
    <cellStyle name="20% - Accent5 7 3 2 2 2" xfId="8420"/>
    <cellStyle name="20% - Accent5 7 3 2 2 2 2" xfId="16391"/>
    <cellStyle name="20% - Accent5 7 3 2 2 2 3" xfId="24337"/>
    <cellStyle name="20% - Accent5 7 3 2 2 3" xfId="12853"/>
    <cellStyle name="20% - Accent5 7 3 2 2 4" xfId="20808"/>
    <cellStyle name="20% - Accent5 7 3 2 3" xfId="6661"/>
    <cellStyle name="20% - Accent5 7 3 2 3 2" xfId="14633"/>
    <cellStyle name="20% - Accent5 7 3 2 3 3" xfId="22580"/>
    <cellStyle name="20% - Accent5 7 3 2 4" xfId="11097"/>
    <cellStyle name="20% - Accent5 7 3 2 5" xfId="19052"/>
    <cellStyle name="20% - Accent5 7 3 2_Exh G" xfId="2537"/>
    <cellStyle name="20% - Accent5 7 3 3" xfId="3950"/>
    <cellStyle name="20% - Accent5 7 3 3 2" xfId="7542"/>
    <cellStyle name="20% - Accent5 7 3 3 2 2" xfId="15513"/>
    <cellStyle name="20% - Accent5 7 3 3 2 3" xfId="23459"/>
    <cellStyle name="20% - Accent5 7 3 3 3" xfId="11975"/>
    <cellStyle name="20% - Accent5 7 3 3 4" xfId="19930"/>
    <cellStyle name="20% - Accent5 7 3 4" xfId="5770"/>
    <cellStyle name="20% - Accent5 7 3 4 2" xfId="13754"/>
    <cellStyle name="20% - Accent5 7 3 4 3" xfId="21702"/>
    <cellStyle name="20% - Accent5 7 3 5" xfId="9323"/>
    <cellStyle name="20% - Accent5 7 3 5 2" xfId="17281"/>
    <cellStyle name="20% - Accent5 7 3 5 3" xfId="25225"/>
    <cellStyle name="20% - Accent5 7 3 6" xfId="10219"/>
    <cellStyle name="20% - Accent5 7 3 7" xfId="18174"/>
    <cellStyle name="20% - Accent5 7 3_Exh G" xfId="2536"/>
    <cellStyle name="20% - Accent5 7 4" xfId="919"/>
    <cellStyle name="20% - Accent5 7 4 2" xfId="1846"/>
    <cellStyle name="20% - Accent5 7 4 2 2" xfId="5364"/>
    <cellStyle name="20% - Accent5 7 4 2 2 2" xfId="8955"/>
    <cellStyle name="20% - Accent5 7 4 2 2 2 2" xfId="16926"/>
    <cellStyle name="20% - Accent5 7 4 2 2 2 3" xfId="24872"/>
    <cellStyle name="20% - Accent5 7 4 2 2 3" xfId="13388"/>
    <cellStyle name="20% - Accent5 7 4 2 2 4" xfId="21343"/>
    <cellStyle name="20% - Accent5 7 4 2 3" xfId="7196"/>
    <cellStyle name="20% - Accent5 7 4 2 3 2" xfId="15168"/>
    <cellStyle name="20% - Accent5 7 4 2 3 3" xfId="23115"/>
    <cellStyle name="20% - Accent5 7 4 2 4" xfId="11632"/>
    <cellStyle name="20% - Accent5 7 4 2 5" xfId="19587"/>
    <cellStyle name="20% - Accent5 7 4 2_Exh G" xfId="2539"/>
    <cellStyle name="20% - Accent5 7 4 3" xfId="4485"/>
    <cellStyle name="20% - Accent5 7 4 3 2" xfId="8077"/>
    <cellStyle name="20% - Accent5 7 4 3 2 2" xfId="16048"/>
    <cellStyle name="20% - Accent5 7 4 3 2 3" xfId="23994"/>
    <cellStyle name="20% - Accent5 7 4 3 3" xfId="12510"/>
    <cellStyle name="20% - Accent5 7 4 3 4" xfId="20465"/>
    <cellStyle name="20% - Accent5 7 4 4" xfId="6315"/>
    <cellStyle name="20% - Accent5 7 4 4 2" xfId="14290"/>
    <cellStyle name="20% - Accent5 7 4 4 3" xfId="22237"/>
    <cellStyle name="20% - Accent5 7 4 5" xfId="9858"/>
    <cellStyle name="20% - Accent5 7 4 5 2" xfId="17816"/>
    <cellStyle name="20% - Accent5 7 4 5 3" xfId="25760"/>
    <cellStyle name="20% - Accent5 7 4 6" xfId="10754"/>
    <cellStyle name="20% - Accent5 7 4 7" xfId="18709"/>
    <cellStyle name="20% - Accent5 7 4_Exh G" xfId="2538"/>
    <cellStyle name="20% - Accent5 7 5" xfId="1296"/>
    <cellStyle name="20% - Accent5 7 5 2" xfId="4826"/>
    <cellStyle name="20% - Accent5 7 5 2 2" xfId="8417"/>
    <cellStyle name="20% - Accent5 7 5 2 2 2" xfId="16388"/>
    <cellStyle name="20% - Accent5 7 5 2 2 3" xfId="24334"/>
    <cellStyle name="20% - Accent5 7 5 2 3" xfId="12850"/>
    <cellStyle name="20% - Accent5 7 5 2 4" xfId="20805"/>
    <cellStyle name="20% - Accent5 7 5 3" xfId="6658"/>
    <cellStyle name="20% - Accent5 7 5 3 2" xfId="14630"/>
    <cellStyle name="20% - Accent5 7 5 3 3" xfId="22577"/>
    <cellStyle name="20% - Accent5 7 5 4" xfId="11094"/>
    <cellStyle name="20% - Accent5 7 5 5" xfId="19049"/>
    <cellStyle name="20% - Accent5 7 5_Exh G" xfId="2540"/>
    <cellStyle name="20% - Accent5 7 6" xfId="3947"/>
    <cellStyle name="20% - Accent5 7 6 2" xfId="7539"/>
    <cellStyle name="20% - Accent5 7 6 2 2" xfId="15510"/>
    <cellStyle name="20% - Accent5 7 6 2 3" xfId="23456"/>
    <cellStyle name="20% - Accent5 7 6 3" xfId="11972"/>
    <cellStyle name="20% - Accent5 7 6 4" xfId="19927"/>
    <cellStyle name="20% - Accent5 7 7" xfId="5767"/>
    <cellStyle name="20% - Accent5 7 7 2" xfId="13751"/>
    <cellStyle name="20% - Accent5 7 7 3" xfId="21699"/>
    <cellStyle name="20% - Accent5 7 8" xfId="9320"/>
    <cellStyle name="20% - Accent5 7 8 2" xfId="17278"/>
    <cellStyle name="20% - Accent5 7 8 3" xfId="25222"/>
    <cellStyle name="20% - Accent5 7 9" xfId="10216"/>
    <cellStyle name="20% - Accent5 7_Exh G" xfId="2531"/>
    <cellStyle name="20% - Accent5 8" xfId="272"/>
    <cellStyle name="20% - Accent5 8 10" xfId="18175"/>
    <cellStyle name="20% - Accent5 8 2" xfId="273"/>
    <cellStyle name="20% - Accent5 8 2 2" xfId="274"/>
    <cellStyle name="20% - Accent5 8 2 2 2" xfId="1302"/>
    <cellStyle name="20% - Accent5 8 2 2 2 2" xfId="4832"/>
    <cellStyle name="20% - Accent5 8 2 2 2 2 2" xfId="8423"/>
    <cellStyle name="20% - Accent5 8 2 2 2 2 2 2" xfId="16394"/>
    <cellStyle name="20% - Accent5 8 2 2 2 2 2 3" xfId="24340"/>
    <cellStyle name="20% - Accent5 8 2 2 2 2 3" xfId="12856"/>
    <cellStyle name="20% - Accent5 8 2 2 2 2 4" xfId="20811"/>
    <cellStyle name="20% - Accent5 8 2 2 2 3" xfId="6664"/>
    <cellStyle name="20% - Accent5 8 2 2 2 3 2" xfId="14636"/>
    <cellStyle name="20% - Accent5 8 2 2 2 3 3" xfId="22583"/>
    <cellStyle name="20% - Accent5 8 2 2 2 4" xfId="11100"/>
    <cellStyle name="20% - Accent5 8 2 2 2 5" xfId="19055"/>
    <cellStyle name="20% - Accent5 8 2 2 2_Exh G" xfId="2544"/>
    <cellStyle name="20% - Accent5 8 2 2 3" xfId="3953"/>
    <cellStyle name="20% - Accent5 8 2 2 3 2" xfId="7545"/>
    <cellStyle name="20% - Accent5 8 2 2 3 2 2" xfId="15516"/>
    <cellStyle name="20% - Accent5 8 2 2 3 2 3" xfId="23462"/>
    <cellStyle name="20% - Accent5 8 2 2 3 3" xfId="11978"/>
    <cellStyle name="20% - Accent5 8 2 2 3 4" xfId="19933"/>
    <cellStyle name="20% - Accent5 8 2 2 4" xfId="5773"/>
    <cellStyle name="20% - Accent5 8 2 2 4 2" xfId="13757"/>
    <cellStyle name="20% - Accent5 8 2 2 4 3" xfId="21705"/>
    <cellStyle name="20% - Accent5 8 2 2 5" xfId="9326"/>
    <cellStyle name="20% - Accent5 8 2 2 5 2" xfId="17284"/>
    <cellStyle name="20% - Accent5 8 2 2 5 3" xfId="25228"/>
    <cellStyle name="20% - Accent5 8 2 2 6" xfId="10222"/>
    <cellStyle name="20% - Accent5 8 2 2 7" xfId="18177"/>
    <cellStyle name="20% - Accent5 8 2 2_Exh G" xfId="2543"/>
    <cellStyle name="20% - Accent5 8 2 3" xfId="1301"/>
    <cellStyle name="20% - Accent5 8 2 3 2" xfId="4831"/>
    <cellStyle name="20% - Accent5 8 2 3 2 2" xfId="8422"/>
    <cellStyle name="20% - Accent5 8 2 3 2 2 2" xfId="16393"/>
    <cellStyle name="20% - Accent5 8 2 3 2 2 3" xfId="24339"/>
    <cellStyle name="20% - Accent5 8 2 3 2 3" xfId="12855"/>
    <cellStyle name="20% - Accent5 8 2 3 2 4" xfId="20810"/>
    <cellStyle name="20% - Accent5 8 2 3 3" xfId="6663"/>
    <cellStyle name="20% - Accent5 8 2 3 3 2" xfId="14635"/>
    <cellStyle name="20% - Accent5 8 2 3 3 3" xfId="22582"/>
    <cellStyle name="20% - Accent5 8 2 3 4" xfId="11099"/>
    <cellStyle name="20% - Accent5 8 2 3 5" xfId="19054"/>
    <cellStyle name="20% - Accent5 8 2 3_Exh G" xfId="2545"/>
    <cellStyle name="20% - Accent5 8 2 4" xfId="3952"/>
    <cellStyle name="20% - Accent5 8 2 4 2" xfId="7544"/>
    <cellStyle name="20% - Accent5 8 2 4 2 2" xfId="15515"/>
    <cellStyle name="20% - Accent5 8 2 4 2 3" xfId="23461"/>
    <cellStyle name="20% - Accent5 8 2 4 3" xfId="11977"/>
    <cellStyle name="20% - Accent5 8 2 4 4" xfId="19932"/>
    <cellStyle name="20% - Accent5 8 2 5" xfId="5772"/>
    <cellStyle name="20% - Accent5 8 2 5 2" xfId="13756"/>
    <cellStyle name="20% - Accent5 8 2 5 3" xfId="21704"/>
    <cellStyle name="20% - Accent5 8 2 6" xfId="9325"/>
    <cellStyle name="20% - Accent5 8 2 6 2" xfId="17283"/>
    <cellStyle name="20% - Accent5 8 2 6 3" xfId="25227"/>
    <cellStyle name="20% - Accent5 8 2 7" xfId="10221"/>
    <cellStyle name="20% - Accent5 8 2 8" xfId="18176"/>
    <cellStyle name="20% - Accent5 8 2_Exh G" xfId="2542"/>
    <cellStyle name="20% - Accent5 8 3" xfId="275"/>
    <cellStyle name="20% - Accent5 8 3 2" xfId="1303"/>
    <cellStyle name="20% - Accent5 8 3 2 2" xfId="4833"/>
    <cellStyle name="20% - Accent5 8 3 2 2 2" xfId="8424"/>
    <cellStyle name="20% - Accent5 8 3 2 2 2 2" xfId="16395"/>
    <cellStyle name="20% - Accent5 8 3 2 2 2 3" xfId="24341"/>
    <cellStyle name="20% - Accent5 8 3 2 2 3" xfId="12857"/>
    <cellStyle name="20% - Accent5 8 3 2 2 4" xfId="20812"/>
    <cellStyle name="20% - Accent5 8 3 2 3" xfId="6665"/>
    <cellStyle name="20% - Accent5 8 3 2 3 2" xfId="14637"/>
    <cellStyle name="20% - Accent5 8 3 2 3 3" xfId="22584"/>
    <cellStyle name="20% - Accent5 8 3 2 4" xfId="11101"/>
    <cellStyle name="20% - Accent5 8 3 2 5" xfId="19056"/>
    <cellStyle name="20% - Accent5 8 3 2_Exh G" xfId="2547"/>
    <cellStyle name="20% - Accent5 8 3 3" xfId="3954"/>
    <cellStyle name="20% - Accent5 8 3 3 2" xfId="7546"/>
    <cellStyle name="20% - Accent5 8 3 3 2 2" xfId="15517"/>
    <cellStyle name="20% - Accent5 8 3 3 2 3" xfId="23463"/>
    <cellStyle name="20% - Accent5 8 3 3 3" xfId="11979"/>
    <cellStyle name="20% - Accent5 8 3 3 4" xfId="19934"/>
    <cellStyle name="20% - Accent5 8 3 4" xfId="5774"/>
    <cellStyle name="20% - Accent5 8 3 4 2" xfId="13758"/>
    <cellStyle name="20% - Accent5 8 3 4 3" xfId="21706"/>
    <cellStyle name="20% - Accent5 8 3 5" xfId="9327"/>
    <cellStyle name="20% - Accent5 8 3 5 2" xfId="17285"/>
    <cellStyle name="20% - Accent5 8 3 5 3" xfId="25229"/>
    <cellStyle name="20% - Accent5 8 3 6" xfId="10223"/>
    <cellStyle name="20% - Accent5 8 3 7" xfId="18178"/>
    <cellStyle name="20% - Accent5 8 3_Exh G" xfId="2546"/>
    <cellStyle name="20% - Accent5 8 4" xfId="920"/>
    <cellStyle name="20% - Accent5 8 4 2" xfId="1847"/>
    <cellStyle name="20% - Accent5 8 4 2 2" xfId="5365"/>
    <cellStyle name="20% - Accent5 8 4 2 2 2" xfId="8956"/>
    <cellStyle name="20% - Accent5 8 4 2 2 2 2" xfId="16927"/>
    <cellStyle name="20% - Accent5 8 4 2 2 2 3" xfId="24873"/>
    <cellStyle name="20% - Accent5 8 4 2 2 3" xfId="13389"/>
    <cellStyle name="20% - Accent5 8 4 2 2 4" xfId="21344"/>
    <cellStyle name="20% - Accent5 8 4 2 3" xfId="7197"/>
    <cellStyle name="20% - Accent5 8 4 2 3 2" xfId="15169"/>
    <cellStyle name="20% - Accent5 8 4 2 3 3" xfId="23116"/>
    <cellStyle name="20% - Accent5 8 4 2 4" xfId="11633"/>
    <cellStyle name="20% - Accent5 8 4 2 5" xfId="19588"/>
    <cellStyle name="20% - Accent5 8 4 2_Exh G" xfId="2549"/>
    <cellStyle name="20% - Accent5 8 4 3" xfId="4486"/>
    <cellStyle name="20% - Accent5 8 4 3 2" xfId="8078"/>
    <cellStyle name="20% - Accent5 8 4 3 2 2" xfId="16049"/>
    <cellStyle name="20% - Accent5 8 4 3 2 3" xfId="23995"/>
    <cellStyle name="20% - Accent5 8 4 3 3" xfId="12511"/>
    <cellStyle name="20% - Accent5 8 4 3 4" xfId="20466"/>
    <cellStyle name="20% - Accent5 8 4 4" xfId="6316"/>
    <cellStyle name="20% - Accent5 8 4 4 2" xfId="14291"/>
    <cellStyle name="20% - Accent5 8 4 4 3" xfId="22238"/>
    <cellStyle name="20% - Accent5 8 4 5" xfId="9859"/>
    <cellStyle name="20% - Accent5 8 4 5 2" xfId="17817"/>
    <cellStyle name="20% - Accent5 8 4 5 3" xfId="25761"/>
    <cellStyle name="20% - Accent5 8 4 6" xfId="10755"/>
    <cellStyle name="20% - Accent5 8 4 7" xfId="18710"/>
    <cellStyle name="20% - Accent5 8 4_Exh G" xfId="2548"/>
    <cellStyle name="20% - Accent5 8 5" xfId="1300"/>
    <cellStyle name="20% - Accent5 8 5 2" xfId="4830"/>
    <cellStyle name="20% - Accent5 8 5 2 2" xfId="8421"/>
    <cellStyle name="20% - Accent5 8 5 2 2 2" xfId="16392"/>
    <cellStyle name="20% - Accent5 8 5 2 2 3" xfId="24338"/>
    <cellStyle name="20% - Accent5 8 5 2 3" xfId="12854"/>
    <cellStyle name="20% - Accent5 8 5 2 4" xfId="20809"/>
    <cellStyle name="20% - Accent5 8 5 3" xfId="6662"/>
    <cellStyle name="20% - Accent5 8 5 3 2" xfId="14634"/>
    <cellStyle name="20% - Accent5 8 5 3 3" xfId="22581"/>
    <cellStyle name="20% - Accent5 8 5 4" xfId="11098"/>
    <cellStyle name="20% - Accent5 8 5 5" xfId="19053"/>
    <cellStyle name="20% - Accent5 8 5_Exh G" xfId="2550"/>
    <cellStyle name="20% - Accent5 8 6" xfId="3951"/>
    <cellStyle name="20% - Accent5 8 6 2" xfId="7543"/>
    <cellStyle name="20% - Accent5 8 6 2 2" xfId="15514"/>
    <cellStyle name="20% - Accent5 8 6 2 3" xfId="23460"/>
    <cellStyle name="20% - Accent5 8 6 3" xfId="11976"/>
    <cellStyle name="20% - Accent5 8 6 4" xfId="19931"/>
    <cellStyle name="20% - Accent5 8 7" xfId="5771"/>
    <cellStyle name="20% - Accent5 8 7 2" xfId="13755"/>
    <cellStyle name="20% - Accent5 8 7 3" xfId="21703"/>
    <cellStyle name="20% - Accent5 8 8" xfId="9324"/>
    <cellStyle name="20% - Accent5 8 8 2" xfId="17282"/>
    <cellStyle name="20% - Accent5 8 8 3" xfId="25226"/>
    <cellStyle name="20% - Accent5 8 9" xfId="10220"/>
    <cellStyle name="20% - Accent5 8_Exh G" xfId="2541"/>
    <cellStyle name="20% - Accent5 9" xfId="276"/>
    <cellStyle name="20% - Accent5 9 10" xfId="18179"/>
    <cellStyle name="20% - Accent5 9 2" xfId="277"/>
    <cellStyle name="20% - Accent5 9 2 2" xfId="278"/>
    <cellStyle name="20% - Accent5 9 2 2 2" xfId="1306"/>
    <cellStyle name="20% - Accent5 9 2 2 2 2" xfId="4836"/>
    <cellStyle name="20% - Accent5 9 2 2 2 2 2" xfId="8427"/>
    <cellStyle name="20% - Accent5 9 2 2 2 2 2 2" xfId="16398"/>
    <cellStyle name="20% - Accent5 9 2 2 2 2 2 3" xfId="24344"/>
    <cellStyle name="20% - Accent5 9 2 2 2 2 3" xfId="12860"/>
    <cellStyle name="20% - Accent5 9 2 2 2 2 4" xfId="20815"/>
    <cellStyle name="20% - Accent5 9 2 2 2 3" xfId="6668"/>
    <cellStyle name="20% - Accent5 9 2 2 2 3 2" xfId="14640"/>
    <cellStyle name="20% - Accent5 9 2 2 2 3 3" xfId="22587"/>
    <cellStyle name="20% - Accent5 9 2 2 2 4" xfId="11104"/>
    <cellStyle name="20% - Accent5 9 2 2 2 5" xfId="19059"/>
    <cellStyle name="20% - Accent5 9 2 2 2_Exh G" xfId="2554"/>
    <cellStyle name="20% - Accent5 9 2 2 3" xfId="3957"/>
    <cellStyle name="20% - Accent5 9 2 2 3 2" xfId="7549"/>
    <cellStyle name="20% - Accent5 9 2 2 3 2 2" xfId="15520"/>
    <cellStyle name="20% - Accent5 9 2 2 3 2 3" xfId="23466"/>
    <cellStyle name="20% - Accent5 9 2 2 3 3" xfId="11982"/>
    <cellStyle name="20% - Accent5 9 2 2 3 4" xfId="19937"/>
    <cellStyle name="20% - Accent5 9 2 2 4" xfId="5777"/>
    <cellStyle name="20% - Accent5 9 2 2 4 2" xfId="13761"/>
    <cellStyle name="20% - Accent5 9 2 2 4 3" xfId="21709"/>
    <cellStyle name="20% - Accent5 9 2 2 5" xfId="9330"/>
    <cellStyle name="20% - Accent5 9 2 2 5 2" xfId="17288"/>
    <cellStyle name="20% - Accent5 9 2 2 5 3" xfId="25232"/>
    <cellStyle name="20% - Accent5 9 2 2 6" xfId="10226"/>
    <cellStyle name="20% - Accent5 9 2 2 7" xfId="18181"/>
    <cellStyle name="20% - Accent5 9 2 2_Exh G" xfId="2553"/>
    <cellStyle name="20% - Accent5 9 2 3" xfId="1305"/>
    <cellStyle name="20% - Accent5 9 2 3 2" xfId="4835"/>
    <cellStyle name="20% - Accent5 9 2 3 2 2" xfId="8426"/>
    <cellStyle name="20% - Accent5 9 2 3 2 2 2" xfId="16397"/>
    <cellStyle name="20% - Accent5 9 2 3 2 2 3" xfId="24343"/>
    <cellStyle name="20% - Accent5 9 2 3 2 3" xfId="12859"/>
    <cellStyle name="20% - Accent5 9 2 3 2 4" xfId="20814"/>
    <cellStyle name="20% - Accent5 9 2 3 3" xfId="6667"/>
    <cellStyle name="20% - Accent5 9 2 3 3 2" xfId="14639"/>
    <cellStyle name="20% - Accent5 9 2 3 3 3" xfId="22586"/>
    <cellStyle name="20% - Accent5 9 2 3 4" xfId="11103"/>
    <cellStyle name="20% - Accent5 9 2 3 5" xfId="19058"/>
    <cellStyle name="20% - Accent5 9 2 3_Exh G" xfId="2555"/>
    <cellStyle name="20% - Accent5 9 2 4" xfId="3956"/>
    <cellStyle name="20% - Accent5 9 2 4 2" xfId="7548"/>
    <cellStyle name="20% - Accent5 9 2 4 2 2" xfId="15519"/>
    <cellStyle name="20% - Accent5 9 2 4 2 3" xfId="23465"/>
    <cellStyle name="20% - Accent5 9 2 4 3" xfId="11981"/>
    <cellStyle name="20% - Accent5 9 2 4 4" xfId="19936"/>
    <cellStyle name="20% - Accent5 9 2 5" xfId="5776"/>
    <cellStyle name="20% - Accent5 9 2 5 2" xfId="13760"/>
    <cellStyle name="20% - Accent5 9 2 5 3" xfId="21708"/>
    <cellStyle name="20% - Accent5 9 2 6" xfId="9329"/>
    <cellStyle name="20% - Accent5 9 2 6 2" xfId="17287"/>
    <cellStyle name="20% - Accent5 9 2 6 3" xfId="25231"/>
    <cellStyle name="20% - Accent5 9 2 7" xfId="10225"/>
    <cellStyle name="20% - Accent5 9 2 8" xfId="18180"/>
    <cellStyle name="20% - Accent5 9 2_Exh G" xfId="2552"/>
    <cellStyle name="20% - Accent5 9 3" xfId="279"/>
    <cellStyle name="20% - Accent5 9 3 2" xfId="1307"/>
    <cellStyle name="20% - Accent5 9 3 2 2" xfId="4837"/>
    <cellStyle name="20% - Accent5 9 3 2 2 2" xfId="8428"/>
    <cellStyle name="20% - Accent5 9 3 2 2 2 2" xfId="16399"/>
    <cellStyle name="20% - Accent5 9 3 2 2 2 3" xfId="24345"/>
    <cellStyle name="20% - Accent5 9 3 2 2 3" xfId="12861"/>
    <cellStyle name="20% - Accent5 9 3 2 2 4" xfId="20816"/>
    <cellStyle name="20% - Accent5 9 3 2 3" xfId="6669"/>
    <cellStyle name="20% - Accent5 9 3 2 3 2" xfId="14641"/>
    <cellStyle name="20% - Accent5 9 3 2 3 3" xfId="22588"/>
    <cellStyle name="20% - Accent5 9 3 2 4" xfId="11105"/>
    <cellStyle name="20% - Accent5 9 3 2 5" xfId="19060"/>
    <cellStyle name="20% - Accent5 9 3 2_Exh G" xfId="2557"/>
    <cellStyle name="20% - Accent5 9 3 3" xfId="3958"/>
    <cellStyle name="20% - Accent5 9 3 3 2" xfId="7550"/>
    <cellStyle name="20% - Accent5 9 3 3 2 2" xfId="15521"/>
    <cellStyle name="20% - Accent5 9 3 3 2 3" xfId="23467"/>
    <cellStyle name="20% - Accent5 9 3 3 3" xfId="11983"/>
    <cellStyle name="20% - Accent5 9 3 3 4" xfId="19938"/>
    <cellStyle name="20% - Accent5 9 3 4" xfId="5778"/>
    <cellStyle name="20% - Accent5 9 3 4 2" xfId="13762"/>
    <cellStyle name="20% - Accent5 9 3 4 3" xfId="21710"/>
    <cellStyle name="20% - Accent5 9 3 5" xfId="9331"/>
    <cellStyle name="20% - Accent5 9 3 5 2" xfId="17289"/>
    <cellStyle name="20% - Accent5 9 3 5 3" xfId="25233"/>
    <cellStyle name="20% - Accent5 9 3 6" xfId="10227"/>
    <cellStyle name="20% - Accent5 9 3 7" xfId="18182"/>
    <cellStyle name="20% - Accent5 9 3_Exh G" xfId="2556"/>
    <cellStyle name="20% - Accent5 9 4" xfId="921"/>
    <cellStyle name="20% - Accent5 9 4 2" xfId="1848"/>
    <cellStyle name="20% - Accent5 9 4 2 2" xfId="5366"/>
    <cellStyle name="20% - Accent5 9 4 2 2 2" xfId="8957"/>
    <cellStyle name="20% - Accent5 9 4 2 2 2 2" xfId="16928"/>
    <cellStyle name="20% - Accent5 9 4 2 2 2 3" xfId="24874"/>
    <cellStyle name="20% - Accent5 9 4 2 2 3" xfId="13390"/>
    <cellStyle name="20% - Accent5 9 4 2 2 4" xfId="21345"/>
    <cellStyle name="20% - Accent5 9 4 2 3" xfId="7198"/>
    <cellStyle name="20% - Accent5 9 4 2 3 2" xfId="15170"/>
    <cellStyle name="20% - Accent5 9 4 2 3 3" xfId="23117"/>
    <cellStyle name="20% - Accent5 9 4 2 4" xfId="11634"/>
    <cellStyle name="20% - Accent5 9 4 2 5" xfId="19589"/>
    <cellStyle name="20% - Accent5 9 4 2_Exh G" xfId="2559"/>
    <cellStyle name="20% - Accent5 9 4 3" xfId="4487"/>
    <cellStyle name="20% - Accent5 9 4 3 2" xfId="8079"/>
    <cellStyle name="20% - Accent5 9 4 3 2 2" xfId="16050"/>
    <cellStyle name="20% - Accent5 9 4 3 2 3" xfId="23996"/>
    <cellStyle name="20% - Accent5 9 4 3 3" xfId="12512"/>
    <cellStyle name="20% - Accent5 9 4 3 4" xfId="20467"/>
    <cellStyle name="20% - Accent5 9 4 4" xfId="6317"/>
    <cellStyle name="20% - Accent5 9 4 4 2" xfId="14292"/>
    <cellStyle name="20% - Accent5 9 4 4 3" xfId="22239"/>
    <cellStyle name="20% - Accent5 9 4 5" xfId="9860"/>
    <cellStyle name="20% - Accent5 9 4 5 2" xfId="17818"/>
    <cellStyle name="20% - Accent5 9 4 5 3" xfId="25762"/>
    <cellStyle name="20% - Accent5 9 4 6" xfId="10756"/>
    <cellStyle name="20% - Accent5 9 4 7" xfId="18711"/>
    <cellStyle name="20% - Accent5 9 4_Exh G" xfId="2558"/>
    <cellStyle name="20% - Accent5 9 5" xfId="1304"/>
    <cellStyle name="20% - Accent5 9 5 2" xfId="4834"/>
    <cellStyle name="20% - Accent5 9 5 2 2" xfId="8425"/>
    <cellStyle name="20% - Accent5 9 5 2 2 2" xfId="16396"/>
    <cellStyle name="20% - Accent5 9 5 2 2 3" xfId="24342"/>
    <cellStyle name="20% - Accent5 9 5 2 3" xfId="12858"/>
    <cellStyle name="20% - Accent5 9 5 2 4" xfId="20813"/>
    <cellStyle name="20% - Accent5 9 5 3" xfId="6666"/>
    <cellStyle name="20% - Accent5 9 5 3 2" xfId="14638"/>
    <cellStyle name="20% - Accent5 9 5 3 3" xfId="22585"/>
    <cellStyle name="20% - Accent5 9 5 4" xfId="11102"/>
    <cellStyle name="20% - Accent5 9 5 5" xfId="19057"/>
    <cellStyle name="20% - Accent5 9 5_Exh G" xfId="2560"/>
    <cellStyle name="20% - Accent5 9 6" xfId="3955"/>
    <cellStyle name="20% - Accent5 9 6 2" xfId="7547"/>
    <cellStyle name="20% - Accent5 9 6 2 2" xfId="15518"/>
    <cellStyle name="20% - Accent5 9 6 2 3" xfId="23464"/>
    <cellStyle name="20% - Accent5 9 6 3" xfId="11980"/>
    <cellStyle name="20% - Accent5 9 6 4" xfId="19935"/>
    <cellStyle name="20% - Accent5 9 7" xfId="5775"/>
    <cellStyle name="20% - Accent5 9 7 2" xfId="13759"/>
    <cellStyle name="20% - Accent5 9 7 3" xfId="21707"/>
    <cellStyle name="20% - Accent5 9 8" xfId="9328"/>
    <cellStyle name="20% - Accent5 9 8 2" xfId="17286"/>
    <cellStyle name="20% - Accent5 9 8 3" xfId="25230"/>
    <cellStyle name="20% - Accent5 9 9" xfId="10224"/>
    <cellStyle name="20% - Accent5 9_Exh G" xfId="2551"/>
    <cellStyle name="20% - Accent6 10" xfId="280"/>
    <cellStyle name="20% - Accent6 10 10" xfId="18183"/>
    <cellStyle name="20% - Accent6 10 2" xfId="281"/>
    <cellStyle name="20% - Accent6 10 2 2" xfId="282"/>
    <cellStyle name="20% - Accent6 10 2 2 2" xfId="1310"/>
    <cellStyle name="20% - Accent6 10 2 2 2 2" xfId="4840"/>
    <cellStyle name="20% - Accent6 10 2 2 2 2 2" xfId="8431"/>
    <cellStyle name="20% - Accent6 10 2 2 2 2 2 2" xfId="16402"/>
    <cellStyle name="20% - Accent6 10 2 2 2 2 2 3" xfId="24348"/>
    <cellStyle name="20% - Accent6 10 2 2 2 2 3" xfId="12864"/>
    <cellStyle name="20% - Accent6 10 2 2 2 2 4" xfId="20819"/>
    <cellStyle name="20% - Accent6 10 2 2 2 3" xfId="6672"/>
    <cellStyle name="20% - Accent6 10 2 2 2 3 2" xfId="14644"/>
    <cellStyle name="20% - Accent6 10 2 2 2 3 3" xfId="22591"/>
    <cellStyle name="20% - Accent6 10 2 2 2 4" xfId="11108"/>
    <cellStyle name="20% - Accent6 10 2 2 2 5" xfId="19063"/>
    <cellStyle name="20% - Accent6 10 2 2 2_Exh G" xfId="2564"/>
    <cellStyle name="20% - Accent6 10 2 2 3" xfId="3961"/>
    <cellStyle name="20% - Accent6 10 2 2 3 2" xfId="7553"/>
    <cellStyle name="20% - Accent6 10 2 2 3 2 2" xfId="15524"/>
    <cellStyle name="20% - Accent6 10 2 2 3 2 3" xfId="23470"/>
    <cellStyle name="20% - Accent6 10 2 2 3 3" xfId="11986"/>
    <cellStyle name="20% - Accent6 10 2 2 3 4" xfId="19941"/>
    <cellStyle name="20% - Accent6 10 2 2 4" xfId="5781"/>
    <cellStyle name="20% - Accent6 10 2 2 4 2" xfId="13765"/>
    <cellStyle name="20% - Accent6 10 2 2 4 3" xfId="21713"/>
    <cellStyle name="20% - Accent6 10 2 2 5" xfId="9334"/>
    <cellStyle name="20% - Accent6 10 2 2 5 2" xfId="17292"/>
    <cellStyle name="20% - Accent6 10 2 2 5 3" xfId="25236"/>
    <cellStyle name="20% - Accent6 10 2 2 6" xfId="10230"/>
    <cellStyle name="20% - Accent6 10 2 2 7" xfId="18185"/>
    <cellStyle name="20% - Accent6 10 2 2_Exh G" xfId="2563"/>
    <cellStyle name="20% - Accent6 10 2 3" xfId="1309"/>
    <cellStyle name="20% - Accent6 10 2 3 2" xfId="4839"/>
    <cellStyle name="20% - Accent6 10 2 3 2 2" xfId="8430"/>
    <cellStyle name="20% - Accent6 10 2 3 2 2 2" xfId="16401"/>
    <cellStyle name="20% - Accent6 10 2 3 2 2 3" xfId="24347"/>
    <cellStyle name="20% - Accent6 10 2 3 2 3" xfId="12863"/>
    <cellStyle name="20% - Accent6 10 2 3 2 4" xfId="20818"/>
    <cellStyle name="20% - Accent6 10 2 3 3" xfId="6671"/>
    <cellStyle name="20% - Accent6 10 2 3 3 2" xfId="14643"/>
    <cellStyle name="20% - Accent6 10 2 3 3 3" xfId="22590"/>
    <cellStyle name="20% - Accent6 10 2 3 4" xfId="11107"/>
    <cellStyle name="20% - Accent6 10 2 3 5" xfId="19062"/>
    <cellStyle name="20% - Accent6 10 2 3_Exh G" xfId="2565"/>
    <cellStyle name="20% - Accent6 10 2 4" xfId="3960"/>
    <cellStyle name="20% - Accent6 10 2 4 2" xfId="7552"/>
    <cellStyle name="20% - Accent6 10 2 4 2 2" xfId="15523"/>
    <cellStyle name="20% - Accent6 10 2 4 2 3" xfId="23469"/>
    <cellStyle name="20% - Accent6 10 2 4 3" xfId="11985"/>
    <cellStyle name="20% - Accent6 10 2 4 4" xfId="19940"/>
    <cellStyle name="20% - Accent6 10 2 5" xfId="5780"/>
    <cellStyle name="20% - Accent6 10 2 5 2" xfId="13764"/>
    <cellStyle name="20% - Accent6 10 2 5 3" xfId="21712"/>
    <cellStyle name="20% - Accent6 10 2 6" xfId="9333"/>
    <cellStyle name="20% - Accent6 10 2 6 2" xfId="17291"/>
    <cellStyle name="20% - Accent6 10 2 6 3" xfId="25235"/>
    <cellStyle name="20% - Accent6 10 2 7" xfId="10229"/>
    <cellStyle name="20% - Accent6 10 2 8" xfId="18184"/>
    <cellStyle name="20% - Accent6 10 2_Exh G" xfId="2562"/>
    <cellStyle name="20% - Accent6 10 3" xfId="283"/>
    <cellStyle name="20% - Accent6 10 3 2" xfId="1311"/>
    <cellStyle name="20% - Accent6 10 3 2 2" xfId="4841"/>
    <cellStyle name="20% - Accent6 10 3 2 2 2" xfId="8432"/>
    <cellStyle name="20% - Accent6 10 3 2 2 2 2" xfId="16403"/>
    <cellStyle name="20% - Accent6 10 3 2 2 2 3" xfId="24349"/>
    <cellStyle name="20% - Accent6 10 3 2 2 3" xfId="12865"/>
    <cellStyle name="20% - Accent6 10 3 2 2 4" xfId="20820"/>
    <cellStyle name="20% - Accent6 10 3 2 3" xfId="6673"/>
    <cellStyle name="20% - Accent6 10 3 2 3 2" xfId="14645"/>
    <cellStyle name="20% - Accent6 10 3 2 3 3" xfId="22592"/>
    <cellStyle name="20% - Accent6 10 3 2 4" xfId="11109"/>
    <cellStyle name="20% - Accent6 10 3 2 5" xfId="19064"/>
    <cellStyle name="20% - Accent6 10 3 2_Exh G" xfId="2567"/>
    <cellStyle name="20% - Accent6 10 3 3" xfId="3962"/>
    <cellStyle name="20% - Accent6 10 3 3 2" xfId="7554"/>
    <cellStyle name="20% - Accent6 10 3 3 2 2" xfId="15525"/>
    <cellStyle name="20% - Accent6 10 3 3 2 3" xfId="23471"/>
    <cellStyle name="20% - Accent6 10 3 3 3" xfId="11987"/>
    <cellStyle name="20% - Accent6 10 3 3 4" xfId="19942"/>
    <cellStyle name="20% - Accent6 10 3 4" xfId="5782"/>
    <cellStyle name="20% - Accent6 10 3 4 2" xfId="13766"/>
    <cellStyle name="20% - Accent6 10 3 4 3" xfId="21714"/>
    <cellStyle name="20% - Accent6 10 3 5" xfId="9335"/>
    <cellStyle name="20% - Accent6 10 3 5 2" xfId="17293"/>
    <cellStyle name="20% - Accent6 10 3 5 3" xfId="25237"/>
    <cellStyle name="20% - Accent6 10 3 6" xfId="10231"/>
    <cellStyle name="20% - Accent6 10 3 7" xfId="18186"/>
    <cellStyle name="20% - Accent6 10 3_Exh G" xfId="2566"/>
    <cellStyle name="20% - Accent6 10 4" xfId="922"/>
    <cellStyle name="20% - Accent6 10 5" xfId="1308"/>
    <cellStyle name="20% - Accent6 10 5 2" xfId="4838"/>
    <cellStyle name="20% - Accent6 10 5 2 2" xfId="8429"/>
    <cellStyle name="20% - Accent6 10 5 2 2 2" xfId="16400"/>
    <cellStyle name="20% - Accent6 10 5 2 2 3" xfId="24346"/>
    <cellStyle name="20% - Accent6 10 5 2 3" xfId="12862"/>
    <cellStyle name="20% - Accent6 10 5 2 4" xfId="20817"/>
    <cellStyle name="20% - Accent6 10 5 3" xfId="6670"/>
    <cellStyle name="20% - Accent6 10 5 3 2" xfId="14642"/>
    <cellStyle name="20% - Accent6 10 5 3 3" xfId="22589"/>
    <cellStyle name="20% - Accent6 10 5 4" xfId="11106"/>
    <cellStyle name="20% - Accent6 10 5 5" xfId="19061"/>
    <cellStyle name="20% - Accent6 10 5_Exh G" xfId="2568"/>
    <cellStyle name="20% - Accent6 10 6" xfId="3959"/>
    <cellStyle name="20% - Accent6 10 6 2" xfId="7551"/>
    <cellStyle name="20% - Accent6 10 6 2 2" xfId="15522"/>
    <cellStyle name="20% - Accent6 10 6 2 3" xfId="23468"/>
    <cellStyle name="20% - Accent6 10 6 3" xfId="11984"/>
    <cellStyle name="20% - Accent6 10 6 4" xfId="19939"/>
    <cellStyle name="20% - Accent6 10 7" xfId="5779"/>
    <cellStyle name="20% - Accent6 10 7 2" xfId="13763"/>
    <cellStyle name="20% - Accent6 10 7 3" xfId="21711"/>
    <cellStyle name="20% - Accent6 10 8" xfId="9332"/>
    <cellStyle name="20% - Accent6 10 8 2" xfId="17290"/>
    <cellStyle name="20% - Accent6 10 8 3" xfId="25234"/>
    <cellStyle name="20% - Accent6 10 9" xfId="10228"/>
    <cellStyle name="20% - Accent6 10_Exh G" xfId="2561"/>
    <cellStyle name="20% - Accent6 11" xfId="284"/>
    <cellStyle name="20% - Accent6 11 2" xfId="285"/>
    <cellStyle name="20% - Accent6 11 2 2" xfId="286"/>
    <cellStyle name="20% - Accent6 11 2 2 2" xfId="1314"/>
    <cellStyle name="20% - Accent6 11 2 2 2 2" xfId="4844"/>
    <cellStyle name="20% - Accent6 11 2 2 2 2 2" xfId="8435"/>
    <cellStyle name="20% - Accent6 11 2 2 2 2 2 2" xfId="16406"/>
    <cellStyle name="20% - Accent6 11 2 2 2 2 2 3" xfId="24352"/>
    <cellStyle name="20% - Accent6 11 2 2 2 2 3" xfId="12868"/>
    <cellStyle name="20% - Accent6 11 2 2 2 2 4" xfId="20823"/>
    <cellStyle name="20% - Accent6 11 2 2 2 3" xfId="6676"/>
    <cellStyle name="20% - Accent6 11 2 2 2 3 2" xfId="14648"/>
    <cellStyle name="20% - Accent6 11 2 2 2 3 3" xfId="22595"/>
    <cellStyle name="20% - Accent6 11 2 2 2 4" xfId="11112"/>
    <cellStyle name="20% - Accent6 11 2 2 2 5" xfId="19067"/>
    <cellStyle name="20% - Accent6 11 2 2 2_Exh G" xfId="2572"/>
    <cellStyle name="20% - Accent6 11 2 2 3" xfId="3965"/>
    <cellStyle name="20% - Accent6 11 2 2 3 2" xfId="7557"/>
    <cellStyle name="20% - Accent6 11 2 2 3 2 2" xfId="15528"/>
    <cellStyle name="20% - Accent6 11 2 2 3 2 3" xfId="23474"/>
    <cellStyle name="20% - Accent6 11 2 2 3 3" xfId="11990"/>
    <cellStyle name="20% - Accent6 11 2 2 3 4" xfId="19945"/>
    <cellStyle name="20% - Accent6 11 2 2 4" xfId="5785"/>
    <cellStyle name="20% - Accent6 11 2 2 4 2" xfId="13769"/>
    <cellStyle name="20% - Accent6 11 2 2 4 3" xfId="21717"/>
    <cellStyle name="20% - Accent6 11 2 2 5" xfId="9338"/>
    <cellStyle name="20% - Accent6 11 2 2 5 2" xfId="17296"/>
    <cellStyle name="20% - Accent6 11 2 2 5 3" xfId="25240"/>
    <cellStyle name="20% - Accent6 11 2 2 6" xfId="10234"/>
    <cellStyle name="20% - Accent6 11 2 2 7" xfId="18189"/>
    <cellStyle name="20% - Accent6 11 2 2_Exh G" xfId="2571"/>
    <cellStyle name="20% - Accent6 11 2 3" xfId="1313"/>
    <cellStyle name="20% - Accent6 11 2 3 2" xfId="4843"/>
    <cellStyle name="20% - Accent6 11 2 3 2 2" xfId="8434"/>
    <cellStyle name="20% - Accent6 11 2 3 2 2 2" xfId="16405"/>
    <cellStyle name="20% - Accent6 11 2 3 2 2 3" xfId="24351"/>
    <cellStyle name="20% - Accent6 11 2 3 2 3" xfId="12867"/>
    <cellStyle name="20% - Accent6 11 2 3 2 4" xfId="20822"/>
    <cellStyle name="20% - Accent6 11 2 3 3" xfId="6675"/>
    <cellStyle name="20% - Accent6 11 2 3 3 2" xfId="14647"/>
    <cellStyle name="20% - Accent6 11 2 3 3 3" xfId="22594"/>
    <cellStyle name="20% - Accent6 11 2 3 4" xfId="11111"/>
    <cellStyle name="20% - Accent6 11 2 3 5" xfId="19066"/>
    <cellStyle name="20% - Accent6 11 2 3_Exh G" xfId="2573"/>
    <cellStyle name="20% - Accent6 11 2 4" xfId="3964"/>
    <cellStyle name="20% - Accent6 11 2 4 2" xfId="7556"/>
    <cellStyle name="20% - Accent6 11 2 4 2 2" xfId="15527"/>
    <cellStyle name="20% - Accent6 11 2 4 2 3" xfId="23473"/>
    <cellStyle name="20% - Accent6 11 2 4 3" xfId="11989"/>
    <cellStyle name="20% - Accent6 11 2 4 4" xfId="19944"/>
    <cellStyle name="20% - Accent6 11 2 5" xfId="5784"/>
    <cellStyle name="20% - Accent6 11 2 5 2" xfId="13768"/>
    <cellStyle name="20% - Accent6 11 2 5 3" xfId="21716"/>
    <cellStyle name="20% - Accent6 11 2 6" xfId="9337"/>
    <cellStyle name="20% - Accent6 11 2 6 2" xfId="17295"/>
    <cellStyle name="20% - Accent6 11 2 6 3" xfId="25239"/>
    <cellStyle name="20% - Accent6 11 2 7" xfId="10233"/>
    <cellStyle name="20% - Accent6 11 2 8" xfId="18188"/>
    <cellStyle name="20% - Accent6 11 2_Exh G" xfId="2570"/>
    <cellStyle name="20% - Accent6 11 3" xfId="287"/>
    <cellStyle name="20% - Accent6 11 3 2" xfId="1315"/>
    <cellStyle name="20% - Accent6 11 3 2 2" xfId="4845"/>
    <cellStyle name="20% - Accent6 11 3 2 2 2" xfId="8436"/>
    <cellStyle name="20% - Accent6 11 3 2 2 2 2" xfId="16407"/>
    <cellStyle name="20% - Accent6 11 3 2 2 2 3" xfId="24353"/>
    <cellStyle name="20% - Accent6 11 3 2 2 3" xfId="12869"/>
    <cellStyle name="20% - Accent6 11 3 2 2 4" xfId="20824"/>
    <cellStyle name="20% - Accent6 11 3 2 3" xfId="6677"/>
    <cellStyle name="20% - Accent6 11 3 2 3 2" xfId="14649"/>
    <cellStyle name="20% - Accent6 11 3 2 3 3" xfId="22596"/>
    <cellStyle name="20% - Accent6 11 3 2 4" xfId="11113"/>
    <cellStyle name="20% - Accent6 11 3 2 5" xfId="19068"/>
    <cellStyle name="20% - Accent6 11 3 2_Exh G" xfId="2575"/>
    <cellStyle name="20% - Accent6 11 3 3" xfId="3966"/>
    <cellStyle name="20% - Accent6 11 3 3 2" xfId="7558"/>
    <cellStyle name="20% - Accent6 11 3 3 2 2" xfId="15529"/>
    <cellStyle name="20% - Accent6 11 3 3 2 3" xfId="23475"/>
    <cellStyle name="20% - Accent6 11 3 3 3" xfId="11991"/>
    <cellStyle name="20% - Accent6 11 3 3 4" xfId="19946"/>
    <cellStyle name="20% - Accent6 11 3 4" xfId="5786"/>
    <cellStyle name="20% - Accent6 11 3 4 2" xfId="13770"/>
    <cellStyle name="20% - Accent6 11 3 4 3" xfId="21718"/>
    <cellStyle name="20% - Accent6 11 3 5" xfId="9339"/>
    <cellStyle name="20% - Accent6 11 3 5 2" xfId="17297"/>
    <cellStyle name="20% - Accent6 11 3 5 3" xfId="25241"/>
    <cellStyle name="20% - Accent6 11 3 6" xfId="10235"/>
    <cellStyle name="20% - Accent6 11 3 7" xfId="18190"/>
    <cellStyle name="20% - Accent6 11 3_Exh G" xfId="2574"/>
    <cellStyle name="20% - Accent6 11 4" xfId="1312"/>
    <cellStyle name="20% - Accent6 11 4 2" xfId="4842"/>
    <cellStyle name="20% - Accent6 11 4 2 2" xfId="8433"/>
    <cellStyle name="20% - Accent6 11 4 2 2 2" xfId="16404"/>
    <cellStyle name="20% - Accent6 11 4 2 2 3" xfId="24350"/>
    <cellStyle name="20% - Accent6 11 4 2 3" xfId="12866"/>
    <cellStyle name="20% - Accent6 11 4 2 4" xfId="20821"/>
    <cellStyle name="20% - Accent6 11 4 3" xfId="6674"/>
    <cellStyle name="20% - Accent6 11 4 3 2" xfId="14646"/>
    <cellStyle name="20% - Accent6 11 4 3 3" xfId="22593"/>
    <cellStyle name="20% - Accent6 11 4 4" xfId="11110"/>
    <cellStyle name="20% - Accent6 11 4 5" xfId="19065"/>
    <cellStyle name="20% - Accent6 11 4_Exh G" xfId="2576"/>
    <cellStyle name="20% - Accent6 11 5" xfId="3963"/>
    <cellStyle name="20% - Accent6 11 5 2" xfId="7555"/>
    <cellStyle name="20% - Accent6 11 5 2 2" xfId="15526"/>
    <cellStyle name="20% - Accent6 11 5 2 3" xfId="23472"/>
    <cellStyle name="20% - Accent6 11 5 3" xfId="11988"/>
    <cellStyle name="20% - Accent6 11 5 4" xfId="19943"/>
    <cellStyle name="20% - Accent6 11 6" xfId="5783"/>
    <cellStyle name="20% - Accent6 11 6 2" xfId="13767"/>
    <cellStyle name="20% - Accent6 11 6 3" xfId="21715"/>
    <cellStyle name="20% - Accent6 11 7" xfId="9336"/>
    <cellStyle name="20% - Accent6 11 7 2" xfId="17294"/>
    <cellStyle name="20% - Accent6 11 7 3" xfId="25238"/>
    <cellStyle name="20% - Accent6 11 8" xfId="10232"/>
    <cellStyle name="20% - Accent6 11 9" xfId="18187"/>
    <cellStyle name="20% - Accent6 11_Exh G" xfId="2569"/>
    <cellStyle name="20% - Accent6 12" xfId="288"/>
    <cellStyle name="20% - Accent6 12 2" xfId="289"/>
    <cellStyle name="20% - Accent6 12 2 2" xfId="290"/>
    <cellStyle name="20% - Accent6 12 2 2 2" xfId="1318"/>
    <cellStyle name="20% - Accent6 12 2 2 2 2" xfId="4848"/>
    <cellStyle name="20% - Accent6 12 2 2 2 2 2" xfId="8439"/>
    <cellStyle name="20% - Accent6 12 2 2 2 2 2 2" xfId="16410"/>
    <cellStyle name="20% - Accent6 12 2 2 2 2 2 3" xfId="24356"/>
    <cellStyle name="20% - Accent6 12 2 2 2 2 3" xfId="12872"/>
    <cellStyle name="20% - Accent6 12 2 2 2 2 4" xfId="20827"/>
    <cellStyle name="20% - Accent6 12 2 2 2 3" xfId="6680"/>
    <cellStyle name="20% - Accent6 12 2 2 2 3 2" xfId="14652"/>
    <cellStyle name="20% - Accent6 12 2 2 2 3 3" xfId="22599"/>
    <cellStyle name="20% - Accent6 12 2 2 2 4" xfId="11116"/>
    <cellStyle name="20% - Accent6 12 2 2 2 5" xfId="19071"/>
    <cellStyle name="20% - Accent6 12 2 2 2_Exh G" xfId="2580"/>
    <cellStyle name="20% - Accent6 12 2 2 3" xfId="3969"/>
    <cellStyle name="20% - Accent6 12 2 2 3 2" xfId="7561"/>
    <cellStyle name="20% - Accent6 12 2 2 3 2 2" xfId="15532"/>
    <cellStyle name="20% - Accent6 12 2 2 3 2 3" xfId="23478"/>
    <cellStyle name="20% - Accent6 12 2 2 3 3" xfId="11994"/>
    <cellStyle name="20% - Accent6 12 2 2 3 4" xfId="19949"/>
    <cellStyle name="20% - Accent6 12 2 2 4" xfId="5789"/>
    <cellStyle name="20% - Accent6 12 2 2 4 2" xfId="13773"/>
    <cellStyle name="20% - Accent6 12 2 2 4 3" xfId="21721"/>
    <cellStyle name="20% - Accent6 12 2 2 5" xfId="9342"/>
    <cellStyle name="20% - Accent6 12 2 2 5 2" xfId="17300"/>
    <cellStyle name="20% - Accent6 12 2 2 5 3" xfId="25244"/>
    <cellStyle name="20% - Accent6 12 2 2 6" xfId="10238"/>
    <cellStyle name="20% - Accent6 12 2 2 7" xfId="18193"/>
    <cellStyle name="20% - Accent6 12 2 2_Exh G" xfId="2579"/>
    <cellStyle name="20% - Accent6 12 2 3" xfId="1317"/>
    <cellStyle name="20% - Accent6 12 2 3 2" xfId="4847"/>
    <cellStyle name="20% - Accent6 12 2 3 2 2" xfId="8438"/>
    <cellStyle name="20% - Accent6 12 2 3 2 2 2" xfId="16409"/>
    <cellStyle name="20% - Accent6 12 2 3 2 2 3" xfId="24355"/>
    <cellStyle name="20% - Accent6 12 2 3 2 3" xfId="12871"/>
    <cellStyle name="20% - Accent6 12 2 3 2 4" xfId="20826"/>
    <cellStyle name="20% - Accent6 12 2 3 3" xfId="6679"/>
    <cellStyle name="20% - Accent6 12 2 3 3 2" xfId="14651"/>
    <cellStyle name="20% - Accent6 12 2 3 3 3" xfId="22598"/>
    <cellStyle name="20% - Accent6 12 2 3 4" xfId="11115"/>
    <cellStyle name="20% - Accent6 12 2 3 5" xfId="19070"/>
    <cellStyle name="20% - Accent6 12 2 3_Exh G" xfId="2581"/>
    <cellStyle name="20% - Accent6 12 2 4" xfId="3968"/>
    <cellStyle name="20% - Accent6 12 2 4 2" xfId="7560"/>
    <cellStyle name="20% - Accent6 12 2 4 2 2" xfId="15531"/>
    <cellStyle name="20% - Accent6 12 2 4 2 3" xfId="23477"/>
    <cellStyle name="20% - Accent6 12 2 4 3" xfId="11993"/>
    <cellStyle name="20% - Accent6 12 2 4 4" xfId="19948"/>
    <cellStyle name="20% - Accent6 12 2 5" xfId="5788"/>
    <cellStyle name="20% - Accent6 12 2 5 2" xfId="13772"/>
    <cellStyle name="20% - Accent6 12 2 5 3" xfId="21720"/>
    <cellStyle name="20% - Accent6 12 2 6" xfId="9341"/>
    <cellStyle name="20% - Accent6 12 2 6 2" xfId="17299"/>
    <cellStyle name="20% - Accent6 12 2 6 3" xfId="25243"/>
    <cellStyle name="20% - Accent6 12 2 7" xfId="10237"/>
    <cellStyle name="20% - Accent6 12 2 8" xfId="18192"/>
    <cellStyle name="20% - Accent6 12 2_Exh G" xfId="2578"/>
    <cellStyle name="20% - Accent6 12 3" xfId="291"/>
    <cellStyle name="20% - Accent6 12 3 2" xfId="1319"/>
    <cellStyle name="20% - Accent6 12 3 2 2" xfId="4849"/>
    <cellStyle name="20% - Accent6 12 3 2 2 2" xfId="8440"/>
    <cellStyle name="20% - Accent6 12 3 2 2 2 2" xfId="16411"/>
    <cellStyle name="20% - Accent6 12 3 2 2 2 3" xfId="24357"/>
    <cellStyle name="20% - Accent6 12 3 2 2 3" xfId="12873"/>
    <cellStyle name="20% - Accent6 12 3 2 2 4" xfId="20828"/>
    <cellStyle name="20% - Accent6 12 3 2 3" xfId="6681"/>
    <cellStyle name="20% - Accent6 12 3 2 3 2" xfId="14653"/>
    <cellStyle name="20% - Accent6 12 3 2 3 3" xfId="22600"/>
    <cellStyle name="20% - Accent6 12 3 2 4" xfId="11117"/>
    <cellStyle name="20% - Accent6 12 3 2 5" xfId="19072"/>
    <cellStyle name="20% - Accent6 12 3 2_Exh G" xfId="2583"/>
    <cellStyle name="20% - Accent6 12 3 3" xfId="3970"/>
    <cellStyle name="20% - Accent6 12 3 3 2" xfId="7562"/>
    <cellStyle name="20% - Accent6 12 3 3 2 2" xfId="15533"/>
    <cellStyle name="20% - Accent6 12 3 3 2 3" xfId="23479"/>
    <cellStyle name="20% - Accent6 12 3 3 3" xfId="11995"/>
    <cellStyle name="20% - Accent6 12 3 3 4" xfId="19950"/>
    <cellStyle name="20% - Accent6 12 3 4" xfId="5790"/>
    <cellStyle name="20% - Accent6 12 3 4 2" xfId="13774"/>
    <cellStyle name="20% - Accent6 12 3 4 3" xfId="21722"/>
    <cellStyle name="20% - Accent6 12 3 5" xfId="9343"/>
    <cellStyle name="20% - Accent6 12 3 5 2" xfId="17301"/>
    <cellStyle name="20% - Accent6 12 3 5 3" xfId="25245"/>
    <cellStyle name="20% - Accent6 12 3 6" xfId="10239"/>
    <cellStyle name="20% - Accent6 12 3 7" xfId="18194"/>
    <cellStyle name="20% - Accent6 12 3_Exh G" xfId="2582"/>
    <cellStyle name="20% - Accent6 12 4" xfId="1316"/>
    <cellStyle name="20% - Accent6 12 4 2" xfId="4846"/>
    <cellStyle name="20% - Accent6 12 4 2 2" xfId="8437"/>
    <cellStyle name="20% - Accent6 12 4 2 2 2" xfId="16408"/>
    <cellStyle name="20% - Accent6 12 4 2 2 3" xfId="24354"/>
    <cellStyle name="20% - Accent6 12 4 2 3" xfId="12870"/>
    <cellStyle name="20% - Accent6 12 4 2 4" xfId="20825"/>
    <cellStyle name="20% - Accent6 12 4 3" xfId="6678"/>
    <cellStyle name="20% - Accent6 12 4 3 2" xfId="14650"/>
    <cellStyle name="20% - Accent6 12 4 3 3" xfId="22597"/>
    <cellStyle name="20% - Accent6 12 4 4" xfId="11114"/>
    <cellStyle name="20% - Accent6 12 4 5" xfId="19069"/>
    <cellStyle name="20% - Accent6 12 4_Exh G" xfId="2584"/>
    <cellStyle name="20% - Accent6 12 5" xfId="3967"/>
    <cellStyle name="20% - Accent6 12 5 2" xfId="7559"/>
    <cellStyle name="20% - Accent6 12 5 2 2" xfId="15530"/>
    <cellStyle name="20% - Accent6 12 5 2 3" xfId="23476"/>
    <cellStyle name="20% - Accent6 12 5 3" xfId="11992"/>
    <cellStyle name="20% - Accent6 12 5 4" xfId="19947"/>
    <cellStyle name="20% - Accent6 12 6" xfId="5787"/>
    <cellStyle name="20% - Accent6 12 6 2" xfId="13771"/>
    <cellStyle name="20% - Accent6 12 6 3" xfId="21719"/>
    <cellStyle name="20% - Accent6 12 7" xfId="9340"/>
    <cellStyle name="20% - Accent6 12 7 2" xfId="17298"/>
    <cellStyle name="20% - Accent6 12 7 3" xfId="25242"/>
    <cellStyle name="20% - Accent6 12 8" xfId="10236"/>
    <cellStyle name="20% - Accent6 12 9" xfId="18191"/>
    <cellStyle name="20% - Accent6 12_Exh G" xfId="2577"/>
    <cellStyle name="20% - Accent6 13" xfId="292"/>
    <cellStyle name="20% - Accent6 13 2" xfId="293"/>
    <cellStyle name="20% - Accent6 13 2 2" xfId="294"/>
    <cellStyle name="20% - Accent6 13 2 2 2" xfId="1322"/>
    <cellStyle name="20% - Accent6 13 2 2 2 2" xfId="4852"/>
    <cellStyle name="20% - Accent6 13 2 2 2 2 2" xfId="8443"/>
    <cellStyle name="20% - Accent6 13 2 2 2 2 2 2" xfId="16414"/>
    <cellStyle name="20% - Accent6 13 2 2 2 2 2 3" xfId="24360"/>
    <cellStyle name="20% - Accent6 13 2 2 2 2 3" xfId="12876"/>
    <cellStyle name="20% - Accent6 13 2 2 2 2 4" xfId="20831"/>
    <cellStyle name="20% - Accent6 13 2 2 2 3" xfId="6684"/>
    <cellStyle name="20% - Accent6 13 2 2 2 3 2" xfId="14656"/>
    <cellStyle name="20% - Accent6 13 2 2 2 3 3" xfId="22603"/>
    <cellStyle name="20% - Accent6 13 2 2 2 4" xfId="11120"/>
    <cellStyle name="20% - Accent6 13 2 2 2 5" xfId="19075"/>
    <cellStyle name="20% - Accent6 13 2 2 2_Exh G" xfId="2588"/>
    <cellStyle name="20% - Accent6 13 2 2 3" xfId="3973"/>
    <cellStyle name="20% - Accent6 13 2 2 3 2" xfId="7565"/>
    <cellStyle name="20% - Accent6 13 2 2 3 2 2" xfId="15536"/>
    <cellStyle name="20% - Accent6 13 2 2 3 2 3" xfId="23482"/>
    <cellStyle name="20% - Accent6 13 2 2 3 3" xfId="11998"/>
    <cellStyle name="20% - Accent6 13 2 2 3 4" xfId="19953"/>
    <cellStyle name="20% - Accent6 13 2 2 4" xfId="5793"/>
    <cellStyle name="20% - Accent6 13 2 2 4 2" xfId="13777"/>
    <cellStyle name="20% - Accent6 13 2 2 4 3" xfId="21725"/>
    <cellStyle name="20% - Accent6 13 2 2 5" xfId="9346"/>
    <cellStyle name="20% - Accent6 13 2 2 5 2" xfId="17304"/>
    <cellStyle name="20% - Accent6 13 2 2 5 3" xfId="25248"/>
    <cellStyle name="20% - Accent6 13 2 2 6" xfId="10242"/>
    <cellStyle name="20% - Accent6 13 2 2 7" xfId="18197"/>
    <cellStyle name="20% - Accent6 13 2 2_Exh G" xfId="2587"/>
    <cellStyle name="20% - Accent6 13 2 3" xfId="1321"/>
    <cellStyle name="20% - Accent6 13 2 3 2" xfId="4851"/>
    <cellStyle name="20% - Accent6 13 2 3 2 2" xfId="8442"/>
    <cellStyle name="20% - Accent6 13 2 3 2 2 2" xfId="16413"/>
    <cellStyle name="20% - Accent6 13 2 3 2 2 3" xfId="24359"/>
    <cellStyle name="20% - Accent6 13 2 3 2 3" xfId="12875"/>
    <cellStyle name="20% - Accent6 13 2 3 2 4" xfId="20830"/>
    <cellStyle name="20% - Accent6 13 2 3 3" xfId="6683"/>
    <cellStyle name="20% - Accent6 13 2 3 3 2" xfId="14655"/>
    <cellStyle name="20% - Accent6 13 2 3 3 3" xfId="22602"/>
    <cellStyle name="20% - Accent6 13 2 3 4" xfId="11119"/>
    <cellStyle name="20% - Accent6 13 2 3 5" xfId="19074"/>
    <cellStyle name="20% - Accent6 13 2 3_Exh G" xfId="2589"/>
    <cellStyle name="20% - Accent6 13 2 4" xfId="3972"/>
    <cellStyle name="20% - Accent6 13 2 4 2" xfId="7564"/>
    <cellStyle name="20% - Accent6 13 2 4 2 2" xfId="15535"/>
    <cellStyle name="20% - Accent6 13 2 4 2 3" xfId="23481"/>
    <cellStyle name="20% - Accent6 13 2 4 3" xfId="11997"/>
    <cellStyle name="20% - Accent6 13 2 4 4" xfId="19952"/>
    <cellStyle name="20% - Accent6 13 2 5" xfId="5792"/>
    <cellStyle name="20% - Accent6 13 2 5 2" xfId="13776"/>
    <cellStyle name="20% - Accent6 13 2 5 3" xfId="21724"/>
    <cellStyle name="20% - Accent6 13 2 6" xfId="9345"/>
    <cellStyle name="20% - Accent6 13 2 6 2" xfId="17303"/>
    <cellStyle name="20% - Accent6 13 2 6 3" xfId="25247"/>
    <cellStyle name="20% - Accent6 13 2 7" xfId="10241"/>
    <cellStyle name="20% - Accent6 13 2 8" xfId="18196"/>
    <cellStyle name="20% - Accent6 13 2_Exh G" xfId="2586"/>
    <cellStyle name="20% - Accent6 13 3" xfId="295"/>
    <cellStyle name="20% - Accent6 13 3 2" xfId="1323"/>
    <cellStyle name="20% - Accent6 13 3 2 2" xfId="4853"/>
    <cellStyle name="20% - Accent6 13 3 2 2 2" xfId="8444"/>
    <cellStyle name="20% - Accent6 13 3 2 2 2 2" xfId="16415"/>
    <cellStyle name="20% - Accent6 13 3 2 2 2 3" xfId="24361"/>
    <cellStyle name="20% - Accent6 13 3 2 2 3" xfId="12877"/>
    <cellStyle name="20% - Accent6 13 3 2 2 4" xfId="20832"/>
    <cellStyle name="20% - Accent6 13 3 2 3" xfId="6685"/>
    <cellStyle name="20% - Accent6 13 3 2 3 2" xfId="14657"/>
    <cellStyle name="20% - Accent6 13 3 2 3 3" xfId="22604"/>
    <cellStyle name="20% - Accent6 13 3 2 4" xfId="11121"/>
    <cellStyle name="20% - Accent6 13 3 2 5" xfId="19076"/>
    <cellStyle name="20% - Accent6 13 3 2_Exh G" xfId="2591"/>
    <cellStyle name="20% - Accent6 13 3 3" xfId="3974"/>
    <cellStyle name="20% - Accent6 13 3 3 2" xfId="7566"/>
    <cellStyle name="20% - Accent6 13 3 3 2 2" xfId="15537"/>
    <cellStyle name="20% - Accent6 13 3 3 2 3" xfId="23483"/>
    <cellStyle name="20% - Accent6 13 3 3 3" xfId="11999"/>
    <cellStyle name="20% - Accent6 13 3 3 4" xfId="19954"/>
    <cellStyle name="20% - Accent6 13 3 4" xfId="5794"/>
    <cellStyle name="20% - Accent6 13 3 4 2" xfId="13778"/>
    <cellStyle name="20% - Accent6 13 3 4 3" xfId="21726"/>
    <cellStyle name="20% - Accent6 13 3 5" xfId="9347"/>
    <cellStyle name="20% - Accent6 13 3 5 2" xfId="17305"/>
    <cellStyle name="20% - Accent6 13 3 5 3" xfId="25249"/>
    <cellStyle name="20% - Accent6 13 3 6" xfId="10243"/>
    <cellStyle name="20% - Accent6 13 3 7" xfId="18198"/>
    <cellStyle name="20% - Accent6 13 3_Exh G" xfId="2590"/>
    <cellStyle name="20% - Accent6 13 4" xfId="1320"/>
    <cellStyle name="20% - Accent6 13 4 2" xfId="4850"/>
    <cellStyle name="20% - Accent6 13 4 2 2" xfId="8441"/>
    <cellStyle name="20% - Accent6 13 4 2 2 2" xfId="16412"/>
    <cellStyle name="20% - Accent6 13 4 2 2 3" xfId="24358"/>
    <cellStyle name="20% - Accent6 13 4 2 3" xfId="12874"/>
    <cellStyle name="20% - Accent6 13 4 2 4" xfId="20829"/>
    <cellStyle name="20% - Accent6 13 4 3" xfId="6682"/>
    <cellStyle name="20% - Accent6 13 4 3 2" xfId="14654"/>
    <cellStyle name="20% - Accent6 13 4 3 3" xfId="22601"/>
    <cellStyle name="20% - Accent6 13 4 4" xfId="11118"/>
    <cellStyle name="20% - Accent6 13 4 5" xfId="19073"/>
    <cellStyle name="20% - Accent6 13 4_Exh G" xfId="2592"/>
    <cellStyle name="20% - Accent6 13 5" xfId="3971"/>
    <cellStyle name="20% - Accent6 13 5 2" xfId="7563"/>
    <cellStyle name="20% - Accent6 13 5 2 2" xfId="15534"/>
    <cellStyle name="20% - Accent6 13 5 2 3" xfId="23480"/>
    <cellStyle name="20% - Accent6 13 5 3" xfId="11996"/>
    <cellStyle name="20% - Accent6 13 5 4" xfId="19951"/>
    <cellStyle name="20% - Accent6 13 6" xfId="5791"/>
    <cellStyle name="20% - Accent6 13 6 2" xfId="13775"/>
    <cellStyle name="20% - Accent6 13 6 3" xfId="21723"/>
    <cellStyle name="20% - Accent6 13 7" xfId="9344"/>
    <cellStyle name="20% - Accent6 13 7 2" xfId="17302"/>
    <cellStyle name="20% - Accent6 13 7 3" xfId="25246"/>
    <cellStyle name="20% - Accent6 13 8" xfId="10240"/>
    <cellStyle name="20% - Accent6 13 9" xfId="18195"/>
    <cellStyle name="20% - Accent6 13_Exh G" xfId="2585"/>
    <cellStyle name="20% - Accent6 14" xfId="296"/>
    <cellStyle name="20% - Accent6 14 2" xfId="297"/>
    <cellStyle name="20% - Accent6 14 2 2" xfId="1325"/>
    <cellStyle name="20% - Accent6 14 2 2 2" xfId="4855"/>
    <cellStyle name="20% - Accent6 14 2 2 2 2" xfId="8446"/>
    <cellStyle name="20% - Accent6 14 2 2 2 2 2" xfId="16417"/>
    <cellStyle name="20% - Accent6 14 2 2 2 2 3" xfId="24363"/>
    <cellStyle name="20% - Accent6 14 2 2 2 3" xfId="12879"/>
    <cellStyle name="20% - Accent6 14 2 2 2 4" xfId="20834"/>
    <cellStyle name="20% - Accent6 14 2 2 3" xfId="6687"/>
    <cellStyle name="20% - Accent6 14 2 2 3 2" xfId="14659"/>
    <cellStyle name="20% - Accent6 14 2 2 3 3" xfId="22606"/>
    <cellStyle name="20% - Accent6 14 2 2 4" xfId="11123"/>
    <cellStyle name="20% - Accent6 14 2 2 5" xfId="19078"/>
    <cellStyle name="20% - Accent6 14 2 2_Exh G" xfId="2595"/>
    <cellStyle name="20% - Accent6 14 2 3" xfId="3976"/>
    <cellStyle name="20% - Accent6 14 2 3 2" xfId="7568"/>
    <cellStyle name="20% - Accent6 14 2 3 2 2" xfId="15539"/>
    <cellStyle name="20% - Accent6 14 2 3 2 3" xfId="23485"/>
    <cellStyle name="20% - Accent6 14 2 3 3" xfId="12001"/>
    <cellStyle name="20% - Accent6 14 2 3 4" xfId="19956"/>
    <cellStyle name="20% - Accent6 14 2 4" xfId="5796"/>
    <cellStyle name="20% - Accent6 14 2 4 2" xfId="13780"/>
    <cellStyle name="20% - Accent6 14 2 4 3" xfId="21728"/>
    <cellStyle name="20% - Accent6 14 2 5" xfId="9349"/>
    <cellStyle name="20% - Accent6 14 2 5 2" xfId="17307"/>
    <cellStyle name="20% - Accent6 14 2 5 3" xfId="25251"/>
    <cellStyle name="20% - Accent6 14 2 6" xfId="10245"/>
    <cellStyle name="20% - Accent6 14 2 7" xfId="18200"/>
    <cellStyle name="20% - Accent6 14 2_Exh G" xfId="2594"/>
    <cellStyle name="20% - Accent6 14 3" xfId="1324"/>
    <cellStyle name="20% - Accent6 14 3 2" xfId="4854"/>
    <cellStyle name="20% - Accent6 14 3 2 2" xfId="8445"/>
    <cellStyle name="20% - Accent6 14 3 2 2 2" xfId="16416"/>
    <cellStyle name="20% - Accent6 14 3 2 2 3" xfId="24362"/>
    <cellStyle name="20% - Accent6 14 3 2 3" xfId="12878"/>
    <cellStyle name="20% - Accent6 14 3 2 4" xfId="20833"/>
    <cellStyle name="20% - Accent6 14 3 3" xfId="6686"/>
    <cellStyle name="20% - Accent6 14 3 3 2" xfId="14658"/>
    <cellStyle name="20% - Accent6 14 3 3 3" xfId="22605"/>
    <cellStyle name="20% - Accent6 14 3 4" xfId="11122"/>
    <cellStyle name="20% - Accent6 14 3 5" xfId="19077"/>
    <cellStyle name="20% - Accent6 14 3_Exh G" xfId="2596"/>
    <cellStyle name="20% - Accent6 14 4" xfId="3975"/>
    <cellStyle name="20% - Accent6 14 4 2" xfId="7567"/>
    <cellStyle name="20% - Accent6 14 4 2 2" xfId="15538"/>
    <cellStyle name="20% - Accent6 14 4 2 3" xfId="23484"/>
    <cellStyle name="20% - Accent6 14 4 3" xfId="12000"/>
    <cellStyle name="20% - Accent6 14 4 4" xfId="19955"/>
    <cellStyle name="20% - Accent6 14 5" xfId="5795"/>
    <cellStyle name="20% - Accent6 14 5 2" xfId="13779"/>
    <cellStyle name="20% - Accent6 14 5 3" xfId="21727"/>
    <cellStyle name="20% - Accent6 14 6" xfId="9348"/>
    <cellStyle name="20% - Accent6 14 6 2" xfId="17306"/>
    <cellStyle name="20% - Accent6 14 6 3" xfId="25250"/>
    <cellStyle name="20% - Accent6 14 7" xfId="10244"/>
    <cellStyle name="20% - Accent6 14 8" xfId="18199"/>
    <cellStyle name="20% - Accent6 14_Exh G" xfId="2593"/>
    <cellStyle name="20% - Accent6 15" xfId="298"/>
    <cellStyle name="20% - Accent6 15 2" xfId="1326"/>
    <cellStyle name="20% - Accent6 15 2 2" xfId="4856"/>
    <cellStyle name="20% - Accent6 15 2 2 2" xfId="8447"/>
    <cellStyle name="20% - Accent6 15 2 2 2 2" xfId="16418"/>
    <cellStyle name="20% - Accent6 15 2 2 2 3" xfId="24364"/>
    <cellStyle name="20% - Accent6 15 2 2 3" xfId="12880"/>
    <cellStyle name="20% - Accent6 15 2 2 4" xfId="20835"/>
    <cellStyle name="20% - Accent6 15 2 3" xfId="6688"/>
    <cellStyle name="20% - Accent6 15 2 3 2" xfId="14660"/>
    <cellStyle name="20% - Accent6 15 2 3 3" xfId="22607"/>
    <cellStyle name="20% - Accent6 15 2 4" xfId="11124"/>
    <cellStyle name="20% - Accent6 15 2 5" xfId="19079"/>
    <cellStyle name="20% - Accent6 15 2_Exh G" xfId="2598"/>
    <cellStyle name="20% - Accent6 15 3" xfId="3977"/>
    <cellStyle name="20% - Accent6 15 3 2" xfId="7569"/>
    <cellStyle name="20% - Accent6 15 3 2 2" xfId="15540"/>
    <cellStyle name="20% - Accent6 15 3 2 3" xfId="23486"/>
    <cellStyle name="20% - Accent6 15 3 3" xfId="12002"/>
    <cellStyle name="20% - Accent6 15 3 4" xfId="19957"/>
    <cellStyle name="20% - Accent6 15 4" xfId="5797"/>
    <cellStyle name="20% - Accent6 15 4 2" xfId="13781"/>
    <cellStyle name="20% - Accent6 15 4 3" xfId="21729"/>
    <cellStyle name="20% - Accent6 15 5" xfId="9350"/>
    <cellStyle name="20% - Accent6 15 5 2" xfId="17308"/>
    <cellStyle name="20% - Accent6 15 5 3" xfId="25252"/>
    <cellStyle name="20% - Accent6 15 6" xfId="10246"/>
    <cellStyle name="20% - Accent6 15 7" xfId="18201"/>
    <cellStyle name="20% - Accent6 15_Exh G" xfId="2597"/>
    <cellStyle name="20% - Accent6 16" xfId="848"/>
    <cellStyle name="20% - Accent6 16 2" xfId="1787"/>
    <cellStyle name="20% - Accent6 16 2 2" xfId="5308"/>
    <cellStyle name="20% - Accent6 16 2 2 2" xfId="8899"/>
    <cellStyle name="20% - Accent6 16 2 2 2 2" xfId="16870"/>
    <cellStyle name="20% - Accent6 16 2 2 2 3" xfId="24816"/>
    <cellStyle name="20% - Accent6 16 2 2 3" xfId="13332"/>
    <cellStyle name="20% - Accent6 16 2 2 4" xfId="21287"/>
    <cellStyle name="20% - Accent6 16 2 3" xfId="7140"/>
    <cellStyle name="20% - Accent6 16 2 3 2" xfId="15112"/>
    <cellStyle name="20% - Accent6 16 2 3 3" xfId="23059"/>
    <cellStyle name="20% - Accent6 16 2 4" xfId="11576"/>
    <cellStyle name="20% - Accent6 16 2 5" xfId="19531"/>
    <cellStyle name="20% - Accent6 16 2_Exh G" xfId="2600"/>
    <cellStyle name="20% - Accent6 16 3" xfId="4429"/>
    <cellStyle name="20% - Accent6 16 3 2" xfId="8021"/>
    <cellStyle name="20% - Accent6 16 3 2 2" xfId="15992"/>
    <cellStyle name="20% - Accent6 16 3 2 3" xfId="23938"/>
    <cellStyle name="20% - Accent6 16 3 3" xfId="12454"/>
    <cellStyle name="20% - Accent6 16 3 4" xfId="20409"/>
    <cellStyle name="20% - Accent6 16 4" xfId="6259"/>
    <cellStyle name="20% - Accent6 16 4 2" xfId="14234"/>
    <cellStyle name="20% - Accent6 16 4 3" xfId="22181"/>
    <cellStyle name="20% - Accent6 16 5" xfId="9802"/>
    <cellStyle name="20% - Accent6 16 5 2" xfId="17760"/>
    <cellStyle name="20% - Accent6 16 5 3" xfId="25704"/>
    <cellStyle name="20% - Accent6 16 6" xfId="10698"/>
    <cellStyle name="20% - Accent6 16 7" xfId="18653"/>
    <cellStyle name="20% - Accent6 16_Exh G" xfId="2599"/>
    <cellStyle name="20% - Accent6 2" xfId="299"/>
    <cellStyle name="20% - Accent6 2 10" xfId="18202"/>
    <cellStyle name="20% - Accent6 2 2" xfId="300"/>
    <cellStyle name="20% - Accent6 2 2 2" xfId="301"/>
    <cellStyle name="20% - Accent6 2 2 2 2" xfId="1329"/>
    <cellStyle name="20% - Accent6 2 2 2 2 2" xfId="4859"/>
    <cellStyle name="20% - Accent6 2 2 2 2 2 2" xfId="8450"/>
    <cellStyle name="20% - Accent6 2 2 2 2 2 2 2" xfId="16421"/>
    <cellStyle name="20% - Accent6 2 2 2 2 2 2 3" xfId="24367"/>
    <cellStyle name="20% - Accent6 2 2 2 2 2 3" xfId="12883"/>
    <cellStyle name="20% - Accent6 2 2 2 2 2 4" xfId="20838"/>
    <cellStyle name="20% - Accent6 2 2 2 2 3" xfId="6691"/>
    <cellStyle name="20% - Accent6 2 2 2 2 3 2" xfId="14663"/>
    <cellStyle name="20% - Accent6 2 2 2 2 3 3" xfId="22610"/>
    <cellStyle name="20% - Accent6 2 2 2 2 4" xfId="11127"/>
    <cellStyle name="20% - Accent6 2 2 2 2 5" xfId="19082"/>
    <cellStyle name="20% - Accent6 2 2 2 2_Exh G" xfId="2604"/>
    <cellStyle name="20% - Accent6 2 2 2 3" xfId="3980"/>
    <cellStyle name="20% - Accent6 2 2 2 3 2" xfId="7572"/>
    <cellStyle name="20% - Accent6 2 2 2 3 2 2" xfId="15543"/>
    <cellStyle name="20% - Accent6 2 2 2 3 2 3" xfId="23489"/>
    <cellStyle name="20% - Accent6 2 2 2 3 3" xfId="12005"/>
    <cellStyle name="20% - Accent6 2 2 2 3 4" xfId="19960"/>
    <cellStyle name="20% - Accent6 2 2 2 4" xfId="5800"/>
    <cellStyle name="20% - Accent6 2 2 2 4 2" xfId="13784"/>
    <cellStyle name="20% - Accent6 2 2 2 4 3" xfId="21732"/>
    <cellStyle name="20% - Accent6 2 2 2 5" xfId="9353"/>
    <cellStyle name="20% - Accent6 2 2 2 5 2" xfId="17311"/>
    <cellStyle name="20% - Accent6 2 2 2 5 3" xfId="25255"/>
    <cellStyle name="20% - Accent6 2 2 2 6" xfId="10249"/>
    <cellStyle name="20% - Accent6 2 2 2 7" xfId="18204"/>
    <cellStyle name="20% - Accent6 2 2 2_Exh G" xfId="2603"/>
    <cellStyle name="20% - Accent6 2 2 3" xfId="924"/>
    <cellStyle name="20% - Accent6 2 2 3 2" xfId="1850"/>
    <cellStyle name="20% - Accent6 2 2 3 2 2" xfId="5368"/>
    <cellStyle name="20% - Accent6 2 2 3 2 2 2" xfId="8959"/>
    <cellStyle name="20% - Accent6 2 2 3 2 2 2 2" xfId="16930"/>
    <cellStyle name="20% - Accent6 2 2 3 2 2 2 3" xfId="24876"/>
    <cellStyle name="20% - Accent6 2 2 3 2 2 3" xfId="13392"/>
    <cellStyle name="20% - Accent6 2 2 3 2 2 4" xfId="21347"/>
    <cellStyle name="20% - Accent6 2 2 3 2 3" xfId="7200"/>
    <cellStyle name="20% - Accent6 2 2 3 2 3 2" xfId="15172"/>
    <cellStyle name="20% - Accent6 2 2 3 2 3 3" xfId="23119"/>
    <cellStyle name="20% - Accent6 2 2 3 2 4" xfId="11636"/>
    <cellStyle name="20% - Accent6 2 2 3 2 5" xfId="19591"/>
    <cellStyle name="20% - Accent6 2 2 3 2_Exh G" xfId="2606"/>
    <cellStyle name="20% - Accent6 2 2 3 3" xfId="4489"/>
    <cellStyle name="20% - Accent6 2 2 3 3 2" xfId="8081"/>
    <cellStyle name="20% - Accent6 2 2 3 3 2 2" xfId="16052"/>
    <cellStyle name="20% - Accent6 2 2 3 3 2 3" xfId="23998"/>
    <cellStyle name="20% - Accent6 2 2 3 3 3" xfId="12514"/>
    <cellStyle name="20% - Accent6 2 2 3 3 4" xfId="20469"/>
    <cellStyle name="20% - Accent6 2 2 3 4" xfId="6319"/>
    <cellStyle name="20% - Accent6 2 2 3 4 2" xfId="14294"/>
    <cellStyle name="20% - Accent6 2 2 3 4 3" xfId="22241"/>
    <cellStyle name="20% - Accent6 2 2 3 5" xfId="9862"/>
    <cellStyle name="20% - Accent6 2 2 3 5 2" xfId="17820"/>
    <cellStyle name="20% - Accent6 2 2 3 5 3" xfId="25764"/>
    <cellStyle name="20% - Accent6 2 2 3 6" xfId="10758"/>
    <cellStyle name="20% - Accent6 2 2 3 7" xfId="18713"/>
    <cellStyle name="20% - Accent6 2 2 3_Exh G" xfId="2605"/>
    <cellStyle name="20% - Accent6 2 2 4" xfId="1328"/>
    <cellStyle name="20% - Accent6 2 2 4 2" xfId="4858"/>
    <cellStyle name="20% - Accent6 2 2 4 2 2" xfId="8449"/>
    <cellStyle name="20% - Accent6 2 2 4 2 2 2" xfId="16420"/>
    <cellStyle name="20% - Accent6 2 2 4 2 2 3" xfId="24366"/>
    <cellStyle name="20% - Accent6 2 2 4 2 3" xfId="12882"/>
    <cellStyle name="20% - Accent6 2 2 4 2 4" xfId="20837"/>
    <cellStyle name="20% - Accent6 2 2 4 3" xfId="6690"/>
    <cellStyle name="20% - Accent6 2 2 4 3 2" xfId="14662"/>
    <cellStyle name="20% - Accent6 2 2 4 3 3" xfId="22609"/>
    <cellStyle name="20% - Accent6 2 2 4 4" xfId="11126"/>
    <cellStyle name="20% - Accent6 2 2 4 5" xfId="19081"/>
    <cellStyle name="20% - Accent6 2 2 4_Exh G" xfId="2607"/>
    <cellStyle name="20% - Accent6 2 2 5" xfId="3979"/>
    <cellStyle name="20% - Accent6 2 2 5 2" xfId="7571"/>
    <cellStyle name="20% - Accent6 2 2 5 2 2" xfId="15542"/>
    <cellStyle name="20% - Accent6 2 2 5 2 3" xfId="23488"/>
    <cellStyle name="20% - Accent6 2 2 5 3" xfId="12004"/>
    <cellStyle name="20% - Accent6 2 2 5 4" xfId="19959"/>
    <cellStyle name="20% - Accent6 2 2 6" xfId="5799"/>
    <cellStyle name="20% - Accent6 2 2 6 2" xfId="13783"/>
    <cellStyle name="20% - Accent6 2 2 6 3" xfId="21731"/>
    <cellStyle name="20% - Accent6 2 2 7" xfId="9352"/>
    <cellStyle name="20% - Accent6 2 2 7 2" xfId="17310"/>
    <cellStyle name="20% - Accent6 2 2 7 3" xfId="25254"/>
    <cellStyle name="20% - Accent6 2 2 8" xfId="10248"/>
    <cellStyle name="20% - Accent6 2 2 9" xfId="18203"/>
    <cellStyle name="20% - Accent6 2 2_Exh G" xfId="2602"/>
    <cellStyle name="20% - Accent6 2 3" xfId="302"/>
    <cellStyle name="20% - Accent6 2 3 2" xfId="1330"/>
    <cellStyle name="20% - Accent6 2 3 2 2" xfId="4860"/>
    <cellStyle name="20% - Accent6 2 3 2 2 2" xfId="8451"/>
    <cellStyle name="20% - Accent6 2 3 2 2 2 2" xfId="16422"/>
    <cellStyle name="20% - Accent6 2 3 2 2 2 3" xfId="24368"/>
    <cellStyle name="20% - Accent6 2 3 2 2 3" xfId="12884"/>
    <cellStyle name="20% - Accent6 2 3 2 2 4" xfId="20839"/>
    <cellStyle name="20% - Accent6 2 3 2 3" xfId="6692"/>
    <cellStyle name="20% - Accent6 2 3 2 3 2" xfId="14664"/>
    <cellStyle name="20% - Accent6 2 3 2 3 3" xfId="22611"/>
    <cellStyle name="20% - Accent6 2 3 2 4" xfId="11128"/>
    <cellStyle name="20% - Accent6 2 3 2 5" xfId="19083"/>
    <cellStyle name="20% - Accent6 2 3 2_Exh G" xfId="2609"/>
    <cellStyle name="20% - Accent6 2 3 3" xfId="3981"/>
    <cellStyle name="20% - Accent6 2 3 3 2" xfId="7573"/>
    <cellStyle name="20% - Accent6 2 3 3 2 2" xfId="15544"/>
    <cellStyle name="20% - Accent6 2 3 3 2 3" xfId="23490"/>
    <cellStyle name="20% - Accent6 2 3 3 3" xfId="12006"/>
    <cellStyle name="20% - Accent6 2 3 3 4" xfId="19961"/>
    <cellStyle name="20% - Accent6 2 3 4" xfId="5801"/>
    <cellStyle name="20% - Accent6 2 3 4 2" xfId="13785"/>
    <cellStyle name="20% - Accent6 2 3 4 3" xfId="21733"/>
    <cellStyle name="20% - Accent6 2 3 5" xfId="9354"/>
    <cellStyle name="20% - Accent6 2 3 5 2" xfId="17312"/>
    <cellStyle name="20% - Accent6 2 3 5 3" xfId="25256"/>
    <cellStyle name="20% - Accent6 2 3 6" xfId="10250"/>
    <cellStyle name="20% - Accent6 2 3 7" xfId="18205"/>
    <cellStyle name="20% - Accent6 2 3_Exh G" xfId="2608"/>
    <cellStyle name="20% - Accent6 2 4" xfId="923"/>
    <cellStyle name="20% - Accent6 2 4 2" xfId="1849"/>
    <cellStyle name="20% - Accent6 2 4 2 2" xfId="5367"/>
    <cellStyle name="20% - Accent6 2 4 2 2 2" xfId="8958"/>
    <cellStyle name="20% - Accent6 2 4 2 2 2 2" xfId="16929"/>
    <cellStyle name="20% - Accent6 2 4 2 2 2 3" xfId="24875"/>
    <cellStyle name="20% - Accent6 2 4 2 2 3" xfId="13391"/>
    <cellStyle name="20% - Accent6 2 4 2 2 4" xfId="21346"/>
    <cellStyle name="20% - Accent6 2 4 2 3" xfId="7199"/>
    <cellStyle name="20% - Accent6 2 4 2 3 2" xfId="15171"/>
    <cellStyle name="20% - Accent6 2 4 2 3 3" xfId="23118"/>
    <cellStyle name="20% - Accent6 2 4 2 4" xfId="11635"/>
    <cellStyle name="20% - Accent6 2 4 2 5" xfId="19590"/>
    <cellStyle name="20% - Accent6 2 4 2_Exh G" xfId="2611"/>
    <cellStyle name="20% - Accent6 2 4 3" xfId="4488"/>
    <cellStyle name="20% - Accent6 2 4 3 2" xfId="8080"/>
    <cellStyle name="20% - Accent6 2 4 3 2 2" xfId="16051"/>
    <cellStyle name="20% - Accent6 2 4 3 2 3" xfId="23997"/>
    <cellStyle name="20% - Accent6 2 4 3 3" xfId="12513"/>
    <cellStyle name="20% - Accent6 2 4 3 4" xfId="20468"/>
    <cellStyle name="20% - Accent6 2 4 4" xfId="6318"/>
    <cellStyle name="20% - Accent6 2 4 4 2" xfId="14293"/>
    <cellStyle name="20% - Accent6 2 4 4 3" xfId="22240"/>
    <cellStyle name="20% - Accent6 2 4 5" xfId="9861"/>
    <cellStyle name="20% - Accent6 2 4 5 2" xfId="17819"/>
    <cellStyle name="20% - Accent6 2 4 5 3" xfId="25763"/>
    <cellStyle name="20% - Accent6 2 4 6" xfId="10757"/>
    <cellStyle name="20% - Accent6 2 4 7" xfId="18712"/>
    <cellStyle name="20% - Accent6 2 4_Exh G" xfId="2610"/>
    <cellStyle name="20% - Accent6 2 5" xfId="1327"/>
    <cellStyle name="20% - Accent6 2 5 2" xfId="4857"/>
    <cellStyle name="20% - Accent6 2 5 2 2" xfId="8448"/>
    <cellStyle name="20% - Accent6 2 5 2 2 2" xfId="16419"/>
    <cellStyle name="20% - Accent6 2 5 2 2 3" xfId="24365"/>
    <cellStyle name="20% - Accent6 2 5 2 3" xfId="12881"/>
    <cellStyle name="20% - Accent6 2 5 2 4" xfId="20836"/>
    <cellStyle name="20% - Accent6 2 5 3" xfId="6689"/>
    <cellStyle name="20% - Accent6 2 5 3 2" xfId="14661"/>
    <cellStyle name="20% - Accent6 2 5 3 3" xfId="22608"/>
    <cellStyle name="20% - Accent6 2 5 4" xfId="11125"/>
    <cellStyle name="20% - Accent6 2 5 5" xfId="19080"/>
    <cellStyle name="20% - Accent6 2 5_Exh G" xfId="2612"/>
    <cellStyle name="20% - Accent6 2 6" xfId="3978"/>
    <cellStyle name="20% - Accent6 2 6 2" xfId="7570"/>
    <cellStyle name="20% - Accent6 2 6 2 2" xfId="15541"/>
    <cellStyle name="20% - Accent6 2 6 2 3" xfId="23487"/>
    <cellStyle name="20% - Accent6 2 6 3" xfId="12003"/>
    <cellStyle name="20% - Accent6 2 6 4" xfId="19958"/>
    <cellStyle name="20% - Accent6 2 7" xfId="5798"/>
    <cellStyle name="20% - Accent6 2 7 2" xfId="13782"/>
    <cellStyle name="20% - Accent6 2 7 3" xfId="21730"/>
    <cellStyle name="20% - Accent6 2 8" xfId="9351"/>
    <cellStyle name="20% - Accent6 2 8 2" xfId="17309"/>
    <cellStyle name="20% - Accent6 2 8 3" xfId="25253"/>
    <cellStyle name="20% - Accent6 2 9" xfId="10247"/>
    <cellStyle name="20% - Accent6 2_Exh G" xfId="2601"/>
    <cellStyle name="20% - Accent6 3" xfId="303"/>
    <cellStyle name="20% - Accent6 3 10" xfId="18206"/>
    <cellStyle name="20% - Accent6 3 2" xfId="304"/>
    <cellStyle name="20% - Accent6 3 2 2" xfId="305"/>
    <cellStyle name="20% - Accent6 3 2 2 2" xfId="1333"/>
    <cellStyle name="20% - Accent6 3 2 2 2 2" xfId="4863"/>
    <cellStyle name="20% - Accent6 3 2 2 2 2 2" xfId="8454"/>
    <cellStyle name="20% - Accent6 3 2 2 2 2 2 2" xfId="16425"/>
    <cellStyle name="20% - Accent6 3 2 2 2 2 2 3" xfId="24371"/>
    <cellStyle name="20% - Accent6 3 2 2 2 2 3" xfId="12887"/>
    <cellStyle name="20% - Accent6 3 2 2 2 2 4" xfId="20842"/>
    <cellStyle name="20% - Accent6 3 2 2 2 3" xfId="6695"/>
    <cellStyle name="20% - Accent6 3 2 2 2 3 2" xfId="14667"/>
    <cellStyle name="20% - Accent6 3 2 2 2 3 3" xfId="22614"/>
    <cellStyle name="20% - Accent6 3 2 2 2 4" xfId="11131"/>
    <cellStyle name="20% - Accent6 3 2 2 2 5" xfId="19086"/>
    <cellStyle name="20% - Accent6 3 2 2 2_Exh G" xfId="2616"/>
    <cellStyle name="20% - Accent6 3 2 2 3" xfId="3984"/>
    <cellStyle name="20% - Accent6 3 2 2 3 2" xfId="7576"/>
    <cellStyle name="20% - Accent6 3 2 2 3 2 2" xfId="15547"/>
    <cellStyle name="20% - Accent6 3 2 2 3 2 3" xfId="23493"/>
    <cellStyle name="20% - Accent6 3 2 2 3 3" xfId="12009"/>
    <cellStyle name="20% - Accent6 3 2 2 3 4" xfId="19964"/>
    <cellStyle name="20% - Accent6 3 2 2 4" xfId="5804"/>
    <cellStyle name="20% - Accent6 3 2 2 4 2" xfId="13788"/>
    <cellStyle name="20% - Accent6 3 2 2 4 3" xfId="21736"/>
    <cellStyle name="20% - Accent6 3 2 2 5" xfId="9357"/>
    <cellStyle name="20% - Accent6 3 2 2 5 2" xfId="17315"/>
    <cellStyle name="20% - Accent6 3 2 2 5 3" xfId="25259"/>
    <cellStyle name="20% - Accent6 3 2 2 6" xfId="10253"/>
    <cellStyle name="20% - Accent6 3 2 2 7" xfId="18208"/>
    <cellStyle name="20% - Accent6 3 2 2_Exh G" xfId="2615"/>
    <cellStyle name="20% - Accent6 3 2 3" xfId="926"/>
    <cellStyle name="20% - Accent6 3 2 3 2" xfId="1852"/>
    <cellStyle name="20% - Accent6 3 2 3 2 2" xfId="5370"/>
    <cellStyle name="20% - Accent6 3 2 3 2 2 2" xfId="8961"/>
    <cellStyle name="20% - Accent6 3 2 3 2 2 2 2" xfId="16932"/>
    <cellStyle name="20% - Accent6 3 2 3 2 2 2 3" xfId="24878"/>
    <cellStyle name="20% - Accent6 3 2 3 2 2 3" xfId="13394"/>
    <cellStyle name="20% - Accent6 3 2 3 2 2 4" xfId="21349"/>
    <cellStyle name="20% - Accent6 3 2 3 2 3" xfId="7202"/>
    <cellStyle name="20% - Accent6 3 2 3 2 3 2" xfId="15174"/>
    <cellStyle name="20% - Accent6 3 2 3 2 3 3" xfId="23121"/>
    <cellStyle name="20% - Accent6 3 2 3 2 4" xfId="11638"/>
    <cellStyle name="20% - Accent6 3 2 3 2 5" xfId="19593"/>
    <cellStyle name="20% - Accent6 3 2 3 2_Exh G" xfId="2618"/>
    <cellStyle name="20% - Accent6 3 2 3 3" xfId="4491"/>
    <cellStyle name="20% - Accent6 3 2 3 3 2" xfId="8083"/>
    <cellStyle name="20% - Accent6 3 2 3 3 2 2" xfId="16054"/>
    <cellStyle name="20% - Accent6 3 2 3 3 2 3" xfId="24000"/>
    <cellStyle name="20% - Accent6 3 2 3 3 3" xfId="12516"/>
    <cellStyle name="20% - Accent6 3 2 3 3 4" xfId="20471"/>
    <cellStyle name="20% - Accent6 3 2 3 4" xfId="6321"/>
    <cellStyle name="20% - Accent6 3 2 3 4 2" xfId="14296"/>
    <cellStyle name="20% - Accent6 3 2 3 4 3" xfId="22243"/>
    <cellStyle name="20% - Accent6 3 2 3 5" xfId="9864"/>
    <cellStyle name="20% - Accent6 3 2 3 5 2" xfId="17822"/>
    <cellStyle name="20% - Accent6 3 2 3 5 3" xfId="25766"/>
    <cellStyle name="20% - Accent6 3 2 3 6" xfId="10760"/>
    <cellStyle name="20% - Accent6 3 2 3 7" xfId="18715"/>
    <cellStyle name="20% - Accent6 3 2 3_Exh G" xfId="2617"/>
    <cellStyle name="20% - Accent6 3 2 4" xfId="1332"/>
    <cellStyle name="20% - Accent6 3 2 4 2" xfId="4862"/>
    <cellStyle name="20% - Accent6 3 2 4 2 2" xfId="8453"/>
    <cellStyle name="20% - Accent6 3 2 4 2 2 2" xfId="16424"/>
    <cellStyle name="20% - Accent6 3 2 4 2 2 3" xfId="24370"/>
    <cellStyle name="20% - Accent6 3 2 4 2 3" xfId="12886"/>
    <cellStyle name="20% - Accent6 3 2 4 2 4" xfId="20841"/>
    <cellStyle name="20% - Accent6 3 2 4 3" xfId="6694"/>
    <cellStyle name="20% - Accent6 3 2 4 3 2" xfId="14666"/>
    <cellStyle name="20% - Accent6 3 2 4 3 3" xfId="22613"/>
    <cellStyle name="20% - Accent6 3 2 4 4" xfId="11130"/>
    <cellStyle name="20% - Accent6 3 2 4 5" xfId="19085"/>
    <cellStyle name="20% - Accent6 3 2 4_Exh G" xfId="2619"/>
    <cellStyle name="20% - Accent6 3 2 5" xfId="3983"/>
    <cellStyle name="20% - Accent6 3 2 5 2" xfId="7575"/>
    <cellStyle name="20% - Accent6 3 2 5 2 2" xfId="15546"/>
    <cellStyle name="20% - Accent6 3 2 5 2 3" xfId="23492"/>
    <cellStyle name="20% - Accent6 3 2 5 3" xfId="12008"/>
    <cellStyle name="20% - Accent6 3 2 5 4" xfId="19963"/>
    <cellStyle name="20% - Accent6 3 2 6" xfId="5803"/>
    <cellStyle name="20% - Accent6 3 2 6 2" xfId="13787"/>
    <cellStyle name="20% - Accent6 3 2 6 3" xfId="21735"/>
    <cellStyle name="20% - Accent6 3 2 7" xfId="9356"/>
    <cellStyle name="20% - Accent6 3 2 7 2" xfId="17314"/>
    <cellStyle name="20% - Accent6 3 2 7 3" xfId="25258"/>
    <cellStyle name="20% - Accent6 3 2 8" xfId="10252"/>
    <cellStyle name="20% - Accent6 3 2 9" xfId="18207"/>
    <cellStyle name="20% - Accent6 3 2_Exh G" xfId="2614"/>
    <cellStyle name="20% - Accent6 3 3" xfId="306"/>
    <cellStyle name="20% - Accent6 3 3 2" xfId="1334"/>
    <cellStyle name="20% - Accent6 3 3 2 2" xfId="4864"/>
    <cellStyle name="20% - Accent6 3 3 2 2 2" xfId="8455"/>
    <cellStyle name="20% - Accent6 3 3 2 2 2 2" xfId="16426"/>
    <cellStyle name="20% - Accent6 3 3 2 2 2 3" xfId="24372"/>
    <cellStyle name="20% - Accent6 3 3 2 2 3" xfId="12888"/>
    <cellStyle name="20% - Accent6 3 3 2 2 4" xfId="20843"/>
    <cellStyle name="20% - Accent6 3 3 2 3" xfId="6696"/>
    <cellStyle name="20% - Accent6 3 3 2 3 2" xfId="14668"/>
    <cellStyle name="20% - Accent6 3 3 2 3 3" xfId="22615"/>
    <cellStyle name="20% - Accent6 3 3 2 4" xfId="11132"/>
    <cellStyle name="20% - Accent6 3 3 2 5" xfId="19087"/>
    <cellStyle name="20% - Accent6 3 3 2_Exh G" xfId="2621"/>
    <cellStyle name="20% - Accent6 3 3 3" xfId="3985"/>
    <cellStyle name="20% - Accent6 3 3 3 2" xfId="7577"/>
    <cellStyle name="20% - Accent6 3 3 3 2 2" xfId="15548"/>
    <cellStyle name="20% - Accent6 3 3 3 2 3" xfId="23494"/>
    <cellStyle name="20% - Accent6 3 3 3 3" xfId="12010"/>
    <cellStyle name="20% - Accent6 3 3 3 4" xfId="19965"/>
    <cellStyle name="20% - Accent6 3 3 4" xfId="5805"/>
    <cellStyle name="20% - Accent6 3 3 4 2" xfId="13789"/>
    <cellStyle name="20% - Accent6 3 3 4 3" xfId="21737"/>
    <cellStyle name="20% - Accent6 3 3 5" xfId="9358"/>
    <cellStyle name="20% - Accent6 3 3 5 2" xfId="17316"/>
    <cellStyle name="20% - Accent6 3 3 5 3" xfId="25260"/>
    <cellStyle name="20% - Accent6 3 3 6" xfId="10254"/>
    <cellStyle name="20% - Accent6 3 3 7" xfId="18209"/>
    <cellStyle name="20% - Accent6 3 3_Exh G" xfId="2620"/>
    <cellStyle name="20% - Accent6 3 4" xfId="925"/>
    <cellStyle name="20% - Accent6 3 4 2" xfId="1851"/>
    <cellStyle name="20% - Accent6 3 4 2 2" xfId="5369"/>
    <cellStyle name="20% - Accent6 3 4 2 2 2" xfId="8960"/>
    <cellStyle name="20% - Accent6 3 4 2 2 2 2" xfId="16931"/>
    <cellStyle name="20% - Accent6 3 4 2 2 2 3" xfId="24877"/>
    <cellStyle name="20% - Accent6 3 4 2 2 3" xfId="13393"/>
    <cellStyle name="20% - Accent6 3 4 2 2 4" xfId="21348"/>
    <cellStyle name="20% - Accent6 3 4 2 3" xfId="7201"/>
    <cellStyle name="20% - Accent6 3 4 2 3 2" xfId="15173"/>
    <cellStyle name="20% - Accent6 3 4 2 3 3" xfId="23120"/>
    <cellStyle name="20% - Accent6 3 4 2 4" xfId="11637"/>
    <cellStyle name="20% - Accent6 3 4 2 5" xfId="19592"/>
    <cellStyle name="20% - Accent6 3 4 2_Exh G" xfId="2623"/>
    <cellStyle name="20% - Accent6 3 4 3" xfId="4490"/>
    <cellStyle name="20% - Accent6 3 4 3 2" xfId="8082"/>
    <cellStyle name="20% - Accent6 3 4 3 2 2" xfId="16053"/>
    <cellStyle name="20% - Accent6 3 4 3 2 3" xfId="23999"/>
    <cellStyle name="20% - Accent6 3 4 3 3" xfId="12515"/>
    <cellStyle name="20% - Accent6 3 4 3 4" xfId="20470"/>
    <cellStyle name="20% - Accent6 3 4 4" xfId="6320"/>
    <cellStyle name="20% - Accent6 3 4 4 2" xfId="14295"/>
    <cellStyle name="20% - Accent6 3 4 4 3" xfId="22242"/>
    <cellStyle name="20% - Accent6 3 4 5" xfId="9863"/>
    <cellStyle name="20% - Accent6 3 4 5 2" xfId="17821"/>
    <cellStyle name="20% - Accent6 3 4 5 3" xfId="25765"/>
    <cellStyle name="20% - Accent6 3 4 6" xfId="10759"/>
    <cellStyle name="20% - Accent6 3 4 7" xfId="18714"/>
    <cellStyle name="20% - Accent6 3 4_Exh G" xfId="2622"/>
    <cellStyle name="20% - Accent6 3 5" xfId="1331"/>
    <cellStyle name="20% - Accent6 3 5 2" xfId="4861"/>
    <cellStyle name="20% - Accent6 3 5 2 2" xfId="8452"/>
    <cellStyle name="20% - Accent6 3 5 2 2 2" xfId="16423"/>
    <cellStyle name="20% - Accent6 3 5 2 2 3" xfId="24369"/>
    <cellStyle name="20% - Accent6 3 5 2 3" xfId="12885"/>
    <cellStyle name="20% - Accent6 3 5 2 4" xfId="20840"/>
    <cellStyle name="20% - Accent6 3 5 3" xfId="6693"/>
    <cellStyle name="20% - Accent6 3 5 3 2" xfId="14665"/>
    <cellStyle name="20% - Accent6 3 5 3 3" xfId="22612"/>
    <cellStyle name="20% - Accent6 3 5 4" xfId="11129"/>
    <cellStyle name="20% - Accent6 3 5 5" xfId="19084"/>
    <cellStyle name="20% - Accent6 3 5_Exh G" xfId="2624"/>
    <cellStyle name="20% - Accent6 3 6" xfId="3982"/>
    <cellStyle name="20% - Accent6 3 6 2" xfId="7574"/>
    <cellStyle name="20% - Accent6 3 6 2 2" xfId="15545"/>
    <cellStyle name="20% - Accent6 3 6 2 3" xfId="23491"/>
    <cellStyle name="20% - Accent6 3 6 3" xfId="12007"/>
    <cellStyle name="20% - Accent6 3 6 4" xfId="19962"/>
    <cellStyle name="20% - Accent6 3 7" xfId="5802"/>
    <cellStyle name="20% - Accent6 3 7 2" xfId="13786"/>
    <cellStyle name="20% - Accent6 3 7 3" xfId="21734"/>
    <cellStyle name="20% - Accent6 3 8" xfId="9355"/>
    <cellStyle name="20% - Accent6 3 8 2" xfId="17313"/>
    <cellStyle name="20% - Accent6 3 8 3" xfId="25257"/>
    <cellStyle name="20% - Accent6 3 9" xfId="10251"/>
    <cellStyle name="20% - Accent6 3_Exh G" xfId="2613"/>
    <cellStyle name="20% - Accent6 4" xfId="307"/>
    <cellStyle name="20% - Accent6 4 10" xfId="18210"/>
    <cellStyle name="20% - Accent6 4 2" xfId="308"/>
    <cellStyle name="20% - Accent6 4 2 2" xfId="309"/>
    <cellStyle name="20% - Accent6 4 2 2 2" xfId="1337"/>
    <cellStyle name="20% - Accent6 4 2 2 2 2" xfId="4867"/>
    <cellStyle name="20% - Accent6 4 2 2 2 2 2" xfId="8458"/>
    <cellStyle name="20% - Accent6 4 2 2 2 2 2 2" xfId="16429"/>
    <cellStyle name="20% - Accent6 4 2 2 2 2 2 3" xfId="24375"/>
    <cellStyle name="20% - Accent6 4 2 2 2 2 3" xfId="12891"/>
    <cellStyle name="20% - Accent6 4 2 2 2 2 4" xfId="20846"/>
    <cellStyle name="20% - Accent6 4 2 2 2 3" xfId="6699"/>
    <cellStyle name="20% - Accent6 4 2 2 2 3 2" xfId="14671"/>
    <cellStyle name="20% - Accent6 4 2 2 2 3 3" xfId="22618"/>
    <cellStyle name="20% - Accent6 4 2 2 2 4" xfId="11135"/>
    <cellStyle name="20% - Accent6 4 2 2 2 5" xfId="19090"/>
    <cellStyle name="20% - Accent6 4 2 2 2_Exh G" xfId="2628"/>
    <cellStyle name="20% - Accent6 4 2 2 3" xfId="3988"/>
    <cellStyle name="20% - Accent6 4 2 2 3 2" xfId="7580"/>
    <cellStyle name="20% - Accent6 4 2 2 3 2 2" xfId="15551"/>
    <cellStyle name="20% - Accent6 4 2 2 3 2 3" xfId="23497"/>
    <cellStyle name="20% - Accent6 4 2 2 3 3" xfId="12013"/>
    <cellStyle name="20% - Accent6 4 2 2 3 4" xfId="19968"/>
    <cellStyle name="20% - Accent6 4 2 2 4" xfId="5808"/>
    <cellStyle name="20% - Accent6 4 2 2 4 2" xfId="13792"/>
    <cellStyle name="20% - Accent6 4 2 2 4 3" xfId="21740"/>
    <cellStyle name="20% - Accent6 4 2 2 5" xfId="9361"/>
    <cellStyle name="20% - Accent6 4 2 2 5 2" xfId="17319"/>
    <cellStyle name="20% - Accent6 4 2 2 5 3" xfId="25263"/>
    <cellStyle name="20% - Accent6 4 2 2 6" xfId="10257"/>
    <cellStyle name="20% - Accent6 4 2 2 7" xfId="18212"/>
    <cellStyle name="20% - Accent6 4 2 2_Exh G" xfId="2627"/>
    <cellStyle name="20% - Accent6 4 2 3" xfId="928"/>
    <cellStyle name="20% - Accent6 4 2 3 2" xfId="1854"/>
    <cellStyle name="20% - Accent6 4 2 3 2 2" xfId="5372"/>
    <cellStyle name="20% - Accent6 4 2 3 2 2 2" xfId="8963"/>
    <cellStyle name="20% - Accent6 4 2 3 2 2 2 2" xfId="16934"/>
    <cellStyle name="20% - Accent6 4 2 3 2 2 2 3" xfId="24880"/>
    <cellStyle name="20% - Accent6 4 2 3 2 2 3" xfId="13396"/>
    <cellStyle name="20% - Accent6 4 2 3 2 2 4" xfId="21351"/>
    <cellStyle name="20% - Accent6 4 2 3 2 3" xfId="7204"/>
    <cellStyle name="20% - Accent6 4 2 3 2 3 2" xfId="15176"/>
    <cellStyle name="20% - Accent6 4 2 3 2 3 3" xfId="23123"/>
    <cellStyle name="20% - Accent6 4 2 3 2 4" xfId="11640"/>
    <cellStyle name="20% - Accent6 4 2 3 2 5" xfId="19595"/>
    <cellStyle name="20% - Accent6 4 2 3 2_Exh G" xfId="2630"/>
    <cellStyle name="20% - Accent6 4 2 3 3" xfId="4493"/>
    <cellStyle name="20% - Accent6 4 2 3 3 2" xfId="8085"/>
    <cellStyle name="20% - Accent6 4 2 3 3 2 2" xfId="16056"/>
    <cellStyle name="20% - Accent6 4 2 3 3 2 3" xfId="24002"/>
    <cellStyle name="20% - Accent6 4 2 3 3 3" xfId="12518"/>
    <cellStyle name="20% - Accent6 4 2 3 3 4" xfId="20473"/>
    <cellStyle name="20% - Accent6 4 2 3 4" xfId="6323"/>
    <cellStyle name="20% - Accent6 4 2 3 4 2" xfId="14298"/>
    <cellStyle name="20% - Accent6 4 2 3 4 3" xfId="22245"/>
    <cellStyle name="20% - Accent6 4 2 3 5" xfId="9866"/>
    <cellStyle name="20% - Accent6 4 2 3 5 2" xfId="17824"/>
    <cellStyle name="20% - Accent6 4 2 3 5 3" xfId="25768"/>
    <cellStyle name="20% - Accent6 4 2 3 6" xfId="10762"/>
    <cellStyle name="20% - Accent6 4 2 3 7" xfId="18717"/>
    <cellStyle name="20% - Accent6 4 2 3_Exh G" xfId="2629"/>
    <cellStyle name="20% - Accent6 4 2 4" xfId="1336"/>
    <cellStyle name="20% - Accent6 4 2 4 2" xfId="4866"/>
    <cellStyle name="20% - Accent6 4 2 4 2 2" xfId="8457"/>
    <cellStyle name="20% - Accent6 4 2 4 2 2 2" xfId="16428"/>
    <cellStyle name="20% - Accent6 4 2 4 2 2 3" xfId="24374"/>
    <cellStyle name="20% - Accent6 4 2 4 2 3" xfId="12890"/>
    <cellStyle name="20% - Accent6 4 2 4 2 4" xfId="20845"/>
    <cellStyle name="20% - Accent6 4 2 4 3" xfId="6698"/>
    <cellStyle name="20% - Accent6 4 2 4 3 2" xfId="14670"/>
    <cellStyle name="20% - Accent6 4 2 4 3 3" xfId="22617"/>
    <cellStyle name="20% - Accent6 4 2 4 4" xfId="11134"/>
    <cellStyle name="20% - Accent6 4 2 4 5" xfId="19089"/>
    <cellStyle name="20% - Accent6 4 2 4_Exh G" xfId="2631"/>
    <cellStyle name="20% - Accent6 4 2 5" xfId="3987"/>
    <cellStyle name="20% - Accent6 4 2 5 2" xfId="7579"/>
    <cellStyle name="20% - Accent6 4 2 5 2 2" xfId="15550"/>
    <cellStyle name="20% - Accent6 4 2 5 2 3" xfId="23496"/>
    <cellStyle name="20% - Accent6 4 2 5 3" xfId="12012"/>
    <cellStyle name="20% - Accent6 4 2 5 4" xfId="19967"/>
    <cellStyle name="20% - Accent6 4 2 6" xfId="5807"/>
    <cellStyle name="20% - Accent6 4 2 6 2" xfId="13791"/>
    <cellStyle name="20% - Accent6 4 2 6 3" xfId="21739"/>
    <cellStyle name="20% - Accent6 4 2 7" xfId="9360"/>
    <cellStyle name="20% - Accent6 4 2 7 2" xfId="17318"/>
    <cellStyle name="20% - Accent6 4 2 7 3" xfId="25262"/>
    <cellStyle name="20% - Accent6 4 2 8" xfId="10256"/>
    <cellStyle name="20% - Accent6 4 2 9" xfId="18211"/>
    <cellStyle name="20% - Accent6 4 2_Exh G" xfId="2626"/>
    <cellStyle name="20% - Accent6 4 3" xfId="310"/>
    <cellStyle name="20% - Accent6 4 3 2" xfId="1338"/>
    <cellStyle name="20% - Accent6 4 3 2 2" xfId="4868"/>
    <cellStyle name="20% - Accent6 4 3 2 2 2" xfId="8459"/>
    <cellStyle name="20% - Accent6 4 3 2 2 2 2" xfId="16430"/>
    <cellStyle name="20% - Accent6 4 3 2 2 2 3" xfId="24376"/>
    <cellStyle name="20% - Accent6 4 3 2 2 3" xfId="12892"/>
    <cellStyle name="20% - Accent6 4 3 2 2 4" xfId="20847"/>
    <cellStyle name="20% - Accent6 4 3 2 3" xfId="6700"/>
    <cellStyle name="20% - Accent6 4 3 2 3 2" xfId="14672"/>
    <cellStyle name="20% - Accent6 4 3 2 3 3" xfId="22619"/>
    <cellStyle name="20% - Accent6 4 3 2 4" xfId="11136"/>
    <cellStyle name="20% - Accent6 4 3 2 5" xfId="19091"/>
    <cellStyle name="20% - Accent6 4 3 2_Exh G" xfId="2633"/>
    <cellStyle name="20% - Accent6 4 3 3" xfId="3989"/>
    <cellStyle name="20% - Accent6 4 3 3 2" xfId="7581"/>
    <cellStyle name="20% - Accent6 4 3 3 2 2" xfId="15552"/>
    <cellStyle name="20% - Accent6 4 3 3 2 3" xfId="23498"/>
    <cellStyle name="20% - Accent6 4 3 3 3" xfId="12014"/>
    <cellStyle name="20% - Accent6 4 3 3 4" xfId="19969"/>
    <cellStyle name="20% - Accent6 4 3 4" xfId="5809"/>
    <cellStyle name="20% - Accent6 4 3 4 2" xfId="13793"/>
    <cellStyle name="20% - Accent6 4 3 4 3" xfId="21741"/>
    <cellStyle name="20% - Accent6 4 3 5" xfId="9362"/>
    <cellStyle name="20% - Accent6 4 3 5 2" xfId="17320"/>
    <cellStyle name="20% - Accent6 4 3 5 3" xfId="25264"/>
    <cellStyle name="20% - Accent6 4 3 6" xfId="10258"/>
    <cellStyle name="20% - Accent6 4 3 7" xfId="18213"/>
    <cellStyle name="20% - Accent6 4 3_Exh G" xfId="2632"/>
    <cellStyle name="20% - Accent6 4 4" xfId="927"/>
    <cellStyle name="20% - Accent6 4 4 2" xfId="1853"/>
    <cellStyle name="20% - Accent6 4 4 2 2" xfId="5371"/>
    <cellStyle name="20% - Accent6 4 4 2 2 2" xfId="8962"/>
    <cellStyle name="20% - Accent6 4 4 2 2 2 2" xfId="16933"/>
    <cellStyle name="20% - Accent6 4 4 2 2 2 3" xfId="24879"/>
    <cellStyle name="20% - Accent6 4 4 2 2 3" xfId="13395"/>
    <cellStyle name="20% - Accent6 4 4 2 2 4" xfId="21350"/>
    <cellStyle name="20% - Accent6 4 4 2 3" xfId="7203"/>
    <cellStyle name="20% - Accent6 4 4 2 3 2" xfId="15175"/>
    <cellStyle name="20% - Accent6 4 4 2 3 3" xfId="23122"/>
    <cellStyle name="20% - Accent6 4 4 2 4" xfId="11639"/>
    <cellStyle name="20% - Accent6 4 4 2 5" xfId="19594"/>
    <cellStyle name="20% - Accent6 4 4 2_Exh G" xfId="2635"/>
    <cellStyle name="20% - Accent6 4 4 3" xfId="4492"/>
    <cellStyle name="20% - Accent6 4 4 3 2" xfId="8084"/>
    <cellStyle name="20% - Accent6 4 4 3 2 2" xfId="16055"/>
    <cellStyle name="20% - Accent6 4 4 3 2 3" xfId="24001"/>
    <cellStyle name="20% - Accent6 4 4 3 3" xfId="12517"/>
    <cellStyle name="20% - Accent6 4 4 3 4" xfId="20472"/>
    <cellStyle name="20% - Accent6 4 4 4" xfId="6322"/>
    <cellStyle name="20% - Accent6 4 4 4 2" xfId="14297"/>
    <cellStyle name="20% - Accent6 4 4 4 3" xfId="22244"/>
    <cellStyle name="20% - Accent6 4 4 5" xfId="9865"/>
    <cellStyle name="20% - Accent6 4 4 5 2" xfId="17823"/>
    <cellStyle name="20% - Accent6 4 4 5 3" xfId="25767"/>
    <cellStyle name="20% - Accent6 4 4 6" xfId="10761"/>
    <cellStyle name="20% - Accent6 4 4 7" xfId="18716"/>
    <cellStyle name="20% - Accent6 4 4_Exh G" xfId="2634"/>
    <cellStyle name="20% - Accent6 4 5" xfId="1335"/>
    <cellStyle name="20% - Accent6 4 5 2" xfId="4865"/>
    <cellStyle name="20% - Accent6 4 5 2 2" xfId="8456"/>
    <cellStyle name="20% - Accent6 4 5 2 2 2" xfId="16427"/>
    <cellStyle name="20% - Accent6 4 5 2 2 3" xfId="24373"/>
    <cellStyle name="20% - Accent6 4 5 2 3" xfId="12889"/>
    <cellStyle name="20% - Accent6 4 5 2 4" xfId="20844"/>
    <cellStyle name="20% - Accent6 4 5 3" xfId="6697"/>
    <cellStyle name="20% - Accent6 4 5 3 2" xfId="14669"/>
    <cellStyle name="20% - Accent6 4 5 3 3" xfId="22616"/>
    <cellStyle name="20% - Accent6 4 5 4" xfId="11133"/>
    <cellStyle name="20% - Accent6 4 5 5" xfId="19088"/>
    <cellStyle name="20% - Accent6 4 5_Exh G" xfId="2636"/>
    <cellStyle name="20% - Accent6 4 6" xfId="3986"/>
    <cellStyle name="20% - Accent6 4 6 2" xfId="7578"/>
    <cellStyle name="20% - Accent6 4 6 2 2" xfId="15549"/>
    <cellStyle name="20% - Accent6 4 6 2 3" xfId="23495"/>
    <cellStyle name="20% - Accent6 4 6 3" xfId="12011"/>
    <cellStyle name="20% - Accent6 4 6 4" xfId="19966"/>
    <cellStyle name="20% - Accent6 4 7" xfId="5806"/>
    <cellStyle name="20% - Accent6 4 7 2" xfId="13790"/>
    <cellStyle name="20% - Accent6 4 7 3" xfId="21738"/>
    <cellStyle name="20% - Accent6 4 8" xfId="9359"/>
    <cellStyle name="20% - Accent6 4 8 2" xfId="17317"/>
    <cellStyle name="20% - Accent6 4 8 3" xfId="25261"/>
    <cellStyle name="20% - Accent6 4 9" xfId="10255"/>
    <cellStyle name="20% - Accent6 4_Exh G" xfId="2625"/>
    <cellStyle name="20% - Accent6 5" xfId="311"/>
    <cellStyle name="20% - Accent6 5 10" xfId="18214"/>
    <cellStyle name="20% - Accent6 5 2" xfId="312"/>
    <cellStyle name="20% - Accent6 5 2 2" xfId="313"/>
    <cellStyle name="20% - Accent6 5 2 2 2" xfId="1341"/>
    <cellStyle name="20% - Accent6 5 2 2 2 2" xfId="4871"/>
    <cellStyle name="20% - Accent6 5 2 2 2 2 2" xfId="8462"/>
    <cellStyle name="20% - Accent6 5 2 2 2 2 2 2" xfId="16433"/>
    <cellStyle name="20% - Accent6 5 2 2 2 2 2 3" xfId="24379"/>
    <cellStyle name="20% - Accent6 5 2 2 2 2 3" xfId="12895"/>
    <cellStyle name="20% - Accent6 5 2 2 2 2 4" xfId="20850"/>
    <cellStyle name="20% - Accent6 5 2 2 2 3" xfId="6703"/>
    <cellStyle name="20% - Accent6 5 2 2 2 3 2" xfId="14675"/>
    <cellStyle name="20% - Accent6 5 2 2 2 3 3" xfId="22622"/>
    <cellStyle name="20% - Accent6 5 2 2 2 4" xfId="11139"/>
    <cellStyle name="20% - Accent6 5 2 2 2 5" xfId="19094"/>
    <cellStyle name="20% - Accent6 5 2 2 2_Exh G" xfId="2640"/>
    <cellStyle name="20% - Accent6 5 2 2 3" xfId="3992"/>
    <cellStyle name="20% - Accent6 5 2 2 3 2" xfId="7584"/>
    <cellStyle name="20% - Accent6 5 2 2 3 2 2" xfId="15555"/>
    <cellStyle name="20% - Accent6 5 2 2 3 2 3" xfId="23501"/>
    <cellStyle name="20% - Accent6 5 2 2 3 3" xfId="12017"/>
    <cellStyle name="20% - Accent6 5 2 2 3 4" xfId="19972"/>
    <cellStyle name="20% - Accent6 5 2 2 4" xfId="5812"/>
    <cellStyle name="20% - Accent6 5 2 2 4 2" xfId="13796"/>
    <cellStyle name="20% - Accent6 5 2 2 4 3" xfId="21744"/>
    <cellStyle name="20% - Accent6 5 2 2 5" xfId="9365"/>
    <cellStyle name="20% - Accent6 5 2 2 5 2" xfId="17323"/>
    <cellStyle name="20% - Accent6 5 2 2 5 3" xfId="25267"/>
    <cellStyle name="20% - Accent6 5 2 2 6" xfId="10261"/>
    <cellStyle name="20% - Accent6 5 2 2 7" xfId="18216"/>
    <cellStyle name="20% - Accent6 5 2 2_Exh G" xfId="2639"/>
    <cellStyle name="20% - Accent6 5 2 3" xfId="1340"/>
    <cellStyle name="20% - Accent6 5 2 3 2" xfId="4870"/>
    <cellStyle name="20% - Accent6 5 2 3 2 2" xfId="8461"/>
    <cellStyle name="20% - Accent6 5 2 3 2 2 2" xfId="16432"/>
    <cellStyle name="20% - Accent6 5 2 3 2 2 3" xfId="24378"/>
    <cellStyle name="20% - Accent6 5 2 3 2 3" xfId="12894"/>
    <cellStyle name="20% - Accent6 5 2 3 2 4" xfId="20849"/>
    <cellStyle name="20% - Accent6 5 2 3 3" xfId="6702"/>
    <cellStyle name="20% - Accent6 5 2 3 3 2" xfId="14674"/>
    <cellStyle name="20% - Accent6 5 2 3 3 3" xfId="22621"/>
    <cellStyle name="20% - Accent6 5 2 3 4" xfId="11138"/>
    <cellStyle name="20% - Accent6 5 2 3 5" xfId="19093"/>
    <cellStyle name="20% - Accent6 5 2 3_Exh G" xfId="2641"/>
    <cellStyle name="20% - Accent6 5 2 4" xfId="3991"/>
    <cellStyle name="20% - Accent6 5 2 4 2" xfId="7583"/>
    <cellStyle name="20% - Accent6 5 2 4 2 2" xfId="15554"/>
    <cellStyle name="20% - Accent6 5 2 4 2 3" xfId="23500"/>
    <cellStyle name="20% - Accent6 5 2 4 3" xfId="12016"/>
    <cellStyle name="20% - Accent6 5 2 4 4" xfId="19971"/>
    <cellStyle name="20% - Accent6 5 2 5" xfId="5811"/>
    <cellStyle name="20% - Accent6 5 2 5 2" xfId="13795"/>
    <cellStyle name="20% - Accent6 5 2 5 3" xfId="21743"/>
    <cellStyle name="20% - Accent6 5 2 6" xfId="9364"/>
    <cellStyle name="20% - Accent6 5 2 6 2" xfId="17322"/>
    <cellStyle name="20% - Accent6 5 2 6 3" xfId="25266"/>
    <cellStyle name="20% - Accent6 5 2 7" xfId="10260"/>
    <cellStyle name="20% - Accent6 5 2 8" xfId="18215"/>
    <cellStyle name="20% - Accent6 5 2_Exh G" xfId="2638"/>
    <cellStyle name="20% - Accent6 5 3" xfId="314"/>
    <cellStyle name="20% - Accent6 5 3 2" xfId="1342"/>
    <cellStyle name="20% - Accent6 5 3 2 2" xfId="4872"/>
    <cellStyle name="20% - Accent6 5 3 2 2 2" xfId="8463"/>
    <cellStyle name="20% - Accent6 5 3 2 2 2 2" xfId="16434"/>
    <cellStyle name="20% - Accent6 5 3 2 2 2 3" xfId="24380"/>
    <cellStyle name="20% - Accent6 5 3 2 2 3" xfId="12896"/>
    <cellStyle name="20% - Accent6 5 3 2 2 4" xfId="20851"/>
    <cellStyle name="20% - Accent6 5 3 2 3" xfId="6704"/>
    <cellStyle name="20% - Accent6 5 3 2 3 2" xfId="14676"/>
    <cellStyle name="20% - Accent6 5 3 2 3 3" xfId="22623"/>
    <cellStyle name="20% - Accent6 5 3 2 4" xfId="11140"/>
    <cellStyle name="20% - Accent6 5 3 2 5" xfId="19095"/>
    <cellStyle name="20% - Accent6 5 3 2_Exh G" xfId="2643"/>
    <cellStyle name="20% - Accent6 5 3 3" xfId="3993"/>
    <cellStyle name="20% - Accent6 5 3 3 2" xfId="7585"/>
    <cellStyle name="20% - Accent6 5 3 3 2 2" xfId="15556"/>
    <cellStyle name="20% - Accent6 5 3 3 2 3" xfId="23502"/>
    <cellStyle name="20% - Accent6 5 3 3 3" xfId="12018"/>
    <cellStyle name="20% - Accent6 5 3 3 4" xfId="19973"/>
    <cellStyle name="20% - Accent6 5 3 4" xfId="5813"/>
    <cellStyle name="20% - Accent6 5 3 4 2" xfId="13797"/>
    <cellStyle name="20% - Accent6 5 3 4 3" xfId="21745"/>
    <cellStyle name="20% - Accent6 5 3 5" xfId="9366"/>
    <cellStyle name="20% - Accent6 5 3 5 2" xfId="17324"/>
    <cellStyle name="20% - Accent6 5 3 5 3" xfId="25268"/>
    <cellStyle name="20% - Accent6 5 3 6" xfId="10262"/>
    <cellStyle name="20% - Accent6 5 3 7" xfId="18217"/>
    <cellStyle name="20% - Accent6 5 3_Exh G" xfId="2642"/>
    <cellStyle name="20% - Accent6 5 4" xfId="929"/>
    <cellStyle name="20% - Accent6 5 5" xfId="1339"/>
    <cellStyle name="20% - Accent6 5 5 2" xfId="4869"/>
    <cellStyle name="20% - Accent6 5 5 2 2" xfId="8460"/>
    <cellStyle name="20% - Accent6 5 5 2 2 2" xfId="16431"/>
    <cellStyle name="20% - Accent6 5 5 2 2 3" xfId="24377"/>
    <cellStyle name="20% - Accent6 5 5 2 3" xfId="12893"/>
    <cellStyle name="20% - Accent6 5 5 2 4" xfId="20848"/>
    <cellStyle name="20% - Accent6 5 5 3" xfId="6701"/>
    <cellStyle name="20% - Accent6 5 5 3 2" xfId="14673"/>
    <cellStyle name="20% - Accent6 5 5 3 3" xfId="22620"/>
    <cellStyle name="20% - Accent6 5 5 4" xfId="11137"/>
    <cellStyle name="20% - Accent6 5 5 5" xfId="19092"/>
    <cellStyle name="20% - Accent6 5 5_Exh G" xfId="2644"/>
    <cellStyle name="20% - Accent6 5 6" xfId="3990"/>
    <cellStyle name="20% - Accent6 5 6 2" xfId="7582"/>
    <cellStyle name="20% - Accent6 5 6 2 2" xfId="15553"/>
    <cellStyle name="20% - Accent6 5 6 2 3" xfId="23499"/>
    <cellStyle name="20% - Accent6 5 6 3" xfId="12015"/>
    <cellStyle name="20% - Accent6 5 6 4" xfId="19970"/>
    <cellStyle name="20% - Accent6 5 7" xfId="5810"/>
    <cellStyle name="20% - Accent6 5 7 2" xfId="13794"/>
    <cellStyle name="20% - Accent6 5 7 3" xfId="21742"/>
    <cellStyle name="20% - Accent6 5 8" xfId="9363"/>
    <cellStyle name="20% - Accent6 5 8 2" xfId="17321"/>
    <cellStyle name="20% - Accent6 5 8 3" xfId="25265"/>
    <cellStyle name="20% - Accent6 5 9" xfId="10259"/>
    <cellStyle name="20% - Accent6 5_Exh G" xfId="2637"/>
    <cellStyle name="20% - Accent6 6" xfId="315"/>
    <cellStyle name="20% - Accent6 6 10" xfId="18218"/>
    <cellStyle name="20% - Accent6 6 2" xfId="316"/>
    <cellStyle name="20% - Accent6 6 2 2" xfId="317"/>
    <cellStyle name="20% - Accent6 6 2 2 2" xfId="1345"/>
    <cellStyle name="20% - Accent6 6 2 2 2 2" xfId="4875"/>
    <cellStyle name="20% - Accent6 6 2 2 2 2 2" xfId="8466"/>
    <cellStyle name="20% - Accent6 6 2 2 2 2 2 2" xfId="16437"/>
    <cellStyle name="20% - Accent6 6 2 2 2 2 2 3" xfId="24383"/>
    <cellStyle name="20% - Accent6 6 2 2 2 2 3" xfId="12899"/>
    <cellStyle name="20% - Accent6 6 2 2 2 2 4" xfId="20854"/>
    <cellStyle name="20% - Accent6 6 2 2 2 3" xfId="6707"/>
    <cellStyle name="20% - Accent6 6 2 2 2 3 2" xfId="14679"/>
    <cellStyle name="20% - Accent6 6 2 2 2 3 3" xfId="22626"/>
    <cellStyle name="20% - Accent6 6 2 2 2 4" xfId="11143"/>
    <cellStyle name="20% - Accent6 6 2 2 2 5" xfId="19098"/>
    <cellStyle name="20% - Accent6 6 2 2 2_Exh G" xfId="2648"/>
    <cellStyle name="20% - Accent6 6 2 2 3" xfId="3996"/>
    <cellStyle name="20% - Accent6 6 2 2 3 2" xfId="7588"/>
    <cellStyle name="20% - Accent6 6 2 2 3 2 2" xfId="15559"/>
    <cellStyle name="20% - Accent6 6 2 2 3 2 3" xfId="23505"/>
    <cellStyle name="20% - Accent6 6 2 2 3 3" xfId="12021"/>
    <cellStyle name="20% - Accent6 6 2 2 3 4" xfId="19976"/>
    <cellStyle name="20% - Accent6 6 2 2 4" xfId="5816"/>
    <cellStyle name="20% - Accent6 6 2 2 4 2" xfId="13800"/>
    <cellStyle name="20% - Accent6 6 2 2 4 3" xfId="21748"/>
    <cellStyle name="20% - Accent6 6 2 2 5" xfId="9369"/>
    <cellStyle name="20% - Accent6 6 2 2 5 2" xfId="17327"/>
    <cellStyle name="20% - Accent6 6 2 2 5 3" xfId="25271"/>
    <cellStyle name="20% - Accent6 6 2 2 6" xfId="10265"/>
    <cellStyle name="20% - Accent6 6 2 2 7" xfId="18220"/>
    <cellStyle name="20% - Accent6 6 2 2_Exh G" xfId="2647"/>
    <cellStyle name="20% - Accent6 6 2 3" xfId="1344"/>
    <cellStyle name="20% - Accent6 6 2 3 2" xfId="4874"/>
    <cellStyle name="20% - Accent6 6 2 3 2 2" xfId="8465"/>
    <cellStyle name="20% - Accent6 6 2 3 2 2 2" xfId="16436"/>
    <cellStyle name="20% - Accent6 6 2 3 2 2 3" xfId="24382"/>
    <cellStyle name="20% - Accent6 6 2 3 2 3" xfId="12898"/>
    <cellStyle name="20% - Accent6 6 2 3 2 4" xfId="20853"/>
    <cellStyle name="20% - Accent6 6 2 3 3" xfId="6706"/>
    <cellStyle name="20% - Accent6 6 2 3 3 2" xfId="14678"/>
    <cellStyle name="20% - Accent6 6 2 3 3 3" xfId="22625"/>
    <cellStyle name="20% - Accent6 6 2 3 4" xfId="11142"/>
    <cellStyle name="20% - Accent6 6 2 3 5" xfId="19097"/>
    <cellStyle name="20% - Accent6 6 2 3_Exh G" xfId="2649"/>
    <cellStyle name="20% - Accent6 6 2 4" xfId="3995"/>
    <cellStyle name="20% - Accent6 6 2 4 2" xfId="7587"/>
    <cellStyle name="20% - Accent6 6 2 4 2 2" xfId="15558"/>
    <cellStyle name="20% - Accent6 6 2 4 2 3" xfId="23504"/>
    <cellStyle name="20% - Accent6 6 2 4 3" xfId="12020"/>
    <cellStyle name="20% - Accent6 6 2 4 4" xfId="19975"/>
    <cellStyle name="20% - Accent6 6 2 5" xfId="5815"/>
    <cellStyle name="20% - Accent6 6 2 5 2" xfId="13799"/>
    <cellStyle name="20% - Accent6 6 2 5 3" xfId="21747"/>
    <cellStyle name="20% - Accent6 6 2 6" xfId="9368"/>
    <cellStyle name="20% - Accent6 6 2 6 2" xfId="17326"/>
    <cellStyle name="20% - Accent6 6 2 6 3" xfId="25270"/>
    <cellStyle name="20% - Accent6 6 2 7" xfId="10264"/>
    <cellStyle name="20% - Accent6 6 2 8" xfId="18219"/>
    <cellStyle name="20% - Accent6 6 2_Exh G" xfId="2646"/>
    <cellStyle name="20% - Accent6 6 3" xfId="318"/>
    <cellStyle name="20% - Accent6 6 3 2" xfId="1346"/>
    <cellStyle name="20% - Accent6 6 3 2 2" xfId="4876"/>
    <cellStyle name="20% - Accent6 6 3 2 2 2" xfId="8467"/>
    <cellStyle name="20% - Accent6 6 3 2 2 2 2" xfId="16438"/>
    <cellStyle name="20% - Accent6 6 3 2 2 2 3" xfId="24384"/>
    <cellStyle name="20% - Accent6 6 3 2 2 3" xfId="12900"/>
    <cellStyle name="20% - Accent6 6 3 2 2 4" xfId="20855"/>
    <cellStyle name="20% - Accent6 6 3 2 3" xfId="6708"/>
    <cellStyle name="20% - Accent6 6 3 2 3 2" xfId="14680"/>
    <cellStyle name="20% - Accent6 6 3 2 3 3" xfId="22627"/>
    <cellStyle name="20% - Accent6 6 3 2 4" xfId="11144"/>
    <cellStyle name="20% - Accent6 6 3 2 5" xfId="19099"/>
    <cellStyle name="20% - Accent6 6 3 2_Exh G" xfId="2651"/>
    <cellStyle name="20% - Accent6 6 3 3" xfId="3997"/>
    <cellStyle name="20% - Accent6 6 3 3 2" xfId="7589"/>
    <cellStyle name="20% - Accent6 6 3 3 2 2" xfId="15560"/>
    <cellStyle name="20% - Accent6 6 3 3 2 3" xfId="23506"/>
    <cellStyle name="20% - Accent6 6 3 3 3" xfId="12022"/>
    <cellStyle name="20% - Accent6 6 3 3 4" xfId="19977"/>
    <cellStyle name="20% - Accent6 6 3 4" xfId="5817"/>
    <cellStyle name="20% - Accent6 6 3 4 2" xfId="13801"/>
    <cellStyle name="20% - Accent6 6 3 4 3" xfId="21749"/>
    <cellStyle name="20% - Accent6 6 3 5" xfId="9370"/>
    <cellStyle name="20% - Accent6 6 3 5 2" xfId="17328"/>
    <cellStyle name="20% - Accent6 6 3 5 3" xfId="25272"/>
    <cellStyle name="20% - Accent6 6 3 6" xfId="10266"/>
    <cellStyle name="20% - Accent6 6 3 7" xfId="18221"/>
    <cellStyle name="20% - Accent6 6 3_Exh G" xfId="2650"/>
    <cellStyle name="20% - Accent6 6 4" xfId="930"/>
    <cellStyle name="20% - Accent6 6 4 2" xfId="1855"/>
    <cellStyle name="20% - Accent6 6 4 2 2" xfId="5373"/>
    <cellStyle name="20% - Accent6 6 4 2 2 2" xfId="8964"/>
    <cellStyle name="20% - Accent6 6 4 2 2 2 2" xfId="16935"/>
    <cellStyle name="20% - Accent6 6 4 2 2 2 3" xfId="24881"/>
    <cellStyle name="20% - Accent6 6 4 2 2 3" xfId="13397"/>
    <cellStyle name="20% - Accent6 6 4 2 2 4" xfId="21352"/>
    <cellStyle name="20% - Accent6 6 4 2 3" xfId="7205"/>
    <cellStyle name="20% - Accent6 6 4 2 3 2" xfId="15177"/>
    <cellStyle name="20% - Accent6 6 4 2 3 3" xfId="23124"/>
    <cellStyle name="20% - Accent6 6 4 2 4" xfId="11641"/>
    <cellStyle name="20% - Accent6 6 4 2 5" xfId="19596"/>
    <cellStyle name="20% - Accent6 6 4 2_Exh G" xfId="2653"/>
    <cellStyle name="20% - Accent6 6 4 3" xfId="4494"/>
    <cellStyle name="20% - Accent6 6 4 3 2" xfId="8086"/>
    <cellStyle name="20% - Accent6 6 4 3 2 2" xfId="16057"/>
    <cellStyle name="20% - Accent6 6 4 3 2 3" xfId="24003"/>
    <cellStyle name="20% - Accent6 6 4 3 3" xfId="12519"/>
    <cellStyle name="20% - Accent6 6 4 3 4" xfId="20474"/>
    <cellStyle name="20% - Accent6 6 4 4" xfId="6324"/>
    <cellStyle name="20% - Accent6 6 4 4 2" xfId="14299"/>
    <cellStyle name="20% - Accent6 6 4 4 3" xfId="22246"/>
    <cellStyle name="20% - Accent6 6 4 5" xfId="9867"/>
    <cellStyle name="20% - Accent6 6 4 5 2" xfId="17825"/>
    <cellStyle name="20% - Accent6 6 4 5 3" xfId="25769"/>
    <cellStyle name="20% - Accent6 6 4 6" xfId="10763"/>
    <cellStyle name="20% - Accent6 6 4 7" xfId="18718"/>
    <cellStyle name="20% - Accent6 6 4_Exh G" xfId="2652"/>
    <cellStyle name="20% - Accent6 6 5" xfId="1343"/>
    <cellStyle name="20% - Accent6 6 5 2" xfId="4873"/>
    <cellStyle name="20% - Accent6 6 5 2 2" xfId="8464"/>
    <cellStyle name="20% - Accent6 6 5 2 2 2" xfId="16435"/>
    <cellStyle name="20% - Accent6 6 5 2 2 3" xfId="24381"/>
    <cellStyle name="20% - Accent6 6 5 2 3" xfId="12897"/>
    <cellStyle name="20% - Accent6 6 5 2 4" xfId="20852"/>
    <cellStyle name="20% - Accent6 6 5 3" xfId="6705"/>
    <cellStyle name="20% - Accent6 6 5 3 2" xfId="14677"/>
    <cellStyle name="20% - Accent6 6 5 3 3" xfId="22624"/>
    <cellStyle name="20% - Accent6 6 5 4" xfId="11141"/>
    <cellStyle name="20% - Accent6 6 5 5" xfId="19096"/>
    <cellStyle name="20% - Accent6 6 5_Exh G" xfId="2654"/>
    <cellStyle name="20% - Accent6 6 6" xfId="3994"/>
    <cellStyle name="20% - Accent6 6 6 2" xfId="7586"/>
    <cellStyle name="20% - Accent6 6 6 2 2" xfId="15557"/>
    <cellStyle name="20% - Accent6 6 6 2 3" xfId="23503"/>
    <cellStyle name="20% - Accent6 6 6 3" xfId="12019"/>
    <cellStyle name="20% - Accent6 6 6 4" xfId="19974"/>
    <cellStyle name="20% - Accent6 6 7" xfId="5814"/>
    <cellStyle name="20% - Accent6 6 7 2" xfId="13798"/>
    <cellStyle name="20% - Accent6 6 7 3" xfId="21746"/>
    <cellStyle name="20% - Accent6 6 8" xfId="9367"/>
    <cellStyle name="20% - Accent6 6 8 2" xfId="17325"/>
    <cellStyle name="20% - Accent6 6 8 3" xfId="25269"/>
    <cellStyle name="20% - Accent6 6 9" xfId="10263"/>
    <cellStyle name="20% - Accent6 6_Exh G" xfId="2645"/>
    <cellStyle name="20% - Accent6 7" xfId="319"/>
    <cellStyle name="20% - Accent6 7 10" xfId="18222"/>
    <cellStyle name="20% - Accent6 7 2" xfId="320"/>
    <cellStyle name="20% - Accent6 7 2 2" xfId="321"/>
    <cellStyle name="20% - Accent6 7 2 2 2" xfId="1349"/>
    <cellStyle name="20% - Accent6 7 2 2 2 2" xfId="4879"/>
    <cellStyle name="20% - Accent6 7 2 2 2 2 2" xfId="8470"/>
    <cellStyle name="20% - Accent6 7 2 2 2 2 2 2" xfId="16441"/>
    <cellStyle name="20% - Accent6 7 2 2 2 2 2 3" xfId="24387"/>
    <cellStyle name="20% - Accent6 7 2 2 2 2 3" xfId="12903"/>
    <cellStyle name="20% - Accent6 7 2 2 2 2 4" xfId="20858"/>
    <cellStyle name="20% - Accent6 7 2 2 2 3" xfId="6711"/>
    <cellStyle name="20% - Accent6 7 2 2 2 3 2" xfId="14683"/>
    <cellStyle name="20% - Accent6 7 2 2 2 3 3" xfId="22630"/>
    <cellStyle name="20% - Accent6 7 2 2 2 4" xfId="11147"/>
    <cellStyle name="20% - Accent6 7 2 2 2 5" xfId="19102"/>
    <cellStyle name="20% - Accent6 7 2 2 2_Exh G" xfId="2658"/>
    <cellStyle name="20% - Accent6 7 2 2 3" xfId="4000"/>
    <cellStyle name="20% - Accent6 7 2 2 3 2" xfId="7592"/>
    <cellStyle name="20% - Accent6 7 2 2 3 2 2" xfId="15563"/>
    <cellStyle name="20% - Accent6 7 2 2 3 2 3" xfId="23509"/>
    <cellStyle name="20% - Accent6 7 2 2 3 3" xfId="12025"/>
    <cellStyle name="20% - Accent6 7 2 2 3 4" xfId="19980"/>
    <cellStyle name="20% - Accent6 7 2 2 4" xfId="5820"/>
    <cellStyle name="20% - Accent6 7 2 2 4 2" xfId="13804"/>
    <cellStyle name="20% - Accent6 7 2 2 4 3" xfId="21752"/>
    <cellStyle name="20% - Accent6 7 2 2 5" xfId="9373"/>
    <cellStyle name="20% - Accent6 7 2 2 5 2" xfId="17331"/>
    <cellStyle name="20% - Accent6 7 2 2 5 3" xfId="25275"/>
    <cellStyle name="20% - Accent6 7 2 2 6" xfId="10269"/>
    <cellStyle name="20% - Accent6 7 2 2 7" xfId="18224"/>
    <cellStyle name="20% - Accent6 7 2 2_Exh G" xfId="2657"/>
    <cellStyle name="20% - Accent6 7 2 3" xfId="1348"/>
    <cellStyle name="20% - Accent6 7 2 3 2" xfId="4878"/>
    <cellStyle name="20% - Accent6 7 2 3 2 2" xfId="8469"/>
    <cellStyle name="20% - Accent6 7 2 3 2 2 2" xfId="16440"/>
    <cellStyle name="20% - Accent6 7 2 3 2 2 3" xfId="24386"/>
    <cellStyle name="20% - Accent6 7 2 3 2 3" xfId="12902"/>
    <cellStyle name="20% - Accent6 7 2 3 2 4" xfId="20857"/>
    <cellStyle name="20% - Accent6 7 2 3 3" xfId="6710"/>
    <cellStyle name="20% - Accent6 7 2 3 3 2" xfId="14682"/>
    <cellStyle name="20% - Accent6 7 2 3 3 3" xfId="22629"/>
    <cellStyle name="20% - Accent6 7 2 3 4" xfId="11146"/>
    <cellStyle name="20% - Accent6 7 2 3 5" xfId="19101"/>
    <cellStyle name="20% - Accent6 7 2 3_Exh G" xfId="2659"/>
    <cellStyle name="20% - Accent6 7 2 4" xfId="3999"/>
    <cellStyle name="20% - Accent6 7 2 4 2" xfId="7591"/>
    <cellStyle name="20% - Accent6 7 2 4 2 2" xfId="15562"/>
    <cellStyle name="20% - Accent6 7 2 4 2 3" xfId="23508"/>
    <cellStyle name="20% - Accent6 7 2 4 3" xfId="12024"/>
    <cellStyle name="20% - Accent6 7 2 4 4" xfId="19979"/>
    <cellStyle name="20% - Accent6 7 2 5" xfId="5819"/>
    <cellStyle name="20% - Accent6 7 2 5 2" xfId="13803"/>
    <cellStyle name="20% - Accent6 7 2 5 3" xfId="21751"/>
    <cellStyle name="20% - Accent6 7 2 6" xfId="9372"/>
    <cellStyle name="20% - Accent6 7 2 6 2" xfId="17330"/>
    <cellStyle name="20% - Accent6 7 2 6 3" xfId="25274"/>
    <cellStyle name="20% - Accent6 7 2 7" xfId="10268"/>
    <cellStyle name="20% - Accent6 7 2 8" xfId="18223"/>
    <cellStyle name="20% - Accent6 7 2_Exh G" xfId="2656"/>
    <cellStyle name="20% - Accent6 7 3" xfId="322"/>
    <cellStyle name="20% - Accent6 7 3 2" xfId="1350"/>
    <cellStyle name="20% - Accent6 7 3 2 2" xfId="4880"/>
    <cellStyle name="20% - Accent6 7 3 2 2 2" xfId="8471"/>
    <cellStyle name="20% - Accent6 7 3 2 2 2 2" xfId="16442"/>
    <cellStyle name="20% - Accent6 7 3 2 2 2 3" xfId="24388"/>
    <cellStyle name="20% - Accent6 7 3 2 2 3" xfId="12904"/>
    <cellStyle name="20% - Accent6 7 3 2 2 4" xfId="20859"/>
    <cellStyle name="20% - Accent6 7 3 2 3" xfId="6712"/>
    <cellStyle name="20% - Accent6 7 3 2 3 2" xfId="14684"/>
    <cellStyle name="20% - Accent6 7 3 2 3 3" xfId="22631"/>
    <cellStyle name="20% - Accent6 7 3 2 4" xfId="11148"/>
    <cellStyle name="20% - Accent6 7 3 2 5" xfId="19103"/>
    <cellStyle name="20% - Accent6 7 3 2_Exh G" xfId="2661"/>
    <cellStyle name="20% - Accent6 7 3 3" xfId="4001"/>
    <cellStyle name="20% - Accent6 7 3 3 2" xfId="7593"/>
    <cellStyle name="20% - Accent6 7 3 3 2 2" xfId="15564"/>
    <cellStyle name="20% - Accent6 7 3 3 2 3" xfId="23510"/>
    <cellStyle name="20% - Accent6 7 3 3 3" xfId="12026"/>
    <cellStyle name="20% - Accent6 7 3 3 4" xfId="19981"/>
    <cellStyle name="20% - Accent6 7 3 4" xfId="5821"/>
    <cellStyle name="20% - Accent6 7 3 4 2" xfId="13805"/>
    <cellStyle name="20% - Accent6 7 3 4 3" xfId="21753"/>
    <cellStyle name="20% - Accent6 7 3 5" xfId="9374"/>
    <cellStyle name="20% - Accent6 7 3 5 2" xfId="17332"/>
    <cellStyle name="20% - Accent6 7 3 5 3" xfId="25276"/>
    <cellStyle name="20% - Accent6 7 3 6" xfId="10270"/>
    <cellStyle name="20% - Accent6 7 3 7" xfId="18225"/>
    <cellStyle name="20% - Accent6 7 3_Exh G" xfId="2660"/>
    <cellStyle name="20% - Accent6 7 4" xfId="931"/>
    <cellStyle name="20% - Accent6 7 4 2" xfId="1856"/>
    <cellStyle name="20% - Accent6 7 4 2 2" xfId="5374"/>
    <cellStyle name="20% - Accent6 7 4 2 2 2" xfId="8965"/>
    <cellStyle name="20% - Accent6 7 4 2 2 2 2" xfId="16936"/>
    <cellStyle name="20% - Accent6 7 4 2 2 2 3" xfId="24882"/>
    <cellStyle name="20% - Accent6 7 4 2 2 3" xfId="13398"/>
    <cellStyle name="20% - Accent6 7 4 2 2 4" xfId="21353"/>
    <cellStyle name="20% - Accent6 7 4 2 3" xfId="7206"/>
    <cellStyle name="20% - Accent6 7 4 2 3 2" xfId="15178"/>
    <cellStyle name="20% - Accent6 7 4 2 3 3" xfId="23125"/>
    <cellStyle name="20% - Accent6 7 4 2 4" xfId="11642"/>
    <cellStyle name="20% - Accent6 7 4 2 5" xfId="19597"/>
    <cellStyle name="20% - Accent6 7 4 2_Exh G" xfId="2663"/>
    <cellStyle name="20% - Accent6 7 4 3" xfId="4495"/>
    <cellStyle name="20% - Accent6 7 4 3 2" xfId="8087"/>
    <cellStyle name="20% - Accent6 7 4 3 2 2" xfId="16058"/>
    <cellStyle name="20% - Accent6 7 4 3 2 3" xfId="24004"/>
    <cellStyle name="20% - Accent6 7 4 3 3" xfId="12520"/>
    <cellStyle name="20% - Accent6 7 4 3 4" xfId="20475"/>
    <cellStyle name="20% - Accent6 7 4 4" xfId="6325"/>
    <cellStyle name="20% - Accent6 7 4 4 2" xfId="14300"/>
    <cellStyle name="20% - Accent6 7 4 4 3" xfId="22247"/>
    <cellStyle name="20% - Accent6 7 4 5" xfId="9868"/>
    <cellStyle name="20% - Accent6 7 4 5 2" xfId="17826"/>
    <cellStyle name="20% - Accent6 7 4 5 3" xfId="25770"/>
    <cellStyle name="20% - Accent6 7 4 6" xfId="10764"/>
    <cellStyle name="20% - Accent6 7 4 7" xfId="18719"/>
    <cellStyle name="20% - Accent6 7 4_Exh G" xfId="2662"/>
    <cellStyle name="20% - Accent6 7 5" xfId="1347"/>
    <cellStyle name="20% - Accent6 7 5 2" xfId="4877"/>
    <cellStyle name="20% - Accent6 7 5 2 2" xfId="8468"/>
    <cellStyle name="20% - Accent6 7 5 2 2 2" xfId="16439"/>
    <cellStyle name="20% - Accent6 7 5 2 2 3" xfId="24385"/>
    <cellStyle name="20% - Accent6 7 5 2 3" xfId="12901"/>
    <cellStyle name="20% - Accent6 7 5 2 4" xfId="20856"/>
    <cellStyle name="20% - Accent6 7 5 3" xfId="6709"/>
    <cellStyle name="20% - Accent6 7 5 3 2" xfId="14681"/>
    <cellStyle name="20% - Accent6 7 5 3 3" xfId="22628"/>
    <cellStyle name="20% - Accent6 7 5 4" xfId="11145"/>
    <cellStyle name="20% - Accent6 7 5 5" xfId="19100"/>
    <cellStyle name="20% - Accent6 7 5_Exh G" xfId="2664"/>
    <cellStyle name="20% - Accent6 7 6" xfId="3998"/>
    <cellStyle name="20% - Accent6 7 6 2" xfId="7590"/>
    <cellStyle name="20% - Accent6 7 6 2 2" xfId="15561"/>
    <cellStyle name="20% - Accent6 7 6 2 3" xfId="23507"/>
    <cellStyle name="20% - Accent6 7 6 3" xfId="12023"/>
    <cellStyle name="20% - Accent6 7 6 4" xfId="19978"/>
    <cellStyle name="20% - Accent6 7 7" xfId="5818"/>
    <cellStyle name="20% - Accent6 7 7 2" xfId="13802"/>
    <cellStyle name="20% - Accent6 7 7 3" xfId="21750"/>
    <cellStyle name="20% - Accent6 7 8" xfId="9371"/>
    <cellStyle name="20% - Accent6 7 8 2" xfId="17329"/>
    <cellStyle name="20% - Accent6 7 8 3" xfId="25273"/>
    <cellStyle name="20% - Accent6 7 9" xfId="10267"/>
    <cellStyle name="20% - Accent6 7_Exh G" xfId="2655"/>
    <cellStyle name="20% - Accent6 8" xfId="323"/>
    <cellStyle name="20% - Accent6 8 10" xfId="18226"/>
    <cellStyle name="20% - Accent6 8 2" xfId="324"/>
    <cellStyle name="20% - Accent6 8 2 2" xfId="325"/>
    <cellStyle name="20% - Accent6 8 2 2 2" xfId="1353"/>
    <cellStyle name="20% - Accent6 8 2 2 2 2" xfId="4883"/>
    <cellStyle name="20% - Accent6 8 2 2 2 2 2" xfId="8474"/>
    <cellStyle name="20% - Accent6 8 2 2 2 2 2 2" xfId="16445"/>
    <cellStyle name="20% - Accent6 8 2 2 2 2 2 3" xfId="24391"/>
    <cellStyle name="20% - Accent6 8 2 2 2 2 3" xfId="12907"/>
    <cellStyle name="20% - Accent6 8 2 2 2 2 4" xfId="20862"/>
    <cellStyle name="20% - Accent6 8 2 2 2 3" xfId="6715"/>
    <cellStyle name="20% - Accent6 8 2 2 2 3 2" xfId="14687"/>
    <cellStyle name="20% - Accent6 8 2 2 2 3 3" xfId="22634"/>
    <cellStyle name="20% - Accent6 8 2 2 2 4" xfId="11151"/>
    <cellStyle name="20% - Accent6 8 2 2 2 5" xfId="19106"/>
    <cellStyle name="20% - Accent6 8 2 2 2_Exh G" xfId="2668"/>
    <cellStyle name="20% - Accent6 8 2 2 3" xfId="4004"/>
    <cellStyle name="20% - Accent6 8 2 2 3 2" xfId="7596"/>
    <cellStyle name="20% - Accent6 8 2 2 3 2 2" xfId="15567"/>
    <cellStyle name="20% - Accent6 8 2 2 3 2 3" xfId="23513"/>
    <cellStyle name="20% - Accent6 8 2 2 3 3" xfId="12029"/>
    <cellStyle name="20% - Accent6 8 2 2 3 4" xfId="19984"/>
    <cellStyle name="20% - Accent6 8 2 2 4" xfId="5824"/>
    <cellStyle name="20% - Accent6 8 2 2 4 2" xfId="13808"/>
    <cellStyle name="20% - Accent6 8 2 2 4 3" xfId="21756"/>
    <cellStyle name="20% - Accent6 8 2 2 5" xfId="9377"/>
    <cellStyle name="20% - Accent6 8 2 2 5 2" xfId="17335"/>
    <cellStyle name="20% - Accent6 8 2 2 5 3" xfId="25279"/>
    <cellStyle name="20% - Accent6 8 2 2 6" xfId="10273"/>
    <cellStyle name="20% - Accent6 8 2 2 7" xfId="18228"/>
    <cellStyle name="20% - Accent6 8 2 2_Exh G" xfId="2667"/>
    <cellStyle name="20% - Accent6 8 2 3" xfId="1352"/>
    <cellStyle name="20% - Accent6 8 2 3 2" xfId="4882"/>
    <cellStyle name="20% - Accent6 8 2 3 2 2" xfId="8473"/>
    <cellStyle name="20% - Accent6 8 2 3 2 2 2" xfId="16444"/>
    <cellStyle name="20% - Accent6 8 2 3 2 2 3" xfId="24390"/>
    <cellStyle name="20% - Accent6 8 2 3 2 3" xfId="12906"/>
    <cellStyle name="20% - Accent6 8 2 3 2 4" xfId="20861"/>
    <cellStyle name="20% - Accent6 8 2 3 3" xfId="6714"/>
    <cellStyle name="20% - Accent6 8 2 3 3 2" xfId="14686"/>
    <cellStyle name="20% - Accent6 8 2 3 3 3" xfId="22633"/>
    <cellStyle name="20% - Accent6 8 2 3 4" xfId="11150"/>
    <cellStyle name="20% - Accent6 8 2 3 5" xfId="19105"/>
    <cellStyle name="20% - Accent6 8 2 3_Exh G" xfId="2669"/>
    <cellStyle name="20% - Accent6 8 2 4" xfId="4003"/>
    <cellStyle name="20% - Accent6 8 2 4 2" xfId="7595"/>
    <cellStyle name="20% - Accent6 8 2 4 2 2" xfId="15566"/>
    <cellStyle name="20% - Accent6 8 2 4 2 3" xfId="23512"/>
    <cellStyle name="20% - Accent6 8 2 4 3" xfId="12028"/>
    <cellStyle name="20% - Accent6 8 2 4 4" xfId="19983"/>
    <cellStyle name="20% - Accent6 8 2 5" xfId="5823"/>
    <cellStyle name="20% - Accent6 8 2 5 2" xfId="13807"/>
    <cellStyle name="20% - Accent6 8 2 5 3" xfId="21755"/>
    <cellStyle name="20% - Accent6 8 2 6" xfId="9376"/>
    <cellStyle name="20% - Accent6 8 2 6 2" xfId="17334"/>
    <cellStyle name="20% - Accent6 8 2 6 3" xfId="25278"/>
    <cellStyle name="20% - Accent6 8 2 7" xfId="10272"/>
    <cellStyle name="20% - Accent6 8 2 8" xfId="18227"/>
    <cellStyle name="20% - Accent6 8 2_Exh G" xfId="2666"/>
    <cellStyle name="20% - Accent6 8 3" xfId="326"/>
    <cellStyle name="20% - Accent6 8 3 2" xfId="1354"/>
    <cellStyle name="20% - Accent6 8 3 2 2" xfId="4884"/>
    <cellStyle name="20% - Accent6 8 3 2 2 2" xfId="8475"/>
    <cellStyle name="20% - Accent6 8 3 2 2 2 2" xfId="16446"/>
    <cellStyle name="20% - Accent6 8 3 2 2 2 3" xfId="24392"/>
    <cellStyle name="20% - Accent6 8 3 2 2 3" xfId="12908"/>
    <cellStyle name="20% - Accent6 8 3 2 2 4" xfId="20863"/>
    <cellStyle name="20% - Accent6 8 3 2 3" xfId="6716"/>
    <cellStyle name="20% - Accent6 8 3 2 3 2" xfId="14688"/>
    <cellStyle name="20% - Accent6 8 3 2 3 3" xfId="22635"/>
    <cellStyle name="20% - Accent6 8 3 2 4" xfId="11152"/>
    <cellStyle name="20% - Accent6 8 3 2 5" xfId="19107"/>
    <cellStyle name="20% - Accent6 8 3 2_Exh G" xfId="2671"/>
    <cellStyle name="20% - Accent6 8 3 3" xfId="4005"/>
    <cellStyle name="20% - Accent6 8 3 3 2" xfId="7597"/>
    <cellStyle name="20% - Accent6 8 3 3 2 2" xfId="15568"/>
    <cellStyle name="20% - Accent6 8 3 3 2 3" xfId="23514"/>
    <cellStyle name="20% - Accent6 8 3 3 3" xfId="12030"/>
    <cellStyle name="20% - Accent6 8 3 3 4" xfId="19985"/>
    <cellStyle name="20% - Accent6 8 3 4" xfId="5825"/>
    <cellStyle name="20% - Accent6 8 3 4 2" xfId="13809"/>
    <cellStyle name="20% - Accent6 8 3 4 3" xfId="21757"/>
    <cellStyle name="20% - Accent6 8 3 5" xfId="9378"/>
    <cellStyle name="20% - Accent6 8 3 5 2" xfId="17336"/>
    <cellStyle name="20% - Accent6 8 3 5 3" xfId="25280"/>
    <cellStyle name="20% - Accent6 8 3 6" xfId="10274"/>
    <cellStyle name="20% - Accent6 8 3 7" xfId="18229"/>
    <cellStyle name="20% - Accent6 8 3_Exh G" xfId="2670"/>
    <cellStyle name="20% - Accent6 8 4" xfId="932"/>
    <cellStyle name="20% - Accent6 8 4 2" xfId="1857"/>
    <cellStyle name="20% - Accent6 8 4 2 2" xfId="5375"/>
    <cellStyle name="20% - Accent6 8 4 2 2 2" xfId="8966"/>
    <cellStyle name="20% - Accent6 8 4 2 2 2 2" xfId="16937"/>
    <cellStyle name="20% - Accent6 8 4 2 2 2 3" xfId="24883"/>
    <cellStyle name="20% - Accent6 8 4 2 2 3" xfId="13399"/>
    <cellStyle name="20% - Accent6 8 4 2 2 4" xfId="21354"/>
    <cellStyle name="20% - Accent6 8 4 2 3" xfId="7207"/>
    <cellStyle name="20% - Accent6 8 4 2 3 2" xfId="15179"/>
    <cellStyle name="20% - Accent6 8 4 2 3 3" xfId="23126"/>
    <cellStyle name="20% - Accent6 8 4 2 4" xfId="11643"/>
    <cellStyle name="20% - Accent6 8 4 2 5" xfId="19598"/>
    <cellStyle name="20% - Accent6 8 4 2_Exh G" xfId="2673"/>
    <cellStyle name="20% - Accent6 8 4 3" xfId="4496"/>
    <cellStyle name="20% - Accent6 8 4 3 2" xfId="8088"/>
    <cellStyle name="20% - Accent6 8 4 3 2 2" xfId="16059"/>
    <cellStyle name="20% - Accent6 8 4 3 2 3" xfId="24005"/>
    <cellStyle name="20% - Accent6 8 4 3 3" xfId="12521"/>
    <cellStyle name="20% - Accent6 8 4 3 4" xfId="20476"/>
    <cellStyle name="20% - Accent6 8 4 4" xfId="6326"/>
    <cellStyle name="20% - Accent6 8 4 4 2" xfId="14301"/>
    <cellStyle name="20% - Accent6 8 4 4 3" xfId="22248"/>
    <cellStyle name="20% - Accent6 8 4 5" xfId="9869"/>
    <cellStyle name="20% - Accent6 8 4 5 2" xfId="17827"/>
    <cellStyle name="20% - Accent6 8 4 5 3" xfId="25771"/>
    <cellStyle name="20% - Accent6 8 4 6" xfId="10765"/>
    <cellStyle name="20% - Accent6 8 4 7" xfId="18720"/>
    <cellStyle name="20% - Accent6 8 4_Exh G" xfId="2672"/>
    <cellStyle name="20% - Accent6 8 5" xfId="1351"/>
    <cellStyle name="20% - Accent6 8 5 2" xfId="4881"/>
    <cellStyle name="20% - Accent6 8 5 2 2" xfId="8472"/>
    <cellStyle name="20% - Accent6 8 5 2 2 2" xfId="16443"/>
    <cellStyle name="20% - Accent6 8 5 2 2 3" xfId="24389"/>
    <cellStyle name="20% - Accent6 8 5 2 3" xfId="12905"/>
    <cellStyle name="20% - Accent6 8 5 2 4" xfId="20860"/>
    <cellStyle name="20% - Accent6 8 5 3" xfId="6713"/>
    <cellStyle name="20% - Accent6 8 5 3 2" xfId="14685"/>
    <cellStyle name="20% - Accent6 8 5 3 3" xfId="22632"/>
    <cellStyle name="20% - Accent6 8 5 4" xfId="11149"/>
    <cellStyle name="20% - Accent6 8 5 5" xfId="19104"/>
    <cellStyle name="20% - Accent6 8 5_Exh G" xfId="2674"/>
    <cellStyle name="20% - Accent6 8 6" xfId="4002"/>
    <cellStyle name="20% - Accent6 8 6 2" xfId="7594"/>
    <cellStyle name="20% - Accent6 8 6 2 2" xfId="15565"/>
    <cellStyle name="20% - Accent6 8 6 2 3" xfId="23511"/>
    <cellStyle name="20% - Accent6 8 6 3" xfId="12027"/>
    <cellStyle name="20% - Accent6 8 6 4" xfId="19982"/>
    <cellStyle name="20% - Accent6 8 7" xfId="5822"/>
    <cellStyle name="20% - Accent6 8 7 2" xfId="13806"/>
    <cellStyle name="20% - Accent6 8 7 3" xfId="21754"/>
    <cellStyle name="20% - Accent6 8 8" xfId="9375"/>
    <cellStyle name="20% - Accent6 8 8 2" xfId="17333"/>
    <cellStyle name="20% - Accent6 8 8 3" xfId="25277"/>
    <cellStyle name="20% - Accent6 8 9" xfId="10271"/>
    <cellStyle name="20% - Accent6 8_Exh G" xfId="2665"/>
    <cellStyle name="20% - Accent6 9" xfId="327"/>
    <cellStyle name="20% - Accent6 9 10" xfId="18230"/>
    <cellStyle name="20% - Accent6 9 2" xfId="328"/>
    <cellStyle name="20% - Accent6 9 2 2" xfId="329"/>
    <cellStyle name="20% - Accent6 9 2 2 2" xfId="1357"/>
    <cellStyle name="20% - Accent6 9 2 2 2 2" xfId="4887"/>
    <cellStyle name="20% - Accent6 9 2 2 2 2 2" xfId="8478"/>
    <cellStyle name="20% - Accent6 9 2 2 2 2 2 2" xfId="16449"/>
    <cellStyle name="20% - Accent6 9 2 2 2 2 2 3" xfId="24395"/>
    <cellStyle name="20% - Accent6 9 2 2 2 2 3" xfId="12911"/>
    <cellStyle name="20% - Accent6 9 2 2 2 2 4" xfId="20866"/>
    <cellStyle name="20% - Accent6 9 2 2 2 3" xfId="6719"/>
    <cellStyle name="20% - Accent6 9 2 2 2 3 2" xfId="14691"/>
    <cellStyle name="20% - Accent6 9 2 2 2 3 3" xfId="22638"/>
    <cellStyle name="20% - Accent6 9 2 2 2 4" xfId="11155"/>
    <cellStyle name="20% - Accent6 9 2 2 2 5" xfId="19110"/>
    <cellStyle name="20% - Accent6 9 2 2 2_Exh G" xfId="2678"/>
    <cellStyle name="20% - Accent6 9 2 2 3" xfId="4008"/>
    <cellStyle name="20% - Accent6 9 2 2 3 2" xfId="7600"/>
    <cellStyle name="20% - Accent6 9 2 2 3 2 2" xfId="15571"/>
    <cellStyle name="20% - Accent6 9 2 2 3 2 3" xfId="23517"/>
    <cellStyle name="20% - Accent6 9 2 2 3 3" xfId="12033"/>
    <cellStyle name="20% - Accent6 9 2 2 3 4" xfId="19988"/>
    <cellStyle name="20% - Accent6 9 2 2 4" xfId="5828"/>
    <cellStyle name="20% - Accent6 9 2 2 4 2" xfId="13812"/>
    <cellStyle name="20% - Accent6 9 2 2 4 3" xfId="21760"/>
    <cellStyle name="20% - Accent6 9 2 2 5" xfId="9381"/>
    <cellStyle name="20% - Accent6 9 2 2 5 2" xfId="17339"/>
    <cellStyle name="20% - Accent6 9 2 2 5 3" xfId="25283"/>
    <cellStyle name="20% - Accent6 9 2 2 6" xfId="10277"/>
    <cellStyle name="20% - Accent6 9 2 2 7" xfId="18232"/>
    <cellStyle name="20% - Accent6 9 2 2_Exh G" xfId="2677"/>
    <cellStyle name="20% - Accent6 9 2 3" xfId="1356"/>
    <cellStyle name="20% - Accent6 9 2 3 2" xfId="4886"/>
    <cellStyle name="20% - Accent6 9 2 3 2 2" xfId="8477"/>
    <cellStyle name="20% - Accent6 9 2 3 2 2 2" xfId="16448"/>
    <cellStyle name="20% - Accent6 9 2 3 2 2 3" xfId="24394"/>
    <cellStyle name="20% - Accent6 9 2 3 2 3" xfId="12910"/>
    <cellStyle name="20% - Accent6 9 2 3 2 4" xfId="20865"/>
    <cellStyle name="20% - Accent6 9 2 3 3" xfId="6718"/>
    <cellStyle name="20% - Accent6 9 2 3 3 2" xfId="14690"/>
    <cellStyle name="20% - Accent6 9 2 3 3 3" xfId="22637"/>
    <cellStyle name="20% - Accent6 9 2 3 4" xfId="11154"/>
    <cellStyle name="20% - Accent6 9 2 3 5" xfId="19109"/>
    <cellStyle name="20% - Accent6 9 2 3_Exh G" xfId="2679"/>
    <cellStyle name="20% - Accent6 9 2 4" xfId="4007"/>
    <cellStyle name="20% - Accent6 9 2 4 2" xfId="7599"/>
    <cellStyle name="20% - Accent6 9 2 4 2 2" xfId="15570"/>
    <cellStyle name="20% - Accent6 9 2 4 2 3" xfId="23516"/>
    <cellStyle name="20% - Accent6 9 2 4 3" xfId="12032"/>
    <cellStyle name="20% - Accent6 9 2 4 4" xfId="19987"/>
    <cellStyle name="20% - Accent6 9 2 5" xfId="5827"/>
    <cellStyle name="20% - Accent6 9 2 5 2" xfId="13811"/>
    <cellStyle name="20% - Accent6 9 2 5 3" xfId="21759"/>
    <cellStyle name="20% - Accent6 9 2 6" xfId="9380"/>
    <cellStyle name="20% - Accent6 9 2 6 2" xfId="17338"/>
    <cellStyle name="20% - Accent6 9 2 6 3" xfId="25282"/>
    <cellStyle name="20% - Accent6 9 2 7" xfId="10276"/>
    <cellStyle name="20% - Accent6 9 2 8" xfId="18231"/>
    <cellStyle name="20% - Accent6 9 2_Exh G" xfId="2676"/>
    <cellStyle name="20% - Accent6 9 3" xfId="330"/>
    <cellStyle name="20% - Accent6 9 3 2" xfId="1358"/>
    <cellStyle name="20% - Accent6 9 3 2 2" xfId="4888"/>
    <cellStyle name="20% - Accent6 9 3 2 2 2" xfId="8479"/>
    <cellStyle name="20% - Accent6 9 3 2 2 2 2" xfId="16450"/>
    <cellStyle name="20% - Accent6 9 3 2 2 2 3" xfId="24396"/>
    <cellStyle name="20% - Accent6 9 3 2 2 3" xfId="12912"/>
    <cellStyle name="20% - Accent6 9 3 2 2 4" xfId="20867"/>
    <cellStyle name="20% - Accent6 9 3 2 3" xfId="6720"/>
    <cellStyle name="20% - Accent6 9 3 2 3 2" xfId="14692"/>
    <cellStyle name="20% - Accent6 9 3 2 3 3" xfId="22639"/>
    <cellStyle name="20% - Accent6 9 3 2 4" xfId="11156"/>
    <cellStyle name="20% - Accent6 9 3 2 5" xfId="19111"/>
    <cellStyle name="20% - Accent6 9 3 2_Exh G" xfId="2681"/>
    <cellStyle name="20% - Accent6 9 3 3" xfId="4009"/>
    <cellStyle name="20% - Accent6 9 3 3 2" xfId="7601"/>
    <cellStyle name="20% - Accent6 9 3 3 2 2" xfId="15572"/>
    <cellStyle name="20% - Accent6 9 3 3 2 3" xfId="23518"/>
    <cellStyle name="20% - Accent6 9 3 3 3" xfId="12034"/>
    <cellStyle name="20% - Accent6 9 3 3 4" xfId="19989"/>
    <cellStyle name="20% - Accent6 9 3 4" xfId="5829"/>
    <cellStyle name="20% - Accent6 9 3 4 2" xfId="13813"/>
    <cellStyle name="20% - Accent6 9 3 4 3" xfId="21761"/>
    <cellStyle name="20% - Accent6 9 3 5" xfId="9382"/>
    <cellStyle name="20% - Accent6 9 3 5 2" xfId="17340"/>
    <cellStyle name="20% - Accent6 9 3 5 3" xfId="25284"/>
    <cellStyle name="20% - Accent6 9 3 6" xfId="10278"/>
    <cellStyle name="20% - Accent6 9 3 7" xfId="18233"/>
    <cellStyle name="20% - Accent6 9 3_Exh G" xfId="2680"/>
    <cellStyle name="20% - Accent6 9 4" xfId="933"/>
    <cellStyle name="20% - Accent6 9 4 2" xfId="1858"/>
    <cellStyle name="20% - Accent6 9 4 2 2" xfId="5376"/>
    <cellStyle name="20% - Accent6 9 4 2 2 2" xfId="8967"/>
    <cellStyle name="20% - Accent6 9 4 2 2 2 2" xfId="16938"/>
    <cellStyle name="20% - Accent6 9 4 2 2 2 3" xfId="24884"/>
    <cellStyle name="20% - Accent6 9 4 2 2 3" xfId="13400"/>
    <cellStyle name="20% - Accent6 9 4 2 2 4" xfId="21355"/>
    <cellStyle name="20% - Accent6 9 4 2 3" xfId="7208"/>
    <cellStyle name="20% - Accent6 9 4 2 3 2" xfId="15180"/>
    <cellStyle name="20% - Accent6 9 4 2 3 3" xfId="23127"/>
    <cellStyle name="20% - Accent6 9 4 2 4" xfId="11644"/>
    <cellStyle name="20% - Accent6 9 4 2 5" xfId="19599"/>
    <cellStyle name="20% - Accent6 9 4 2_Exh G" xfId="2683"/>
    <cellStyle name="20% - Accent6 9 4 3" xfId="4497"/>
    <cellStyle name="20% - Accent6 9 4 3 2" xfId="8089"/>
    <cellStyle name="20% - Accent6 9 4 3 2 2" xfId="16060"/>
    <cellStyle name="20% - Accent6 9 4 3 2 3" xfId="24006"/>
    <cellStyle name="20% - Accent6 9 4 3 3" xfId="12522"/>
    <cellStyle name="20% - Accent6 9 4 3 4" xfId="20477"/>
    <cellStyle name="20% - Accent6 9 4 4" xfId="6327"/>
    <cellStyle name="20% - Accent6 9 4 4 2" xfId="14302"/>
    <cellStyle name="20% - Accent6 9 4 4 3" xfId="22249"/>
    <cellStyle name="20% - Accent6 9 4 5" xfId="9870"/>
    <cellStyle name="20% - Accent6 9 4 5 2" xfId="17828"/>
    <cellStyle name="20% - Accent6 9 4 5 3" xfId="25772"/>
    <cellStyle name="20% - Accent6 9 4 6" xfId="10766"/>
    <cellStyle name="20% - Accent6 9 4 7" xfId="18721"/>
    <cellStyle name="20% - Accent6 9 4_Exh G" xfId="2682"/>
    <cellStyle name="20% - Accent6 9 5" xfId="1355"/>
    <cellStyle name="20% - Accent6 9 5 2" xfId="4885"/>
    <cellStyle name="20% - Accent6 9 5 2 2" xfId="8476"/>
    <cellStyle name="20% - Accent6 9 5 2 2 2" xfId="16447"/>
    <cellStyle name="20% - Accent6 9 5 2 2 3" xfId="24393"/>
    <cellStyle name="20% - Accent6 9 5 2 3" xfId="12909"/>
    <cellStyle name="20% - Accent6 9 5 2 4" xfId="20864"/>
    <cellStyle name="20% - Accent6 9 5 3" xfId="6717"/>
    <cellStyle name="20% - Accent6 9 5 3 2" xfId="14689"/>
    <cellStyle name="20% - Accent6 9 5 3 3" xfId="22636"/>
    <cellStyle name="20% - Accent6 9 5 4" xfId="11153"/>
    <cellStyle name="20% - Accent6 9 5 5" xfId="19108"/>
    <cellStyle name="20% - Accent6 9 5_Exh G" xfId="2684"/>
    <cellStyle name="20% - Accent6 9 6" xfId="4006"/>
    <cellStyle name="20% - Accent6 9 6 2" xfId="7598"/>
    <cellStyle name="20% - Accent6 9 6 2 2" xfId="15569"/>
    <cellStyle name="20% - Accent6 9 6 2 3" xfId="23515"/>
    <cellStyle name="20% - Accent6 9 6 3" xfId="12031"/>
    <cellStyle name="20% - Accent6 9 6 4" xfId="19986"/>
    <cellStyle name="20% - Accent6 9 7" xfId="5826"/>
    <cellStyle name="20% - Accent6 9 7 2" xfId="13810"/>
    <cellStyle name="20% - Accent6 9 7 3" xfId="21758"/>
    <cellStyle name="20% - Accent6 9 8" xfId="9379"/>
    <cellStyle name="20% - Accent6 9 8 2" xfId="17337"/>
    <cellStyle name="20% - Accent6 9 8 3" xfId="25281"/>
    <cellStyle name="20% - Accent6 9 9" xfId="10275"/>
    <cellStyle name="20% - Accent6 9_Exh G" xfId="2675"/>
    <cellStyle name="40% - Accent1 10" xfId="331"/>
    <cellStyle name="40% - Accent1 10 10" xfId="18234"/>
    <cellStyle name="40% - Accent1 10 2" xfId="332"/>
    <cellStyle name="40% - Accent1 10 2 2" xfId="333"/>
    <cellStyle name="40% - Accent1 10 2 2 2" xfId="1361"/>
    <cellStyle name="40% - Accent1 10 2 2 2 2" xfId="4891"/>
    <cellStyle name="40% - Accent1 10 2 2 2 2 2" xfId="8482"/>
    <cellStyle name="40% - Accent1 10 2 2 2 2 2 2" xfId="16453"/>
    <cellStyle name="40% - Accent1 10 2 2 2 2 2 3" xfId="24399"/>
    <cellStyle name="40% - Accent1 10 2 2 2 2 3" xfId="12915"/>
    <cellStyle name="40% - Accent1 10 2 2 2 2 4" xfId="20870"/>
    <cellStyle name="40% - Accent1 10 2 2 2 3" xfId="6723"/>
    <cellStyle name="40% - Accent1 10 2 2 2 3 2" xfId="14695"/>
    <cellStyle name="40% - Accent1 10 2 2 2 3 3" xfId="22642"/>
    <cellStyle name="40% - Accent1 10 2 2 2 4" xfId="11159"/>
    <cellStyle name="40% - Accent1 10 2 2 2 5" xfId="19114"/>
    <cellStyle name="40% - Accent1 10 2 2 2_Exh G" xfId="2688"/>
    <cellStyle name="40% - Accent1 10 2 2 3" xfId="4012"/>
    <cellStyle name="40% - Accent1 10 2 2 3 2" xfId="7604"/>
    <cellStyle name="40% - Accent1 10 2 2 3 2 2" xfId="15575"/>
    <cellStyle name="40% - Accent1 10 2 2 3 2 3" xfId="23521"/>
    <cellStyle name="40% - Accent1 10 2 2 3 3" xfId="12037"/>
    <cellStyle name="40% - Accent1 10 2 2 3 4" xfId="19992"/>
    <cellStyle name="40% - Accent1 10 2 2 4" xfId="5832"/>
    <cellStyle name="40% - Accent1 10 2 2 4 2" xfId="13816"/>
    <cellStyle name="40% - Accent1 10 2 2 4 3" xfId="21764"/>
    <cellStyle name="40% - Accent1 10 2 2 5" xfId="9385"/>
    <cellStyle name="40% - Accent1 10 2 2 5 2" xfId="17343"/>
    <cellStyle name="40% - Accent1 10 2 2 5 3" xfId="25287"/>
    <cellStyle name="40% - Accent1 10 2 2 6" xfId="10281"/>
    <cellStyle name="40% - Accent1 10 2 2 7" xfId="18236"/>
    <cellStyle name="40% - Accent1 10 2 2_Exh G" xfId="2687"/>
    <cellStyle name="40% - Accent1 10 2 3" xfId="1360"/>
    <cellStyle name="40% - Accent1 10 2 3 2" xfId="4890"/>
    <cellStyle name="40% - Accent1 10 2 3 2 2" xfId="8481"/>
    <cellStyle name="40% - Accent1 10 2 3 2 2 2" xfId="16452"/>
    <cellStyle name="40% - Accent1 10 2 3 2 2 3" xfId="24398"/>
    <cellStyle name="40% - Accent1 10 2 3 2 3" xfId="12914"/>
    <cellStyle name="40% - Accent1 10 2 3 2 4" xfId="20869"/>
    <cellStyle name="40% - Accent1 10 2 3 3" xfId="6722"/>
    <cellStyle name="40% - Accent1 10 2 3 3 2" xfId="14694"/>
    <cellStyle name="40% - Accent1 10 2 3 3 3" xfId="22641"/>
    <cellStyle name="40% - Accent1 10 2 3 4" xfId="11158"/>
    <cellStyle name="40% - Accent1 10 2 3 5" xfId="19113"/>
    <cellStyle name="40% - Accent1 10 2 3_Exh G" xfId="2689"/>
    <cellStyle name="40% - Accent1 10 2 4" xfId="4011"/>
    <cellStyle name="40% - Accent1 10 2 4 2" xfId="7603"/>
    <cellStyle name="40% - Accent1 10 2 4 2 2" xfId="15574"/>
    <cellStyle name="40% - Accent1 10 2 4 2 3" xfId="23520"/>
    <cellStyle name="40% - Accent1 10 2 4 3" xfId="12036"/>
    <cellStyle name="40% - Accent1 10 2 4 4" xfId="19991"/>
    <cellStyle name="40% - Accent1 10 2 5" xfId="5831"/>
    <cellStyle name="40% - Accent1 10 2 5 2" xfId="13815"/>
    <cellStyle name="40% - Accent1 10 2 5 3" xfId="21763"/>
    <cellStyle name="40% - Accent1 10 2 6" xfId="9384"/>
    <cellStyle name="40% - Accent1 10 2 6 2" xfId="17342"/>
    <cellStyle name="40% - Accent1 10 2 6 3" xfId="25286"/>
    <cellStyle name="40% - Accent1 10 2 7" xfId="10280"/>
    <cellStyle name="40% - Accent1 10 2 8" xfId="18235"/>
    <cellStyle name="40% - Accent1 10 2_Exh G" xfId="2686"/>
    <cellStyle name="40% - Accent1 10 3" xfId="334"/>
    <cellStyle name="40% - Accent1 10 3 2" xfId="1362"/>
    <cellStyle name="40% - Accent1 10 3 2 2" xfId="4892"/>
    <cellStyle name="40% - Accent1 10 3 2 2 2" xfId="8483"/>
    <cellStyle name="40% - Accent1 10 3 2 2 2 2" xfId="16454"/>
    <cellStyle name="40% - Accent1 10 3 2 2 2 3" xfId="24400"/>
    <cellStyle name="40% - Accent1 10 3 2 2 3" xfId="12916"/>
    <cellStyle name="40% - Accent1 10 3 2 2 4" xfId="20871"/>
    <cellStyle name="40% - Accent1 10 3 2 3" xfId="6724"/>
    <cellStyle name="40% - Accent1 10 3 2 3 2" xfId="14696"/>
    <cellStyle name="40% - Accent1 10 3 2 3 3" xfId="22643"/>
    <cellStyle name="40% - Accent1 10 3 2 4" xfId="11160"/>
    <cellStyle name="40% - Accent1 10 3 2 5" xfId="19115"/>
    <cellStyle name="40% - Accent1 10 3 2_Exh G" xfId="2691"/>
    <cellStyle name="40% - Accent1 10 3 3" xfId="4013"/>
    <cellStyle name="40% - Accent1 10 3 3 2" xfId="7605"/>
    <cellStyle name="40% - Accent1 10 3 3 2 2" xfId="15576"/>
    <cellStyle name="40% - Accent1 10 3 3 2 3" xfId="23522"/>
    <cellStyle name="40% - Accent1 10 3 3 3" xfId="12038"/>
    <cellStyle name="40% - Accent1 10 3 3 4" xfId="19993"/>
    <cellStyle name="40% - Accent1 10 3 4" xfId="5833"/>
    <cellStyle name="40% - Accent1 10 3 4 2" xfId="13817"/>
    <cellStyle name="40% - Accent1 10 3 4 3" xfId="21765"/>
    <cellStyle name="40% - Accent1 10 3 5" xfId="9386"/>
    <cellStyle name="40% - Accent1 10 3 5 2" xfId="17344"/>
    <cellStyle name="40% - Accent1 10 3 5 3" xfId="25288"/>
    <cellStyle name="40% - Accent1 10 3 6" xfId="10282"/>
    <cellStyle name="40% - Accent1 10 3 7" xfId="18237"/>
    <cellStyle name="40% - Accent1 10 3_Exh G" xfId="2690"/>
    <cellStyle name="40% - Accent1 10 4" xfId="934"/>
    <cellStyle name="40% - Accent1 10 5" xfId="1359"/>
    <cellStyle name="40% - Accent1 10 5 2" xfId="4889"/>
    <cellStyle name="40% - Accent1 10 5 2 2" xfId="8480"/>
    <cellStyle name="40% - Accent1 10 5 2 2 2" xfId="16451"/>
    <cellStyle name="40% - Accent1 10 5 2 2 3" xfId="24397"/>
    <cellStyle name="40% - Accent1 10 5 2 3" xfId="12913"/>
    <cellStyle name="40% - Accent1 10 5 2 4" xfId="20868"/>
    <cellStyle name="40% - Accent1 10 5 3" xfId="6721"/>
    <cellStyle name="40% - Accent1 10 5 3 2" xfId="14693"/>
    <cellStyle name="40% - Accent1 10 5 3 3" xfId="22640"/>
    <cellStyle name="40% - Accent1 10 5 4" xfId="11157"/>
    <cellStyle name="40% - Accent1 10 5 5" xfId="19112"/>
    <cellStyle name="40% - Accent1 10 5_Exh G" xfId="2692"/>
    <cellStyle name="40% - Accent1 10 6" xfId="4010"/>
    <cellStyle name="40% - Accent1 10 6 2" xfId="7602"/>
    <cellStyle name="40% - Accent1 10 6 2 2" xfId="15573"/>
    <cellStyle name="40% - Accent1 10 6 2 3" xfId="23519"/>
    <cellStyle name="40% - Accent1 10 6 3" xfId="12035"/>
    <cellStyle name="40% - Accent1 10 6 4" xfId="19990"/>
    <cellStyle name="40% - Accent1 10 7" xfId="5830"/>
    <cellStyle name="40% - Accent1 10 7 2" xfId="13814"/>
    <cellStyle name="40% - Accent1 10 7 3" xfId="21762"/>
    <cellStyle name="40% - Accent1 10 8" xfId="9383"/>
    <cellStyle name="40% - Accent1 10 8 2" xfId="17341"/>
    <cellStyle name="40% - Accent1 10 8 3" xfId="25285"/>
    <cellStyle name="40% - Accent1 10 9" xfId="10279"/>
    <cellStyle name="40% - Accent1 10_Exh G" xfId="2685"/>
    <cellStyle name="40% - Accent1 11" xfId="335"/>
    <cellStyle name="40% - Accent1 11 2" xfId="336"/>
    <cellStyle name="40% - Accent1 11 2 2" xfId="337"/>
    <cellStyle name="40% - Accent1 11 2 2 2" xfId="1365"/>
    <cellStyle name="40% - Accent1 11 2 2 2 2" xfId="4895"/>
    <cellStyle name="40% - Accent1 11 2 2 2 2 2" xfId="8486"/>
    <cellStyle name="40% - Accent1 11 2 2 2 2 2 2" xfId="16457"/>
    <cellStyle name="40% - Accent1 11 2 2 2 2 2 3" xfId="24403"/>
    <cellStyle name="40% - Accent1 11 2 2 2 2 3" xfId="12919"/>
    <cellStyle name="40% - Accent1 11 2 2 2 2 4" xfId="20874"/>
    <cellStyle name="40% - Accent1 11 2 2 2 3" xfId="6727"/>
    <cellStyle name="40% - Accent1 11 2 2 2 3 2" xfId="14699"/>
    <cellStyle name="40% - Accent1 11 2 2 2 3 3" xfId="22646"/>
    <cellStyle name="40% - Accent1 11 2 2 2 4" xfId="11163"/>
    <cellStyle name="40% - Accent1 11 2 2 2 5" xfId="19118"/>
    <cellStyle name="40% - Accent1 11 2 2 2_Exh G" xfId="2696"/>
    <cellStyle name="40% - Accent1 11 2 2 3" xfId="4016"/>
    <cellStyle name="40% - Accent1 11 2 2 3 2" xfId="7608"/>
    <cellStyle name="40% - Accent1 11 2 2 3 2 2" xfId="15579"/>
    <cellStyle name="40% - Accent1 11 2 2 3 2 3" xfId="23525"/>
    <cellStyle name="40% - Accent1 11 2 2 3 3" xfId="12041"/>
    <cellStyle name="40% - Accent1 11 2 2 3 4" xfId="19996"/>
    <cellStyle name="40% - Accent1 11 2 2 4" xfId="5836"/>
    <cellStyle name="40% - Accent1 11 2 2 4 2" xfId="13820"/>
    <cellStyle name="40% - Accent1 11 2 2 4 3" xfId="21768"/>
    <cellStyle name="40% - Accent1 11 2 2 5" xfId="9389"/>
    <cellStyle name="40% - Accent1 11 2 2 5 2" xfId="17347"/>
    <cellStyle name="40% - Accent1 11 2 2 5 3" xfId="25291"/>
    <cellStyle name="40% - Accent1 11 2 2 6" xfId="10285"/>
    <cellStyle name="40% - Accent1 11 2 2 7" xfId="18240"/>
    <cellStyle name="40% - Accent1 11 2 2_Exh G" xfId="2695"/>
    <cellStyle name="40% - Accent1 11 2 3" xfId="1364"/>
    <cellStyle name="40% - Accent1 11 2 3 2" xfId="4894"/>
    <cellStyle name="40% - Accent1 11 2 3 2 2" xfId="8485"/>
    <cellStyle name="40% - Accent1 11 2 3 2 2 2" xfId="16456"/>
    <cellStyle name="40% - Accent1 11 2 3 2 2 3" xfId="24402"/>
    <cellStyle name="40% - Accent1 11 2 3 2 3" xfId="12918"/>
    <cellStyle name="40% - Accent1 11 2 3 2 4" xfId="20873"/>
    <cellStyle name="40% - Accent1 11 2 3 3" xfId="6726"/>
    <cellStyle name="40% - Accent1 11 2 3 3 2" xfId="14698"/>
    <cellStyle name="40% - Accent1 11 2 3 3 3" xfId="22645"/>
    <cellStyle name="40% - Accent1 11 2 3 4" xfId="11162"/>
    <cellStyle name="40% - Accent1 11 2 3 5" xfId="19117"/>
    <cellStyle name="40% - Accent1 11 2 3_Exh G" xfId="2697"/>
    <cellStyle name="40% - Accent1 11 2 4" xfId="4015"/>
    <cellStyle name="40% - Accent1 11 2 4 2" xfId="7607"/>
    <cellStyle name="40% - Accent1 11 2 4 2 2" xfId="15578"/>
    <cellStyle name="40% - Accent1 11 2 4 2 3" xfId="23524"/>
    <cellStyle name="40% - Accent1 11 2 4 3" xfId="12040"/>
    <cellStyle name="40% - Accent1 11 2 4 4" xfId="19995"/>
    <cellStyle name="40% - Accent1 11 2 5" xfId="5835"/>
    <cellStyle name="40% - Accent1 11 2 5 2" xfId="13819"/>
    <cellStyle name="40% - Accent1 11 2 5 3" xfId="21767"/>
    <cellStyle name="40% - Accent1 11 2 6" xfId="9388"/>
    <cellStyle name="40% - Accent1 11 2 6 2" xfId="17346"/>
    <cellStyle name="40% - Accent1 11 2 6 3" xfId="25290"/>
    <cellStyle name="40% - Accent1 11 2 7" xfId="10284"/>
    <cellStyle name="40% - Accent1 11 2 8" xfId="18239"/>
    <cellStyle name="40% - Accent1 11 2_Exh G" xfId="2694"/>
    <cellStyle name="40% - Accent1 11 3" xfId="338"/>
    <cellStyle name="40% - Accent1 11 3 2" xfId="1366"/>
    <cellStyle name="40% - Accent1 11 3 2 2" xfId="4896"/>
    <cellStyle name="40% - Accent1 11 3 2 2 2" xfId="8487"/>
    <cellStyle name="40% - Accent1 11 3 2 2 2 2" xfId="16458"/>
    <cellStyle name="40% - Accent1 11 3 2 2 2 3" xfId="24404"/>
    <cellStyle name="40% - Accent1 11 3 2 2 3" xfId="12920"/>
    <cellStyle name="40% - Accent1 11 3 2 2 4" xfId="20875"/>
    <cellStyle name="40% - Accent1 11 3 2 3" xfId="6728"/>
    <cellStyle name="40% - Accent1 11 3 2 3 2" xfId="14700"/>
    <cellStyle name="40% - Accent1 11 3 2 3 3" xfId="22647"/>
    <cellStyle name="40% - Accent1 11 3 2 4" xfId="11164"/>
    <cellStyle name="40% - Accent1 11 3 2 5" xfId="19119"/>
    <cellStyle name="40% - Accent1 11 3 2_Exh G" xfId="2699"/>
    <cellStyle name="40% - Accent1 11 3 3" xfId="4017"/>
    <cellStyle name="40% - Accent1 11 3 3 2" xfId="7609"/>
    <cellStyle name="40% - Accent1 11 3 3 2 2" xfId="15580"/>
    <cellStyle name="40% - Accent1 11 3 3 2 3" xfId="23526"/>
    <cellStyle name="40% - Accent1 11 3 3 3" xfId="12042"/>
    <cellStyle name="40% - Accent1 11 3 3 4" xfId="19997"/>
    <cellStyle name="40% - Accent1 11 3 4" xfId="5837"/>
    <cellStyle name="40% - Accent1 11 3 4 2" xfId="13821"/>
    <cellStyle name="40% - Accent1 11 3 4 3" xfId="21769"/>
    <cellStyle name="40% - Accent1 11 3 5" xfId="9390"/>
    <cellStyle name="40% - Accent1 11 3 5 2" xfId="17348"/>
    <cellStyle name="40% - Accent1 11 3 5 3" xfId="25292"/>
    <cellStyle name="40% - Accent1 11 3 6" xfId="10286"/>
    <cellStyle name="40% - Accent1 11 3 7" xfId="18241"/>
    <cellStyle name="40% - Accent1 11 3_Exh G" xfId="2698"/>
    <cellStyle name="40% - Accent1 11 4" xfId="1363"/>
    <cellStyle name="40% - Accent1 11 4 2" xfId="4893"/>
    <cellStyle name="40% - Accent1 11 4 2 2" xfId="8484"/>
    <cellStyle name="40% - Accent1 11 4 2 2 2" xfId="16455"/>
    <cellStyle name="40% - Accent1 11 4 2 2 3" xfId="24401"/>
    <cellStyle name="40% - Accent1 11 4 2 3" xfId="12917"/>
    <cellStyle name="40% - Accent1 11 4 2 4" xfId="20872"/>
    <cellStyle name="40% - Accent1 11 4 3" xfId="6725"/>
    <cellStyle name="40% - Accent1 11 4 3 2" xfId="14697"/>
    <cellStyle name="40% - Accent1 11 4 3 3" xfId="22644"/>
    <cellStyle name="40% - Accent1 11 4 4" xfId="11161"/>
    <cellStyle name="40% - Accent1 11 4 5" xfId="19116"/>
    <cellStyle name="40% - Accent1 11 4_Exh G" xfId="2700"/>
    <cellStyle name="40% - Accent1 11 5" xfId="4014"/>
    <cellStyle name="40% - Accent1 11 5 2" xfId="7606"/>
    <cellStyle name="40% - Accent1 11 5 2 2" xfId="15577"/>
    <cellStyle name="40% - Accent1 11 5 2 3" xfId="23523"/>
    <cellStyle name="40% - Accent1 11 5 3" xfId="12039"/>
    <cellStyle name="40% - Accent1 11 5 4" xfId="19994"/>
    <cellStyle name="40% - Accent1 11 6" xfId="5834"/>
    <cellStyle name="40% - Accent1 11 6 2" xfId="13818"/>
    <cellStyle name="40% - Accent1 11 6 3" xfId="21766"/>
    <cellStyle name="40% - Accent1 11 7" xfId="9387"/>
    <cellStyle name="40% - Accent1 11 7 2" xfId="17345"/>
    <cellStyle name="40% - Accent1 11 7 3" xfId="25289"/>
    <cellStyle name="40% - Accent1 11 8" xfId="10283"/>
    <cellStyle name="40% - Accent1 11 9" xfId="18238"/>
    <cellStyle name="40% - Accent1 11_Exh G" xfId="2693"/>
    <cellStyle name="40% - Accent1 12" xfId="339"/>
    <cellStyle name="40% - Accent1 12 2" xfId="340"/>
    <cellStyle name="40% - Accent1 12 2 2" xfId="341"/>
    <cellStyle name="40% - Accent1 12 2 2 2" xfId="1369"/>
    <cellStyle name="40% - Accent1 12 2 2 2 2" xfId="4899"/>
    <cellStyle name="40% - Accent1 12 2 2 2 2 2" xfId="8490"/>
    <cellStyle name="40% - Accent1 12 2 2 2 2 2 2" xfId="16461"/>
    <cellStyle name="40% - Accent1 12 2 2 2 2 2 3" xfId="24407"/>
    <cellStyle name="40% - Accent1 12 2 2 2 2 3" xfId="12923"/>
    <cellStyle name="40% - Accent1 12 2 2 2 2 4" xfId="20878"/>
    <cellStyle name="40% - Accent1 12 2 2 2 3" xfId="6731"/>
    <cellStyle name="40% - Accent1 12 2 2 2 3 2" xfId="14703"/>
    <cellStyle name="40% - Accent1 12 2 2 2 3 3" xfId="22650"/>
    <cellStyle name="40% - Accent1 12 2 2 2 4" xfId="11167"/>
    <cellStyle name="40% - Accent1 12 2 2 2 5" xfId="19122"/>
    <cellStyle name="40% - Accent1 12 2 2 2_Exh G" xfId="2704"/>
    <cellStyle name="40% - Accent1 12 2 2 3" xfId="4020"/>
    <cellStyle name="40% - Accent1 12 2 2 3 2" xfId="7612"/>
    <cellStyle name="40% - Accent1 12 2 2 3 2 2" xfId="15583"/>
    <cellStyle name="40% - Accent1 12 2 2 3 2 3" xfId="23529"/>
    <cellStyle name="40% - Accent1 12 2 2 3 3" xfId="12045"/>
    <cellStyle name="40% - Accent1 12 2 2 3 4" xfId="20000"/>
    <cellStyle name="40% - Accent1 12 2 2 4" xfId="5840"/>
    <cellStyle name="40% - Accent1 12 2 2 4 2" xfId="13824"/>
    <cellStyle name="40% - Accent1 12 2 2 4 3" xfId="21772"/>
    <cellStyle name="40% - Accent1 12 2 2 5" xfId="9393"/>
    <cellStyle name="40% - Accent1 12 2 2 5 2" xfId="17351"/>
    <cellStyle name="40% - Accent1 12 2 2 5 3" xfId="25295"/>
    <cellStyle name="40% - Accent1 12 2 2 6" xfId="10289"/>
    <cellStyle name="40% - Accent1 12 2 2 7" xfId="18244"/>
    <cellStyle name="40% - Accent1 12 2 2_Exh G" xfId="2703"/>
    <cellStyle name="40% - Accent1 12 2 3" xfId="1368"/>
    <cellStyle name="40% - Accent1 12 2 3 2" xfId="4898"/>
    <cellStyle name="40% - Accent1 12 2 3 2 2" xfId="8489"/>
    <cellStyle name="40% - Accent1 12 2 3 2 2 2" xfId="16460"/>
    <cellStyle name="40% - Accent1 12 2 3 2 2 3" xfId="24406"/>
    <cellStyle name="40% - Accent1 12 2 3 2 3" xfId="12922"/>
    <cellStyle name="40% - Accent1 12 2 3 2 4" xfId="20877"/>
    <cellStyle name="40% - Accent1 12 2 3 3" xfId="6730"/>
    <cellStyle name="40% - Accent1 12 2 3 3 2" xfId="14702"/>
    <cellStyle name="40% - Accent1 12 2 3 3 3" xfId="22649"/>
    <cellStyle name="40% - Accent1 12 2 3 4" xfId="11166"/>
    <cellStyle name="40% - Accent1 12 2 3 5" xfId="19121"/>
    <cellStyle name="40% - Accent1 12 2 3_Exh G" xfId="2705"/>
    <cellStyle name="40% - Accent1 12 2 4" xfId="4019"/>
    <cellStyle name="40% - Accent1 12 2 4 2" xfId="7611"/>
    <cellStyle name="40% - Accent1 12 2 4 2 2" xfId="15582"/>
    <cellStyle name="40% - Accent1 12 2 4 2 3" xfId="23528"/>
    <cellStyle name="40% - Accent1 12 2 4 3" xfId="12044"/>
    <cellStyle name="40% - Accent1 12 2 4 4" xfId="19999"/>
    <cellStyle name="40% - Accent1 12 2 5" xfId="5839"/>
    <cellStyle name="40% - Accent1 12 2 5 2" xfId="13823"/>
    <cellStyle name="40% - Accent1 12 2 5 3" xfId="21771"/>
    <cellStyle name="40% - Accent1 12 2 6" xfId="9392"/>
    <cellStyle name="40% - Accent1 12 2 6 2" xfId="17350"/>
    <cellStyle name="40% - Accent1 12 2 6 3" xfId="25294"/>
    <cellStyle name="40% - Accent1 12 2 7" xfId="10288"/>
    <cellStyle name="40% - Accent1 12 2 8" xfId="18243"/>
    <cellStyle name="40% - Accent1 12 2_Exh G" xfId="2702"/>
    <cellStyle name="40% - Accent1 12 3" xfId="342"/>
    <cellStyle name="40% - Accent1 12 3 2" xfId="1370"/>
    <cellStyle name="40% - Accent1 12 3 2 2" xfId="4900"/>
    <cellStyle name="40% - Accent1 12 3 2 2 2" xfId="8491"/>
    <cellStyle name="40% - Accent1 12 3 2 2 2 2" xfId="16462"/>
    <cellStyle name="40% - Accent1 12 3 2 2 2 3" xfId="24408"/>
    <cellStyle name="40% - Accent1 12 3 2 2 3" xfId="12924"/>
    <cellStyle name="40% - Accent1 12 3 2 2 4" xfId="20879"/>
    <cellStyle name="40% - Accent1 12 3 2 3" xfId="6732"/>
    <cellStyle name="40% - Accent1 12 3 2 3 2" xfId="14704"/>
    <cellStyle name="40% - Accent1 12 3 2 3 3" xfId="22651"/>
    <cellStyle name="40% - Accent1 12 3 2 4" xfId="11168"/>
    <cellStyle name="40% - Accent1 12 3 2 5" xfId="19123"/>
    <cellStyle name="40% - Accent1 12 3 2_Exh G" xfId="2707"/>
    <cellStyle name="40% - Accent1 12 3 3" xfId="4021"/>
    <cellStyle name="40% - Accent1 12 3 3 2" xfId="7613"/>
    <cellStyle name="40% - Accent1 12 3 3 2 2" xfId="15584"/>
    <cellStyle name="40% - Accent1 12 3 3 2 3" xfId="23530"/>
    <cellStyle name="40% - Accent1 12 3 3 3" xfId="12046"/>
    <cellStyle name="40% - Accent1 12 3 3 4" xfId="20001"/>
    <cellStyle name="40% - Accent1 12 3 4" xfId="5841"/>
    <cellStyle name="40% - Accent1 12 3 4 2" xfId="13825"/>
    <cellStyle name="40% - Accent1 12 3 4 3" xfId="21773"/>
    <cellStyle name="40% - Accent1 12 3 5" xfId="9394"/>
    <cellStyle name="40% - Accent1 12 3 5 2" xfId="17352"/>
    <cellStyle name="40% - Accent1 12 3 5 3" xfId="25296"/>
    <cellStyle name="40% - Accent1 12 3 6" xfId="10290"/>
    <cellStyle name="40% - Accent1 12 3 7" xfId="18245"/>
    <cellStyle name="40% - Accent1 12 3_Exh G" xfId="2706"/>
    <cellStyle name="40% - Accent1 12 4" xfId="1367"/>
    <cellStyle name="40% - Accent1 12 4 2" xfId="4897"/>
    <cellStyle name="40% - Accent1 12 4 2 2" xfId="8488"/>
    <cellStyle name="40% - Accent1 12 4 2 2 2" xfId="16459"/>
    <cellStyle name="40% - Accent1 12 4 2 2 3" xfId="24405"/>
    <cellStyle name="40% - Accent1 12 4 2 3" xfId="12921"/>
    <cellStyle name="40% - Accent1 12 4 2 4" xfId="20876"/>
    <cellStyle name="40% - Accent1 12 4 3" xfId="6729"/>
    <cellStyle name="40% - Accent1 12 4 3 2" xfId="14701"/>
    <cellStyle name="40% - Accent1 12 4 3 3" xfId="22648"/>
    <cellStyle name="40% - Accent1 12 4 4" xfId="11165"/>
    <cellStyle name="40% - Accent1 12 4 5" xfId="19120"/>
    <cellStyle name="40% - Accent1 12 4_Exh G" xfId="2708"/>
    <cellStyle name="40% - Accent1 12 5" xfId="4018"/>
    <cellStyle name="40% - Accent1 12 5 2" xfId="7610"/>
    <cellStyle name="40% - Accent1 12 5 2 2" xfId="15581"/>
    <cellStyle name="40% - Accent1 12 5 2 3" xfId="23527"/>
    <cellStyle name="40% - Accent1 12 5 3" xfId="12043"/>
    <cellStyle name="40% - Accent1 12 5 4" xfId="19998"/>
    <cellStyle name="40% - Accent1 12 6" xfId="5838"/>
    <cellStyle name="40% - Accent1 12 6 2" xfId="13822"/>
    <cellStyle name="40% - Accent1 12 6 3" xfId="21770"/>
    <cellStyle name="40% - Accent1 12 7" xfId="9391"/>
    <cellStyle name="40% - Accent1 12 7 2" xfId="17349"/>
    <cellStyle name="40% - Accent1 12 7 3" xfId="25293"/>
    <cellStyle name="40% - Accent1 12 8" xfId="10287"/>
    <cellStyle name="40% - Accent1 12 9" xfId="18242"/>
    <cellStyle name="40% - Accent1 12_Exh G" xfId="2701"/>
    <cellStyle name="40% - Accent1 13" xfId="343"/>
    <cellStyle name="40% - Accent1 13 2" xfId="344"/>
    <cellStyle name="40% - Accent1 13 2 2" xfId="345"/>
    <cellStyle name="40% - Accent1 13 2 2 2" xfId="1373"/>
    <cellStyle name="40% - Accent1 13 2 2 2 2" xfId="4903"/>
    <cellStyle name="40% - Accent1 13 2 2 2 2 2" xfId="8494"/>
    <cellStyle name="40% - Accent1 13 2 2 2 2 2 2" xfId="16465"/>
    <cellStyle name="40% - Accent1 13 2 2 2 2 2 3" xfId="24411"/>
    <cellStyle name="40% - Accent1 13 2 2 2 2 3" xfId="12927"/>
    <cellStyle name="40% - Accent1 13 2 2 2 2 4" xfId="20882"/>
    <cellStyle name="40% - Accent1 13 2 2 2 3" xfId="6735"/>
    <cellStyle name="40% - Accent1 13 2 2 2 3 2" xfId="14707"/>
    <cellStyle name="40% - Accent1 13 2 2 2 3 3" xfId="22654"/>
    <cellStyle name="40% - Accent1 13 2 2 2 4" xfId="11171"/>
    <cellStyle name="40% - Accent1 13 2 2 2 5" xfId="19126"/>
    <cellStyle name="40% - Accent1 13 2 2 2_Exh G" xfId="2712"/>
    <cellStyle name="40% - Accent1 13 2 2 3" xfId="4024"/>
    <cellStyle name="40% - Accent1 13 2 2 3 2" xfId="7616"/>
    <cellStyle name="40% - Accent1 13 2 2 3 2 2" xfId="15587"/>
    <cellStyle name="40% - Accent1 13 2 2 3 2 3" xfId="23533"/>
    <cellStyle name="40% - Accent1 13 2 2 3 3" xfId="12049"/>
    <cellStyle name="40% - Accent1 13 2 2 3 4" xfId="20004"/>
    <cellStyle name="40% - Accent1 13 2 2 4" xfId="5844"/>
    <cellStyle name="40% - Accent1 13 2 2 4 2" xfId="13828"/>
    <cellStyle name="40% - Accent1 13 2 2 4 3" xfId="21776"/>
    <cellStyle name="40% - Accent1 13 2 2 5" xfId="9397"/>
    <cellStyle name="40% - Accent1 13 2 2 5 2" xfId="17355"/>
    <cellStyle name="40% - Accent1 13 2 2 5 3" xfId="25299"/>
    <cellStyle name="40% - Accent1 13 2 2 6" xfId="10293"/>
    <cellStyle name="40% - Accent1 13 2 2 7" xfId="18248"/>
    <cellStyle name="40% - Accent1 13 2 2_Exh G" xfId="2711"/>
    <cellStyle name="40% - Accent1 13 2 3" xfId="1372"/>
    <cellStyle name="40% - Accent1 13 2 3 2" xfId="4902"/>
    <cellStyle name="40% - Accent1 13 2 3 2 2" xfId="8493"/>
    <cellStyle name="40% - Accent1 13 2 3 2 2 2" xfId="16464"/>
    <cellStyle name="40% - Accent1 13 2 3 2 2 3" xfId="24410"/>
    <cellStyle name="40% - Accent1 13 2 3 2 3" xfId="12926"/>
    <cellStyle name="40% - Accent1 13 2 3 2 4" xfId="20881"/>
    <cellStyle name="40% - Accent1 13 2 3 3" xfId="6734"/>
    <cellStyle name="40% - Accent1 13 2 3 3 2" xfId="14706"/>
    <cellStyle name="40% - Accent1 13 2 3 3 3" xfId="22653"/>
    <cellStyle name="40% - Accent1 13 2 3 4" xfId="11170"/>
    <cellStyle name="40% - Accent1 13 2 3 5" xfId="19125"/>
    <cellStyle name="40% - Accent1 13 2 3_Exh G" xfId="2713"/>
    <cellStyle name="40% - Accent1 13 2 4" xfId="4023"/>
    <cellStyle name="40% - Accent1 13 2 4 2" xfId="7615"/>
    <cellStyle name="40% - Accent1 13 2 4 2 2" xfId="15586"/>
    <cellStyle name="40% - Accent1 13 2 4 2 3" xfId="23532"/>
    <cellStyle name="40% - Accent1 13 2 4 3" xfId="12048"/>
    <cellStyle name="40% - Accent1 13 2 4 4" xfId="20003"/>
    <cellStyle name="40% - Accent1 13 2 5" xfId="5843"/>
    <cellStyle name="40% - Accent1 13 2 5 2" xfId="13827"/>
    <cellStyle name="40% - Accent1 13 2 5 3" xfId="21775"/>
    <cellStyle name="40% - Accent1 13 2 6" xfId="9396"/>
    <cellStyle name="40% - Accent1 13 2 6 2" xfId="17354"/>
    <cellStyle name="40% - Accent1 13 2 6 3" xfId="25298"/>
    <cellStyle name="40% - Accent1 13 2 7" xfId="10292"/>
    <cellStyle name="40% - Accent1 13 2 8" xfId="18247"/>
    <cellStyle name="40% - Accent1 13 2_Exh G" xfId="2710"/>
    <cellStyle name="40% - Accent1 13 3" xfId="346"/>
    <cellStyle name="40% - Accent1 13 3 2" xfId="1374"/>
    <cellStyle name="40% - Accent1 13 3 2 2" xfId="4904"/>
    <cellStyle name="40% - Accent1 13 3 2 2 2" xfId="8495"/>
    <cellStyle name="40% - Accent1 13 3 2 2 2 2" xfId="16466"/>
    <cellStyle name="40% - Accent1 13 3 2 2 2 3" xfId="24412"/>
    <cellStyle name="40% - Accent1 13 3 2 2 3" xfId="12928"/>
    <cellStyle name="40% - Accent1 13 3 2 2 4" xfId="20883"/>
    <cellStyle name="40% - Accent1 13 3 2 3" xfId="6736"/>
    <cellStyle name="40% - Accent1 13 3 2 3 2" xfId="14708"/>
    <cellStyle name="40% - Accent1 13 3 2 3 3" xfId="22655"/>
    <cellStyle name="40% - Accent1 13 3 2 4" xfId="11172"/>
    <cellStyle name="40% - Accent1 13 3 2 5" xfId="19127"/>
    <cellStyle name="40% - Accent1 13 3 2_Exh G" xfId="2715"/>
    <cellStyle name="40% - Accent1 13 3 3" xfId="4025"/>
    <cellStyle name="40% - Accent1 13 3 3 2" xfId="7617"/>
    <cellStyle name="40% - Accent1 13 3 3 2 2" xfId="15588"/>
    <cellStyle name="40% - Accent1 13 3 3 2 3" xfId="23534"/>
    <cellStyle name="40% - Accent1 13 3 3 3" xfId="12050"/>
    <cellStyle name="40% - Accent1 13 3 3 4" xfId="20005"/>
    <cellStyle name="40% - Accent1 13 3 4" xfId="5845"/>
    <cellStyle name="40% - Accent1 13 3 4 2" xfId="13829"/>
    <cellStyle name="40% - Accent1 13 3 4 3" xfId="21777"/>
    <cellStyle name="40% - Accent1 13 3 5" xfId="9398"/>
    <cellStyle name="40% - Accent1 13 3 5 2" xfId="17356"/>
    <cellStyle name="40% - Accent1 13 3 5 3" xfId="25300"/>
    <cellStyle name="40% - Accent1 13 3 6" xfId="10294"/>
    <cellStyle name="40% - Accent1 13 3 7" xfId="18249"/>
    <cellStyle name="40% - Accent1 13 3_Exh G" xfId="2714"/>
    <cellStyle name="40% - Accent1 13 4" xfId="1371"/>
    <cellStyle name="40% - Accent1 13 4 2" xfId="4901"/>
    <cellStyle name="40% - Accent1 13 4 2 2" xfId="8492"/>
    <cellStyle name="40% - Accent1 13 4 2 2 2" xfId="16463"/>
    <cellStyle name="40% - Accent1 13 4 2 2 3" xfId="24409"/>
    <cellStyle name="40% - Accent1 13 4 2 3" xfId="12925"/>
    <cellStyle name="40% - Accent1 13 4 2 4" xfId="20880"/>
    <cellStyle name="40% - Accent1 13 4 3" xfId="6733"/>
    <cellStyle name="40% - Accent1 13 4 3 2" xfId="14705"/>
    <cellStyle name="40% - Accent1 13 4 3 3" xfId="22652"/>
    <cellStyle name="40% - Accent1 13 4 4" xfId="11169"/>
    <cellStyle name="40% - Accent1 13 4 5" xfId="19124"/>
    <cellStyle name="40% - Accent1 13 4_Exh G" xfId="2716"/>
    <cellStyle name="40% - Accent1 13 5" xfId="4022"/>
    <cellStyle name="40% - Accent1 13 5 2" xfId="7614"/>
    <cellStyle name="40% - Accent1 13 5 2 2" xfId="15585"/>
    <cellStyle name="40% - Accent1 13 5 2 3" xfId="23531"/>
    <cellStyle name="40% - Accent1 13 5 3" xfId="12047"/>
    <cellStyle name="40% - Accent1 13 5 4" xfId="20002"/>
    <cellStyle name="40% - Accent1 13 6" xfId="5842"/>
    <cellStyle name="40% - Accent1 13 6 2" xfId="13826"/>
    <cellStyle name="40% - Accent1 13 6 3" xfId="21774"/>
    <cellStyle name="40% - Accent1 13 7" xfId="9395"/>
    <cellStyle name="40% - Accent1 13 7 2" xfId="17353"/>
    <cellStyle name="40% - Accent1 13 7 3" xfId="25297"/>
    <cellStyle name="40% - Accent1 13 8" xfId="10291"/>
    <cellStyle name="40% - Accent1 13 9" xfId="18246"/>
    <cellStyle name="40% - Accent1 13_Exh G" xfId="2709"/>
    <cellStyle name="40% - Accent1 14" xfId="347"/>
    <cellStyle name="40% - Accent1 14 2" xfId="348"/>
    <cellStyle name="40% - Accent1 14 2 2" xfId="1376"/>
    <cellStyle name="40% - Accent1 14 2 2 2" xfId="4906"/>
    <cellStyle name="40% - Accent1 14 2 2 2 2" xfId="8497"/>
    <cellStyle name="40% - Accent1 14 2 2 2 2 2" xfId="16468"/>
    <cellStyle name="40% - Accent1 14 2 2 2 2 3" xfId="24414"/>
    <cellStyle name="40% - Accent1 14 2 2 2 3" xfId="12930"/>
    <cellStyle name="40% - Accent1 14 2 2 2 4" xfId="20885"/>
    <cellStyle name="40% - Accent1 14 2 2 3" xfId="6738"/>
    <cellStyle name="40% - Accent1 14 2 2 3 2" xfId="14710"/>
    <cellStyle name="40% - Accent1 14 2 2 3 3" xfId="22657"/>
    <cellStyle name="40% - Accent1 14 2 2 4" xfId="11174"/>
    <cellStyle name="40% - Accent1 14 2 2 5" xfId="19129"/>
    <cellStyle name="40% - Accent1 14 2 2_Exh G" xfId="2719"/>
    <cellStyle name="40% - Accent1 14 2 3" xfId="4027"/>
    <cellStyle name="40% - Accent1 14 2 3 2" xfId="7619"/>
    <cellStyle name="40% - Accent1 14 2 3 2 2" xfId="15590"/>
    <cellStyle name="40% - Accent1 14 2 3 2 3" xfId="23536"/>
    <cellStyle name="40% - Accent1 14 2 3 3" xfId="12052"/>
    <cellStyle name="40% - Accent1 14 2 3 4" xfId="20007"/>
    <cellStyle name="40% - Accent1 14 2 4" xfId="5847"/>
    <cellStyle name="40% - Accent1 14 2 4 2" xfId="13831"/>
    <cellStyle name="40% - Accent1 14 2 4 3" xfId="21779"/>
    <cellStyle name="40% - Accent1 14 2 5" xfId="9400"/>
    <cellStyle name="40% - Accent1 14 2 5 2" xfId="17358"/>
    <cellStyle name="40% - Accent1 14 2 5 3" xfId="25302"/>
    <cellStyle name="40% - Accent1 14 2 6" xfId="10296"/>
    <cellStyle name="40% - Accent1 14 2 7" xfId="18251"/>
    <cellStyle name="40% - Accent1 14 2_Exh G" xfId="2718"/>
    <cellStyle name="40% - Accent1 14 3" xfId="1375"/>
    <cellStyle name="40% - Accent1 14 3 2" xfId="4905"/>
    <cellStyle name="40% - Accent1 14 3 2 2" xfId="8496"/>
    <cellStyle name="40% - Accent1 14 3 2 2 2" xfId="16467"/>
    <cellStyle name="40% - Accent1 14 3 2 2 3" xfId="24413"/>
    <cellStyle name="40% - Accent1 14 3 2 3" xfId="12929"/>
    <cellStyle name="40% - Accent1 14 3 2 4" xfId="20884"/>
    <cellStyle name="40% - Accent1 14 3 3" xfId="6737"/>
    <cellStyle name="40% - Accent1 14 3 3 2" xfId="14709"/>
    <cellStyle name="40% - Accent1 14 3 3 3" xfId="22656"/>
    <cellStyle name="40% - Accent1 14 3 4" xfId="11173"/>
    <cellStyle name="40% - Accent1 14 3 5" xfId="19128"/>
    <cellStyle name="40% - Accent1 14 3_Exh G" xfId="2720"/>
    <cellStyle name="40% - Accent1 14 4" xfId="4026"/>
    <cellStyle name="40% - Accent1 14 4 2" xfId="7618"/>
    <cellStyle name="40% - Accent1 14 4 2 2" xfId="15589"/>
    <cellStyle name="40% - Accent1 14 4 2 3" xfId="23535"/>
    <cellStyle name="40% - Accent1 14 4 3" xfId="12051"/>
    <cellStyle name="40% - Accent1 14 4 4" xfId="20006"/>
    <cellStyle name="40% - Accent1 14 5" xfId="5846"/>
    <cellStyle name="40% - Accent1 14 5 2" xfId="13830"/>
    <cellStyle name="40% - Accent1 14 5 3" xfId="21778"/>
    <cellStyle name="40% - Accent1 14 6" xfId="9399"/>
    <cellStyle name="40% - Accent1 14 6 2" xfId="17357"/>
    <cellStyle name="40% - Accent1 14 6 3" xfId="25301"/>
    <cellStyle name="40% - Accent1 14 7" xfId="10295"/>
    <cellStyle name="40% - Accent1 14 8" xfId="18250"/>
    <cellStyle name="40% - Accent1 14_Exh G" xfId="2717"/>
    <cellStyle name="40% - Accent1 15" xfId="349"/>
    <cellStyle name="40% - Accent1 15 2" xfId="1377"/>
    <cellStyle name="40% - Accent1 15 2 2" xfId="4907"/>
    <cellStyle name="40% - Accent1 15 2 2 2" xfId="8498"/>
    <cellStyle name="40% - Accent1 15 2 2 2 2" xfId="16469"/>
    <cellStyle name="40% - Accent1 15 2 2 2 3" xfId="24415"/>
    <cellStyle name="40% - Accent1 15 2 2 3" xfId="12931"/>
    <cellStyle name="40% - Accent1 15 2 2 4" xfId="20886"/>
    <cellStyle name="40% - Accent1 15 2 3" xfId="6739"/>
    <cellStyle name="40% - Accent1 15 2 3 2" xfId="14711"/>
    <cellStyle name="40% - Accent1 15 2 3 3" xfId="22658"/>
    <cellStyle name="40% - Accent1 15 2 4" xfId="11175"/>
    <cellStyle name="40% - Accent1 15 2 5" xfId="19130"/>
    <cellStyle name="40% - Accent1 15 2_Exh G" xfId="2722"/>
    <cellStyle name="40% - Accent1 15 3" xfId="4028"/>
    <cellStyle name="40% - Accent1 15 3 2" xfId="7620"/>
    <cellStyle name="40% - Accent1 15 3 2 2" xfId="15591"/>
    <cellStyle name="40% - Accent1 15 3 2 3" xfId="23537"/>
    <cellStyle name="40% - Accent1 15 3 3" xfId="12053"/>
    <cellStyle name="40% - Accent1 15 3 4" xfId="20008"/>
    <cellStyle name="40% - Accent1 15 4" xfId="5848"/>
    <cellStyle name="40% - Accent1 15 4 2" xfId="13832"/>
    <cellStyle name="40% - Accent1 15 4 3" xfId="21780"/>
    <cellStyle name="40% - Accent1 15 5" xfId="9401"/>
    <cellStyle name="40% - Accent1 15 5 2" xfId="17359"/>
    <cellStyle name="40% - Accent1 15 5 3" xfId="25303"/>
    <cellStyle name="40% - Accent1 15 6" xfId="10297"/>
    <cellStyle name="40% - Accent1 15 7" xfId="18252"/>
    <cellStyle name="40% - Accent1 15_Exh G" xfId="2721"/>
    <cellStyle name="40% - Accent1 16" xfId="849"/>
    <cellStyle name="40% - Accent1 16 2" xfId="1788"/>
    <cellStyle name="40% - Accent1 16 2 2" xfId="5309"/>
    <cellStyle name="40% - Accent1 16 2 2 2" xfId="8900"/>
    <cellStyle name="40% - Accent1 16 2 2 2 2" xfId="16871"/>
    <cellStyle name="40% - Accent1 16 2 2 2 3" xfId="24817"/>
    <cellStyle name="40% - Accent1 16 2 2 3" xfId="13333"/>
    <cellStyle name="40% - Accent1 16 2 2 4" xfId="21288"/>
    <cellStyle name="40% - Accent1 16 2 3" xfId="7141"/>
    <cellStyle name="40% - Accent1 16 2 3 2" xfId="15113"/>
    <cellStyle name="40% - Accent1 16 2 3 3" xfId="23060"/>
    <cellStyle name="40% - Accent1 16 2 4" xfId="11577"/>
    <cellStyle name="40% - Accent1 16 2 5" xfId="19532"/>
    <cellStyle name="40% - Accent1 16 2_Exh G" xfId="2724"/>
    <cellStyle name="40% - Accent1 16 3" xfId="4430"/>
    <cellStyle name="40% - Accent1 16 3 2" xfId="8022"/>
    <cellStyle name="40% - Accent1 16 3 2 2" xfId="15993"/>
    <cellStyle name="40% - Accent1 16 3 2 3" xfId="23939"/>
    <cellStyle name="40% - Accent1 16 3 3" xfId="12455"/>
    <cellStyle name="40% - Accent1 16 3 4" xfId="20410"/>
    <cellStyle name="40% - Accent1 16 4" xfId="6260"/>
    <cellStyle name="40% - Accent1 16 4 2" xfId="14235"/>
    <cellStyle name="40% - Accent1 16 4 3" xfId="22182"/>
    <cellStyle name="40% - Accent1 16 5" xfId="9803"/>
    <cellStyle name="40% - Accent1 16 5 2" xfId="17761"/>
    <cellStyle name="40% - Accent1 16 5 3" xfId="25705"/>
    <cellStyle name="40% - Accent1 16 6" xfId="10699"/>
    <cellStyle name="40% - Accent1 16 7" xfId="18654"/>
    <cellStyle name="40% - Accent1 16_Exh G" xfId="2723"/>
    <cellStyle name="40% - Accent1 2" xfId="350"/>
    <cellStyle name="40% - Accent1 2 10" xfId="18253"/>
    <cellStyle name="40% - Accent1 2 2" xfId="351"/>
    <cellStyle name="40% - Accent1 2 2 2" xfId="352"/>
    <cellStyle name="40% - Accent1 2 2 2 2" xfId="1380"/>
    <cellStyle name="40% - Accent1 2 2 2 2 2" xfId="4910"/>
    <cellStyle name="40% - Accent1 2 2 2 2 2 2" xfId="8501"/>
    <cellStyle name="40% - Accent1 2 2 2 2 2 2 2" xfId="16472"/>
    <cellStyle name="40% - Accent1 2 2 2 2 2 2 3" xfId="24418"/>
    <cellStyle name="40% - Accent1 2 2 2 2 2 3" xfId="12934"/>
    <cellStyle name="40% - Accent1 2 2 2 2 2 4" xfId="20889"/>
    <cellStyle name="40% - Accent1 2 2 2 2 3" xfId="6742"/>
    <cellStyle name="40% - Accent1 2 2 2 2 3 2" xfId="14714"/>
    <cellStyle name="40% - Accent1 2 2 2 2 3 3" xfId="22661"/>
    <cellStyle name="40% - Accent1 2 2 2 2 4" xfId="11178"/>
    <cellStyle name="40% - Accent1 2 2 2 2 5" xfId="19133"/>
    <cellStyle name="40% - Accent1 2 2 2 2_Exh G" xfId="2728"/>
    <cellStyle name="40% - Accent1 2 2 2 3" xfId="4031"/>
    <cellStyle name="40% - Accent1 2 2 2 3 2" xfId="7623"/>
    <cellStyle name="40% - Accent1 2 2 2 3 2 2" xfId="15594"/>
    <cellStyle name="40% - Accent1 2 2 2 3 2 3" xfId="23540"/>
    <cellStyle name="40% - Accent1 2 2 2 3 3" xfId="12056"/>
    <cellStyle name="40% - Accent1 2 2 2 3 4" xfId="20011"/>
    <cellStyle name="40% - Accent1 2 2 2 4" xfId="5851"/>
    <cellStyle name="40% - Accent1 2 2 2 4 2" xfId="13835"/>
    <cellStyle name="40% - Accent1 2 2 2 4 3" xfId="21783"/>
    <cellStyle name="40% - Accent1 2 2 2 5" xfId="9404"/>
    <cellStyle name="40% - Accent1 2 2 2 5 2" xfId="17362"/>
    <cellStyle name="40% - Accent1 2 2 2 5 3" xfId="25306"/>
    <cellStyle name="40% - Accent1 2 2 2 6" xfId="10300"/>
    <cellStyle name="40% - Accent1 2 2 2 7" xfId="18255"/>
    <cellStyle name="40% - Accent1 2 2 2_Exh G" xfId="2727"/>
    <cellStyle name="40% - Accent1 2 2 3" xfId="936"/>
    <cellStyle name="40% - Accent1 2 2 3 2" xfId="1860"/>
    <cellStyle name="40% - Accent1 2 2 3 2 2" xfId="5378"/>
    <cellStyle name="40% - Accent1 2 2 3 2 2 2" xfId="8969"/>
    <cellStyle name="40% - Accent1 2 2 3 2 2 2 2" xfId="16940"/>
    <cellStyle name="40% - Accent1 2 2 3 2 2 2 3" xfId="24886"/>
    <cellStyle name="40% - Accent1 2 2 3 2 2 3" xfId="13402"/>
    <cellStyle name="40% - Accent1 2 2 3 2 2 4" xfId="21357"/>
    <cellStyle name="40% - Accent1 2 2 3 2 3" xfId="7210"/>
    <cellStyle name="40% - Accent1 2 2 3 2 3 2" xfId="15182"/>
    <cellStyle name="40% - Accent1 2 2 3 2 3 3" xfId="23129"/>
    <cellStyle name="40% - Accent1 2 2 3 2 4" xfId="11646"/>
    <cellStyle name="40% - Accent1 2 2 3 2 5" xfId="19601"/>
    <cellStyle name="40% - Accent1 2 2 3 2_Exh G" xfId="2730"/>
    <cellStyle name="40% - Accent1 2 2 3 3" xfId="4499"/>
    <cellStyle name="40% - Accent1 2 2 3 3 2" xfId="8091"/>
    <cellStyle name="40% - Accent1 2 2 3 3 2 2" xfId="16062"/>
    <cellStyle name="40% - Accent1 2 2 3 3 2 3" xfId="24008"/>
    <cellStyle name="40% - Accent1 2 2 3 3 3" xfId="12524"/>
    <cellStyle name="40% - Accent1 2 2 3 3 4" xfId="20479"/>
    <cellStyle name="40% - Accent1 2 2 3 4" xfId="6329"/>
    <cellStyle name="40% - Accent1 2 2 3 4 2" xfId="14304"/>
    <cellStyle name="40% - Accent1 2 2 3 4 3" xfId="22251"/>
    <cellStyle name="40% - Accent1 2 2 3 5" xfId="9872"/>
    <cellStyle name="40% - Accent1 2 2 3 5 2" xfId="17830"/>
    <cellStyle name="40% - Accent1 2 2 3 5 3" xfId="25774"/>
    <cellStyle name="40% - Accent1 2 2 3 6" xfId="10768"/>
    <cellStyle name="40% - Accent1 2 2 3 7" xfId="18723"/>
    <cellStyle name="40% - Accent1 2 2 3_Exh G" xfId="2729"/>
    <cellStyle name="40% - Accent1 2 2 4" xfId="1379"/>
    <cellStyle name="40% - Accent1 2 2 4 2" xfId="4909"/>
    <cellStyle name="40% - Accent1 2 2 4 2 2" xfId="8500"/>
    <cellStyle name="40% - Accent1 2 2 4 2 2 2" xfId="16471"/>
    <cellStyle name="40% - Accent1 2 2 4 2 2 3" xfId="24417"/>
    <cellStyle name="40% - Accent1 2 2 4 2 3" xfId="12933"/>
    <cellStyle name="40% - Accent1 2 2 4 2 4" xfId="20888"/>
    <cellStyle name="40% - Accent1 2 2 4 3" xfId="6741"/>
    <cellStyle name="40% - Accent1 2 2 4 3 2" xfId="14713"/>
    <cellStyle name="40% - Accent1 2 2 4 3 3" xfId="22660"/>
    <cellStyle name="40% - Accent1 2 2 4 4" xfId="11177"/>
    <cellStyle name="40% - Accent1 2 2 4 5" xfId="19132"/>
    <cellStyle name="40% - Accent1 2 2 4_Exh G" xfId="2731"/>
    <cellStyle name="40% - Accent1 2 2 5" xfId="4030"/>
    <cellStyle name="40% - Accent1 2 2 5 2" xfId="7622"/>
    <cellStyle name="40% - Accent1 2 2 5 2 2" xfId="15593"/>
    <cellStyle name="40% - Accent1 2 2 5 2 3" xfId="23539"/>
    <cellStyle name="40% - Accent1 2 2 5 3" xfId="12055"/>
    <cellStyle name="40% - Accent1 2 2 5 4" xfId="20010"/>
    <cellStyle name="40% - Accent1 2 2 6" xfId="5850"/>
    <cellStyle name="40% - Accent1 2 2 6 2" xfId="13834"/>
    <cellStyle name="40% - Accent1 2 2 6 3" xfId="21782"/>
    <cellStyle name="40% - Accent1 2 2 7" xfId="9403"/>
    <cellStyle name="40% - Accent1 2 2 7 2" xfId="17361"/>
    <cellStyle name="40% - Accent1 2 2 7 3" xfId="25305"/>
    <cellStyle name="40% - Accent1 2 2 8" xfId="10299"/>
    <cellStyle name="40% - Accent1 2 2 9" xfId="18254"/>
    <cellStyle name="40% - Accent1 2 2_Exh G" xfId="2726"/>
    <cellStyle name="40% - Accent1 2 3" xfId="353"/>
    <cellStyle name="40% - Accent1 2 3 2" xfId="1381"/>
    <cellStyle name="40% - Accent1 2 3 2 2" xfId="4911"/>
    <cellStyle name="40% - Accent1 2 3 2 2 2" xfId="8502"/>
    <cellStyle name="40% - Accent1 2 3 2 2 2 2" xfId="16473"/>
    <cellStyle name="40% - Accent1 2 3 2 2 2 3" xfId="24419"/>
    <cellStyle name="40% - Accent1 2 3 2 2 3" xfId="12935"/>
    <cellStyle name="40% - Accent1 2 3 2 2 4" xfId="20890"/>
    <cellStyle name="40% - Accent1 2 3 2 3" xfId="6743"/>
    <cellStyle name="40% - Accent1 2 3 2 3 2" xfId="14715"/>
    <cellStyle name="40% - Accent1 2 3 2 3 3" xfId="22662"/>
    <cellStyle name="40% - Accent1 2 3 2 4" xfId="11179"/>
    <cellStyle name="40% - Accent1 2 3 2 5" xfId="19134"/>
    <cellStyle name="40% - Accent1 2 3 2_Exh G" xfId="2733"/>
    <cellStyle name="40% - Accent1 2 3 3" xfId="4032"/>
    <cellStyle name="40% - Accent1 2 3 3 2" xfId="7624"/>
    <cellStyle name="40% - Accent1 2 3 3 2 2" xfId="15595"/>
    <cellStyle name="40% - Accent1 2 3 3 2 3" xfId="23541"/>
    <cellStyle name="40% - Accent1 2 3 3 3" xfId="12057"/>
    <cellStyle name="40% - Accent1 2 3 3 4" xfId="20012"/>
    <cellStyle name="40% - Accent1 2 3 4" xfId="5852"/>
    <cellStyle name="40% - Accent1 2 3 4 2" xfId="13836"/>
    <cellStyle name="40% - Accent1 2 3 4 3" xfId="21784"/>
    <cellStyle name="40% - Accent1 2 3 5" xfId="9405"/>
    <cellStyle name="40% - Accent1 2 3 5 2" xfId="17363"/>
    <cellStyle name="40% - Accent1 2 3 5 3" xfId="25307"/>
    <cellStyle name="40% - Accent1 2 3 6" xfId="10301"/>
    <cellStyle name="40% - Accent1 2 3 7" xfId="18256"/>
    <cellStyle name="40% - Accent1 2 3_Exh G" xfId="2732"/>
    <cellStyle name="40% - Accent1 2 4" xfId="935"/>
    <cellStyle name="40% - Accent1 2 4 2" xfId="1859"/>
    <cellStyle name="40% - Accent1 2 4 2 2" xfId="5377"/>
    <cellStyle name="40% - Accent1 2 4 2 2 2" xfId="8968"/>
    <cellStyle name="40% - Accent1 2 4 2 2 2 2" xfId="16939"/>
    <cellStyle name="40% - Accent1 2 4 2 2 2 3" xfId="24885"/>
    <cellStyle name="40% - Accent1 2 4 2 2 3" xfId="13401"/>
    <cellStyle name="40% - Accent1 2 4 2 2 4" xfId="21356"/>
    <cellStyle name="40% - Accent1 2 4 2 3" xfId="7209"/>
    <cellStyle name="40% - Accent1 2 4 2 3 2" xfId="15181"/>
    <cellStyle name="40% - Accent1 2 4 2 3 3" xfId="23128"/>
    <cellStyle name="40% - Accent1 2 4 2 4" xfId="11645"/>
    <cellStyle name="40% - Accent1 2 4 2 5" xfId="19600"/>
    <cellStyle name="40% - Accent1 2 4 2_Exh G" xfId="2735"/>
    <cellStyle name="40% - Accent1 2 4 3" xfId="4498"/>
    <cellStyle name="40% - Accent1 2 4 3 2" xfId="8090"/>
    <cellStyle name="40% - Accent1 2 4 3 2 2" xfId="16061"/>
    <cellStyle name="40% - Accent1 2 4 3 2 3" xfId="24007"/>
    <cellStyle name="40% - Accent1 2 4 3 3" xfId="12523"/>
    <cellStyle name="40% - Accent1 2 4 3 4" xfId="20478"/>
    <cellStyle name="40% - Accent1 2 4 4" xfId="6328"/>
    <cellStyle name="40% - Accent1 2 4 4 2" xfId="14303"/>
    <cellStyle name="40% - Accent1 2 4 4 3" xfId="22250"/>
    <cellStyle name="40% - Accent1 2 4 5" xfId="9871"/>
    <cellStyle name="40% - Accent1 2 4 5 2" xfId="17829"/>
    <cellStyle name="40% - Accent1 2 4 5 3" xfId="25773"/>
    <cellStyle name="40% - Accent1 2 4 6" xfId="10767"/>
    <cellStyle name="40% - Accent1 2 4 7" xfId="18722"/>
    <cellStyle name="40% - Accent1 2 4_Exh G" xfId="2734"/>
    <cellStyle name="40% - Accent1 2 5" xfId="1378"/>
    <cellStyle name="40% - Accent1 2 5 2" xfId="4908"/>
    <cellStyle name="40% - Accent1 2 5 2 2" xfId="8499"/>
    <cellStyle name="40% - Accent1 2 5 2 2 2" xfId="16470"/>
    <cellStyle name="40% - Accent1 2 5 2 2 3" xfId="24416"/>
    <cellStyle name="40% - Accent1 2 5 2 3" xfId="12932"/>
    <cellStyle name="40% - Accent1 2 5 2 4" xfId="20887"/>
    <cellStyle name="40% - Accent1 2 5 3" xfId="6740"/>
    <cellStyle name="40% - Accent1 2 5 3 2" xfId="14712"/>
    <cellStyle name="40% - Accent1 2 5 3 3" xfId="22659"/>
    <cellStyle name="40% - Accent1 2 5 4" xfId="11176"/>
    <cellStyle name="40% - Accent1 2 5 5" xfId="19131"/>
    <cellStyle name="40% - Accent1 2 5_Exh G" xfId="2736"/>
    <cellStyle name="40% - Accent1 2 6" xfId="4029"/>
    <cellStyle name="40% - Accent1 2 6 2" xfId="7621"/>
    <cellStyle name="40% - Accent1 2 6 2 2" xfId="15592"/>
    <cellStyle name="40% - Accent1 2 6 2 3" xfId="23538"/>
    <cellStyle name="40% - Accent1 2 6 3" xfId="12054"/>
    <cellStyle name="40% - Accent1 2 6 4" xfId="20009"/>
    <cellStyle name="40% - Accent1 2 7" xfId="5849"/>
    <cellStyle name="40% - Accent1 2 7 2" xfId="13833"/>
    <cellStyle name="40% - Accent1 2 7 3" xfId="21781"/>
    <cellStyle name="40% - Accent1 2 8" xfId="9402"/>
    <cellStyle name="40% - Accent1 2 8 2" xfId="17360"/>
    <cellStyle name="40% - Accent1 2 8 3" xfId="25304"/>
    <cellStyle name="40% - Accent1 2 9" xfId="10298"/>
    <cellStyle name="40% - Accent1 2_Exh G" xfId="2725"/>
    <cellStyle name="40% - Accent1 3" xfId="354"/>
    <cellStyle name="40% - Accent1 3 10" xfId="18257"/>
    <cellStyle name="40% - Accent1 3 2" xfId="355"/>
    <cellStyle name="40% - Accent1 3 2 2" xfId="356"/>
    <cellStyle name="40% - Accent1 3 2 2 2" xfId="1384"/>
    <cellStyle name="40% - Accent1 3 2 2 2 2" xfId="4914"/>
    <cellStyle name="40% - Accent1 3 2 2 2 2 2" xfId="8505"/>
    <cellStyle name="40% - Accent1 3 2 2 2 2 2 2" xfId="16476"/>
    <cellStyle name="40% - Accent1 3 2 2 2 2 2 3" xfId="24422"/>
    <cellStyle name="40% - Accent1 3 2 2 2 2 3" xfId="12938"/>
    <cellStyle name="40% - Accent1 3 2 2 2 2 4" xfId="20893"/>
    <cellStyle name="40% - Accent1 3 2 2 2 3" xfId="6746"/>
    <cellStyle name="40% - Accent1 3 2 2 2 3 2" xfId="14718"/>
    <cellStyle name="40% - Accent1 3 2 2 2 3 3" xfId="22665"/>
    <cellStyle name="40% - Accent1 3 2 2 2 4" xfId="11182"/>
    <cellStyle name="40% - Accent1 3 2 2 2 5" xfId="19137"/>
    <cellStyle name="40% - Accent1 3 2 2 2_Exh G" xfId="2740"/>
    <cellStyle name="40% - Accent1 3 2 2 3" xfId="4035"/>
    <cellStyle name="40% - Accent1 3 2 2 3 2" xfId="7627"/>
    <cellStyle name="40% - Accent1 3 2 2 3 2 2" xfId="15598"/>
    <cellStyle name="40% - Accent1 3 2 2 3 2 3" xfId="23544"/>
    <cellStyle name="40% - Accent1 3 2 2 3 3" xfId="12060"/>
    <cellStyle name="40% - Accent1 3 2 2 3 4" xfId="20015"/>
    <cellStyle name="40% - Accent1 3 2 2 4" xfId="5855"/>
    <cellStyle name="40% - Accent1 3 2 2 4 2" xfId="13839"/>
    <cellStyle name="40% - Accent1 3 2 2 4 3" xfId="21787"/>
    <cellStyle name="40% - Accent1 3 2 2 5" xfId="9408"/>
    <cellStyle name="40% - Accent1 3 2 2 5 2" xfId="17366"/>
    <cellStyle name="40% - Accent1 3 2 2 5 3" xfId="25310"/>
    <cellStyle name="40% - Accent1 3 2 2 6" xfId="10304"/>
    <cellStyle name="40% - Accent1 3 2 2 7" xfId="18259"/>
    <cellStyle name="40% - Accent1 3 2 2_Exh G" xfId="2739"/>
    <cellStyle name="40% - Accent1 3 2 3" xfId="938"/>
    <cellStyle name="40% - Accent1 3 2 3 2" xfId="1862"/>
    <cellStyle name="40% - Accent1 3 2 3 2 2" xfId="5380"/>
    <cellStyle name="40% - Accent1 3 2 3 2 2 2" xfId="8971"/>
    <cellStyle name="40% - Accent1 3 2 3 2 2 2 2" xfId="16942"/>
    <cellStyle name="40% - Accent1 3 2 3 2 2 2 3" xfId="24888"/>
    <cellStyle name="40% - Accent1 3 2 3 2 2 3" xfId="13404"/>
    <cellStyle name="40% - Accent1 3 2 3 2 2 4" xfId="21359"/>
    <cellStyle name="40% - Accent1 3 2 3 2 3" xfId="7212"/>
    <cellStyle name="40% - Accent1 3 2 3 2 3 2" xfId="15184"/>
    <cellStyle name="40% - Accent1 3 2 3 2 3 3" xfId="23131"/>
    <cellStyle name="40% - Accent1 3 2 3 2 4" xfId="11648"/>
    <cellStyle name="40% - Accent1 3 2 3 2 5" xfId="19603"/>
    <cellStyle name="40% - Accent1 3 2 3 2_Exh G" xfId="2742"/>
    <cellStyle name="40% - Accent1 3 2 3 3" xfId="4501"/>
    <cellStyle name="40% - Accent1 3 2 3 3 2" xfId="8093"/>
    <cellStyle name="40% - Accent1 3 2 3 3 2 2" xfId="16064"/>
    <cellStyle name="40% - Accent1 3 2 3 3 2 3" xfId="24010"/>
    <cellStyle name="40% - Accent1 3 2 3 3 3" xfId="12526"/>
    <cellStyle name="40% - Accent1 3 2 3 3 4" xfId="20481"/>
    <cellStyle name="40% - Accent1 3 2 3 4" xfId="6331"/>
    <cellStyle name="40% - Accent1 3 2 3 4 2" xfId="14306"/>
    <cellStyle name="40% - Accent1 3 2 3 4 3" xfId="22253"/>
    <cellStyle name="40% - Accent1 3 2 3 5" xfId="9874"/>
    <cellStyle name="40% - Accent1 3 2 3 5 2" xfId="17832"/>
    <cellStyle name="40% - Accent1 3 2 3 5 3" xfId="25776"/>
    <cellStyle name="40% - Accent1 3 2 3 6" xfId="10770"/>
    <cellStyle name="40% - Accent1 3 2 3 7" xfId="18725"/>
    <cellStyle name="40% - Accent1 3 2 3_Exh G" xfId="2741"/>
    <cellStyle name="40% - Accent1 3 2 4" xfId="1383"/>
    <cellStyle name="40% - Accent1 3 2 4 2" xfId="4913"/>
    <cellStyle name="40% - Accent1 3 2 4 2 2" xfId="8504"/>
    <cellStyle name="40% - Accent1 3 2 4 2 2 2" xfId="16475"/>
    <cellStyle name="40% - Accent1 3 2 4 2 2 3" xfId="24421"/>
    <cellStyle name="40% - Accent1 3 2 4 2 3" xfId="12937"/>
    <cellStyle name="40% - Accent1 3 2 4 2 4" xfId="20892"/>
    <cellStyle name="40% - Accent1 3 2 4 3" xfId="6745"/>
    <cellStyle name="40% - Accent1 3 2 4 3 2" xfId="14717"/>
    <cellStyle name="40% - Accent1 3 2 4 3 3" xfId="22664"/>
    <cellStyle name="40% - Accent1 3 2 4 4" xfId="11181"/>
    <cellStyle name="40% - Accent1 3 2 4 5" xfId="19136"/>
    <cellStyle name="40% - Accent1 3 2 4_Exh G" xfId="2743"/>
    <cellStyle name="40% - Accent1 3 2 5" xfId="4034"/>
    <cellStyle name="40% - Accent1 3 2 5 2" xfId="7626"/>
    <cellStyle name="40% - Accent1 3 2 5 2 2" xfId="15597"/>
    <cellStyle name="40% - Accent1 3 2 5 2 3" xfId="23543"/>
    <cellStyle name="40% - Accent1 3 2 5 3" xfId="12059"/>
    <cellStyle name="40% - Accent1 3 2 5 4" xfId="20014"/>
    <cellStyle name="40% - Accent1 3 2 6" xfId="5854"/>
    <cellStyle name="40% - Accent1 3 2 6 2" xfId="13838"/>
    <cellStyle name="40% - Accent1 3 2 6 3" xfId="21786"/>
    <cellStyle name="40% - Accent1 3 2 7" xfId="9407"/>
    <cellStyle name="40% - Accent1 3 2 7 2" xfId="17365"/>
    <cellStyle name="40% - Accent1 3 2 7 3" xfId="25309"/>
    <cellStyle name="40% - Accent1 3 2 8" xfId="10303"/>
    <cellStyle name="40% - Accent1 3 2 9" xfId="18258"/>
    <cellStyle name="40% - Accent1 3 2_Exh G" xfId="2738"/>
    <cellStyle name="40% - Accent1 3 3" xfId="357"/>
    <cellStyle name="40% - Accent1 3 3 2" xfId="1385"/>
    <cellStyle name="40% - Accent1 3 3 2 2" xfId="4915"/>
    <cellStyle name="40% - Accent1 3 3 2 2 2" xfId="8506"/>
    <cellStyle name="40% - Accent1 3 3 2 2 2 2" xfId="16477"/>
    <cellStyle name="40% - Accent1 3 3 2 2 2 3" xfId="24423"/>
    <cellStyle name="40% - Accent1 3 3 2 2 3" xfId="12939"/>
    <cellStyle name="40% - Accent1 3 3 2 2 4" xfId="20894"/>
    <cellStyle name="40% - Accent1 3 3 2 3" xfId="6747"/>
    <cellStyle name="40% - Accent1 3 3 2 3 2" xfId="14719"/>
    <cellStyle name="40% - Accent1 3 3 2 3 3" xfId="22666"/>
    <cellStyle name="40% - Accent1 3 3 2 4" xfId="11183"/>
    <cellStyle name="40% - Accent1 3 3 2 5" xfId="19138"/>
    <cellStyle name="40% - Accent1 3 3 2_Exh G" xfId="2745"/>
    <cellStyle name="40% - Accent1 3 3 3" xfId="4036"/>
    <cellStyle name="40% - Accent1 3 3 3 2" xfId="7628"/>
    <cellStyle name="40% - Accent1 3 3 3 2 2" xfId="15599"/>
    <cellStyle name="40% - Accent1 3 3 3 2 3" xfId="23545"/>
    <cellStyle name="40% - Accent1 3 3 3 3" xfId="12061"/>
    <cellStyle name="40% - Accent1 3 3 3 4" xfId="20016"/>
    <cellStyle name="40% - Accent1 3 3 4" xfId="5856"/>
    <cellStyle name="40% - Accent1 3 3 4 2" xfId="13840"/>
    <cellStyle name="40% - Accent1 3 3 4 3" xfId="21788"/>
    <cellStyle name="40% - Accent1 3 3 5" xfId="9409"/>
    <cellStyle name="40% - Accent1 3 3 5 2" xfId="17367"/>
    <cellStyle name="40% - Accent1 3 3 5 3" xfId="25311"/>
    <cellStyle name="40% - Accent1 3 3 6" xfId="10305"/>
    <cellStyle name="40% - Accent1 3 3 7" xfId="18260"/>
    <cellStyle name="40% - Accent1 3 3_Exh G" xfId="2744"/>
    <cellStyle name="40% - Accent1 3 4" xfId="937"/>
    <cellStyle name="40% - Accent1 3 4 2" xfId="1861"/>
    <cellStyle name="40% - Accent1 3 4 2 2" xfId="5379"/>
    <cellStyle name="40% - Accent1 3 4 2 2 2" xfId="8970"/>
    <cellStyle name="40% - Accent1 3 4 2 2 2 2" xfId="16941"/>
    <cellStyle name="40% - Accent1 3 4 2 2 2 3" xfId="24887"/>
    <cellStyle name="40% - Accent1 3 4 2 2 3" xfId="13403"/>
    <cellStyle name="40% - Accent1 3 4 2 2 4" xfId="21358"/>
    <cellStyle name="40% - Accent1 3 4 2 3" xfId="7211"/>
    <cellStyle name="40% - Accent1 3 4 2 3 2" xfId="15183"/>
    <cellStyle name="40% - Accent1 3 4 2 3 3" xfId="23130"/>
    <cellStyle name="40% - Accent1 3 4 2 4" xfId="11647"/>
    <cellStyle name="40% - Accent1 3 4 2 5" xfId="19602"/>
    <cellStyle name="40% - Accent1 3 4 2_Exh G" xfId="2747"/>
    <cellStyle name="40% - Accent1 3 4 3" xfId="4500"/>
    <cellStyle name="40% - Accent1 3 4 3 2" xfId="8092"/>
    <cellStyle name="40% - Accent1 3 4 3 2 2" xfId="16063"/>
    <cellStyle name="40% - Accent1 3 4 3 2 3" xfId="24009"/>
    <cellStyle name="40% - Accent1 3 4 3 3" xfId="12525"/>
    <cellStyle name="40% - Accent1 3 4 3 4" xfId="20480"/>
    <cellStyle name="40% - Accent1 3 4 4" xfId="6330"/>
    <cellStyle name="40% - Accent1 3 4 4 2" xfId="14305"/>
    <cellStyle name="40% - Accent1 3 4 4 3" xfId="22252"/>
    <cellStyle name="40% - Accent1 3 4 5" xfId="9873"/>
    <cellStyle name="40% - Accent1 3 4 5 2" xfId="17831"/>
    <cellStyle name="40% - Accent1 3 4 5 3" xfId="25775"/>
    <cellStyle name="40% - Accent1 3 4 6" xfId="10769"/>
    <cellStyle name="40% - Accent1 3 4 7" xfId="18724"/>
    <cellStyle name="40% - Accent1 3 4_Exh G" xfId="2746"/>
    <cellStyle name="40% - Accent1 3 5" xfId="1382"/>
    <cellStyle name="40% - Accent1 3 5 2" xfId="4912"/>
    <cellStyle name="40% - Accent1 3 5 2 2" xfId="8503"/>
    <cellStyle name="40% - Accent1 3 5 2 2 2" xfId="16474"/>
    <cellStyle name="40% - Accent1 3 5 2 2 3" xfId="24420"/>
    <cellStyle name="40% - Accent1 3 5 2 3" xfId="12936"/>
    <cellStyle name="40% - Accent1 3 5 2 4" xfId="20891"/>
    <cellStyle name="40% - Accent1 3 5 3" xfId="6744"/>
    <cellStyle name="40% - Accent1 3 5 3 2" xfId="14716"/>
    <cellStyle name="40% - Accent1 3 5 3 3" xfId="22663"/>
    <cellStyle name="40% - Accent1 3 5 4" xfId="11180"/>
    <cellStyle name="40% - Accent1 3 5 5" xfId="19135"/>
    <cellStyle name="40% - Accent1 3 5_Exh G" xfId="2748"/>
    <cellStyle name="40% - Accent1 3 6" xfId="4033"/>
    <cellStyle name="40% - Accent1 3 6 2" xfId="7625"/>
    <cellStyle name="40% - Accent1 3 6 2 2" xfId="15596"/>
    <cellStyle name="40% - Accent1 3 6 2 3" xfId="23542"/>
    <cellStyle name="40% - Accent1 3 6 3" xfId="12058"/>
    <cellStyle name="40% - Accent1 3 6 4" xfId="20013"/>
    <cellStyle name="40% - Accent1 3 7" xfId="5853"/>
    <cellStyle name="40% - Accent1 3 7 2" xfId="13837"/>
    <cellStyle name="40% - Accent1 3 7 3" xfId="21785"/>
    <cellStyle name="40% - Accent1 3 8" xfId="9406"/>
    <cellStyle name="40% - Accent1 3 8 2" xfId="17364"/>
    <cellStyle name="40% - Accent1 3 8 3" xfId="25308"/>
    <cellStyle name="40% - Accent1 3 9" xfId="10302"/>
    <cellStyle name="40% - Accent1 3_Exh G" xfId="2737"/>
    <cellStyle name="40% - Accent1 4" xfId="358"/>
    <cellStyle name="40% - Accent1 4 10" xfId="18261"/>
    <cellStyle name="40% - Accent1 4 2" xfId="359"/>
    <cellStyle name="40% - Accent1 4 2 2" xfId="360"/>
    <cellStyle name="40% - Accent1 4 2 2 2" xfId="1388"/>
    <cellStyle name="40% - Accent1 4 2 2 2 2" xfId="4918"/>
    <cellStyle name="40% - Accent1 4 2 2 2 2 2" xfId="8509"/>
    <cellStyle name="40% - Accent1 4 2 2 2 2 2 2" xfId="16480"/>
    <cellStyle name="40% - Accent1 4 2 2 2 2 2 3" xfId="24426"/>
    <cellStyle name="40% - Accent1 4 2 2 2 2 3" xfId="12942"/>
    <cellStyle name="40% - Accent1 4 2 2 2 2 4" xfId="20897"/>
    <cellStyle name="40% - Accent1 4 2 2 2 3" xfId="6750"/>
    <cellStyle name="40% - Accent1 4 2 2 2 3 2" xfId="14722"/>
    <cellStyle name="40% - Accent1 4 2 2 2 3 3" xfId="22669"/>
    <cellStyle name="40% - Accent1 4 2 2 2 4" xfId="11186"/>
    <cellStyle name="40% - Accent1 4 2 2 2 5" xfId="19141"/>
    <cellStyle name="40% - Accent1 4 2 2 2_Exh G" xfId="2752"/>
    <cellStyle name="40% - Accent1 4 2 2 3" xfId="4039"/>
    <cellStyle name="40% - Accent1 4 2 2 3 2" xfId="7631"/>
    <cellStyle name="40% - Accent1 4 2 2 3 2 2" xfId="15602"/>
    <cellStyle name="40% - Accent1 4 2 2 3 2 3" xfId="23548"/>
    <cellStyle name="40% - Accent1 4 2 2 3 3" xfId="12064"/>
    <cellStyle name="40% - Accent1 4 2 2 3 4" xfId="20019"/>
    <cellStyle name="40% - Accent1 4 2 2 4" xfId="5859"/>
    <cellStyle name="40% - Accent1 4 2 2 4 2" xfId="13843"/>
    <cellStyle name="40% - Accent1 4 2 2 4 3" xfId="21791"/>
    <cellStyle name="40% - Accent1 4 2 2 5" xfId="9412"/>
    <cellStyle name="40% - Accent1 4 2 2 5 2" xfId="17370"/>
    <cellStyle name="40% - Accent1 4 2 2 5 3" xfId="25314"/>
    <cellStyle name="40% - Accent1 4 2 2 6" xfId="10308"/>
    <cellStyle name="40% - Accent1 4 2 2 7" xfId="18263"/>
    <cellStyle name="40% - Accent1 4 2 2_Exh G" xfId="2751"/>
    <cellStyle name="40% - Accent1 4 2 3" xfId="940"/>
    <cellStyle name="40% - Accent1 4 2 3 2" xfId="1864"/>
    <cellStyle name="40% - Accent1 4 2 3 2 2" xfId="5382"/>
    <cellStyle name="40% - Accent1 4 2 3 2 2 2" xfId="8973"/>
    <cellStyle name="40% - Accent1 4 2 3 2 2 2 2" xfId="16944"/>
    <cellStyle name="40% - Accent1 4 2 3 2 2 2 3" xfId="24890"/>
    <cellStyle name="40% - Accent1 4 2 3 2 2 3" xfId="13406"/>
    <cellStyle name="40% - Accent1 4 2 3 2 2 4" xfId="21361"/>
    <cellStyle name="40% - Accent1 4 2 3 2 3" xfId="7214"/>
    <cellStyle name="40% - Accent1 4 2 3 2 3 2" xfId="15186"/>
    <cellStyle name="40% - Accent1 4 2 3 2 3 3" xfId="23133"/>
    <cellStyle name="40% - Accent1 4 2 3 2 4" xfId="11650"/>
    <cellStyle name="40% - Accent1 4 2 3 2 5" xfId="19605"/>
    <cellStyle name="40% - Accent1 4 2 3 2_Exh G" xfId="2754"/>
    <cellStyle name="40% - Accent1 4 2 3 3" xfId="4503"/>
    <cellStyle name="40% - Accent1 4 2 3 3 2" xfId="8095"/>
    <cellStyle name="40% - Accent1 4 2 3 3 2 2" xfId="16066"/>
    <cellStyle name="40% - Accent1 4 2 3 3 2 3" xfId="24012"/>
    <cellStyle name="40% - Accent1 4 2 3 3 3" xfId="12528"/>
    <cellStyle name="40% - Accent1 4 2 3 3 4" xfId="20483"/>
    <cellStyle name="40% - Accent1 4 2 3 4" xfId="6333"/>
    <cellStyle name="40% - Accent1 4 2 3 4 2" xfId="14308"/>
    <cellStyle name="40% - Accent1 4 2 3 4 3" xfId="22255"/>
    <cellStyle name="40% - Accent1 4 2 3 5" xfId="9876"/>
    <cellStyle name="40% - Accent1 4 2 3 5 2" xfId="17834"/>
    <cellStyle name="40% - Accent1 4 2 3 5 3" xfId="25778"/>
    <cellStyle name="40% - Accent1 4 2 3 6" xfId="10772"/>
    <cellStyle name="40% - Accent1 4 2 3 7" xfId="18727"/>
    <cellStyle name="40% - Accent1 4 2 3_Exh G" xfId="2753"/>
    <cellStyle name="40% - Accent1 4 2 4" xfId="1387"/>
    <cellStyle name="40% - Accent1 4 2 4 2" xfId="4917"/>
    <cellStyle name="40% - Accent1 4 2 4 2 2" xfId="8508"/>
    <cellStyle name="40% - Accent1 4 2 4 2 2 2" xfId="16479"/>
    <cellStyle name="40% - Accent1 4 2 4 2 2 3" xfId="24425"/>
    <cellStyle name="40% - Accent1 4 2 4 2 3" xfId="12941"/>
    <cellStyle name="40% - Accent1 4 2 4 2 4" xfId="20896"/>
    <cellStyle name="40% - Accent1 4 2 4 3" xfId="6749"/>
    <cellStyle name="40% - Accent1 4 2 4 3 2" xfId="14721"/>
    <cellStyle name="40% - Accent1 4 2 4 3 3" xfId="22668"/>
    <cellStyle name="40% - Accent1 4 2 4 4" xfId="11185"/>
    <cellStyle name="40% - Accent1 4 2 4 5" xfId="19140"/>
    <cellStyle name="40% - Accent1 4 2 4_Exh G" xfId="2755"/>
    <cellStyle name="40% - Accent1 4 2 5" xfId="4038"/>
    <cellStyle name="40% - Accent1 4 2 5 2" xfId="7630"/>
    <cellStyle name="40% - Accent1 4 2 5 2 2" xfId="15601"/>
    <cellStyle name="40% - Accent1 4 2 5 2 3" xfId="23547"/>
    <cellStyle name="40% - Accent1 4 2 5 3" xfId="12063"/>
    <cellStyle name="40% - Accent1 4 2 5 4" xfId="20018"/>
    <cellStyle name="40% - Accent1 4 2 6" xfId="5858"/>
    <cellStyle name="40% - Accent1 4 2 6 2" xfId="13842"/>
    <cellStyle name="40% - Accent1 4 2 6 3" xfId="21790"/>
    <cellStyle name="40% - Accent1 4 2 7" xfId="9411"/>
    <cellStyle name="40% - Accent1 4 2 7 2" xfId="17369"/>
    <cellStyle name="40% - Accent1 4 2 7 3" xfId="25313"/>
    <cellStyle name="40% - Accent1 4 2 8" xfId="10307"/>
    <cellStyle name="40% - Accent1 4 2 9" xfId="18262"/>
    <cellStyle name="40% - Accent1 4 2_Exh G" xfId="2750"/>
    <cellStyle name="40% - Accent1 4 3" xfId="361"/>
    <cellStyle name="40% - Accent1 4 3 2" xfId="1389"/>
    <cellStyle name="40% - Accent1 4 3 2 2" xfId="4919"/>
    <cellStyle name="40% - Accent1 4 3 2 2 2" xfId="8510"/>
    <cellStyle name="40% - Accent1 4 3 2 2 2 2" xfId="16481"/>
    <cellStyle name="40% - Accent1 4 3 2 2 2 3" xfId="24427"/>
    <cellStyle name="40% - Accent1 4 3 2 2 3" xfId="12943"/>
    <cellStyle name="40% - Accent1 4 3 2 2 4" xfId="20898"/>
    <cellStyle name="40% - Accent1 4 3 2 3" xfId="6751"/>
    <cellStyle name="40% - Accent1 4 3 2 3 2" xfId="14723"/>
    <cellStyle name="40% - Accent1 4 3 2 3 3" xfId="22670"/>
    <cellStyle name="40% - Accent1 4 3 2 4" xfId="11187"/>
    <cellStyle name="40% - Accent1 4 3 2 5" xfId="19142"/>
    <cellStyle name="40% - Accent1 4 3 2_Exh G" xfId="2757"/>
    <cellStyle name="40% - Accent1 4 3 3" xfId="4040"/>
    <cellStyle name="40% - Accent1 4 3 3 2" xfId="7632"/>
    <cellStyle name="40% - Accent1 4 3 3 2 2" xfId="15603"/>
    <cellStyle name="40% - Accent1 4 3 3 2 3" xfId="23549"/>
    <cellStyle name="40% - Accent1 4 3 3 3" xfId="12065"/>
    <cellStyle name="40% - Accent1 4 3 3 4" xfId="20020"/>
    <cellStyle name="40% - Accent1 4 3 4" xfId="5860"/>
    <cellStyle name="40% - Accent1 4 3 4 2" xfId="13844"/>
    <cellStyle name="40% - Accent1 4 3 4 3" xfId="21792"/>
    <cellStyle name="40% - Accent1 4 3 5" xfId="9413"/>
    <cellStyle name="40% - Accent1 4 3 5 2" xfId="17371"/>
    <cellStyle name="40% - Accent1 4 3 5 3" xfId="25315"/>
    <cellStyle name="40% - Accent1 4 3 6" xfId="10309"/>
    <cellStyle name="40% - Accent1 4 3 7" xfId="18264"/>
    <cellStyle name="40% - Accent1 4 3_Exh G" xfId="2756"/>
    <cellStyle name="40% - Accent1 4 4" xfId="939"/>
    <cellStyle name="40% - Accent1 4 4 2" xfId="1863"/>
    <cellStyle name="40% - Accent1 4 4 2 2" xfId="5381"/>
    <cellStyle name="40% - Accent1 4 4 2 2 2" xfId="8972"/>
    <cellStyle name="40% - Accent1 4 4 2 2 2 2" xfId="16943"/>
    <cellStyle name="40% - Accent1 4 4 2 2 2 3" xfId="24889"/>
    <cellStyle name="40% - Accent1 4 4 2 2 3" xfId="13405"/>
    <cellStyle name="40% - Accent1 4 4 2 2 4" xfId="21360"/>
    <cellStyle name="40% - Accent1 4 4 2 3" xfId="7213"/>
    <cellStyle name="40% - Accent1 4 4 2 3 2" xfId="15185"/>
    <cellStyle name="40% - Accent1 4 4 2 3 3" xfId="23132"/>
    <cellStyle name="40% - Accent1 4 4 2 4" xfId="11649"/>
    <cellStyle name="40% - Accent1 4 4 2 5" xfId="19604"/>
    <cellStyle name="40% - Accent1 4 4 2_Exh G" xfId="2759"/>
    <cellStyle name="40% - Accent1 4 4 3" xfId="4502"/>
    <cellStyle name="40% - Accent1 4 4 3 2" xfId="8094"/>
    <cellStyle name="40% - Accent1 4 4 3 2 2" xfId="16065"/>
    <cellStyle name="40% - Accent1 4 4 3 2 3" xfId="24011"/>
    <cellStyle name="40% - Accent1 4 4 3 3" xfId="12527"/>
    <cellStyle name="40% - Accent1 4 4 3 4" xfId="20482"/>
    <cellStyle name="40% - Accent1 4 4 4" xfId="6332"/>
    <cellStyle name="40% - Accent1 4 4 4 2" xfId="14307"/>
    <cellStyle name="40% - Accent1 4 4 4 3" xfId="22254"/>
    <cellStyle name="40% - Accent1 4 4 5" xfId="9875"/>
    <cellStyle name="40% - Accent1 4 4 5 2" xfId="17833"/>
    <cellStyle name="40% - Accent1 4 4 5 3" xfId="25777"/>
    <cellStyle name="40% - Accent1 4 4 6" xfId="10771"/>
    <cellStyle name="40% - Accent1 4 4 7" xfId="18726"/>
    <cellStyle name="40% - Accent1 4 4_Exh G" xfId="2758"/>
    <cellStyle name="40% - Accent1 4 5" xfId="1386"/>
    <cellStyle name="40% - Accent1 4 5 2" xfId="4916"/>
    <cellStyle name="40% - Accent1 4 5 2 2" xfId="8507"/>
    <cellStyle name="40% - Accent1 4 5 2 2 2" xfId="16478"/>
    <cellStyle name="40% - Accent1 4 5 2 2 3" xfId="24424"/>
    <cellStyle name="40% - Accent1 4 5 2 3" xfId="12940"/>
    <cellStyle name="40% - Accent1 4 5 2 4" xfId="20895"/>
    <cellStyle name="40% - Accent1 4 5 3" xfId="6748"/>
    <cellStyle name="40% - Accent1 4 5 3 2" xfId="14720"/>
    <cellStyle name="40% - Accent1 4 5 3 3" xfId="22667"/>
    <cellStyle name="40% - Accent1 4 5 4" xfId="11184"/>
    <cellStyle name="40% - Accent1 4 5 5" xfId="19139"/>
    <cellStyle name="40% - Accent1 4 5_Exh G" xfId="2760"/>
    <cellStyle name="40% - Accent1 4 6" xfId="4037"/>
    <cellStyle name="40% - Accent1 4 6 2" xfId="7629"/>
    <cellStyle name="40% - Accent1 4 6 2 2" xfId="15600"/>
    <cellStyle name="40% - Accent1 4 6 2 3" xfId="23546"/>
    <cellStyle name="40% - Accent1 4 6 3" xfId="12062"/>
    <cellStyle name="40% - Accent1 4 6 4" xfId="20017"/>
    <cellStyle name="40% - Accent1 4 7" xfId="5857"/>
    <cellStyle name="40% - Accent1 4 7 2" xfId="13841"/>
    <cellStyle name="40% - Accent1 4 7 3" xfId="21789"/>
    <cellStyle name="40% - Accent1 4 8" xfId="9410"/>
    <cellStyle name="40% - Accent1 4 8 2" xfId="17368"/>
    <cellStyle name="40% - Accent1 4 8 3" xfId="25312"/>
    <cellStyle name="40% - Accent1 4 9" xfId="10306"/>
    <cellStyle name="40% - Accent1 4_Exh G" xfId="2749"/>
    <cellStyle name="40% - Accent1 5" xfId="362"/>
    <cellStyle name="40% - Accent1 5 10" xfId="18265"/>
    <cellStyle name="40% - Accent1 5 2" xfId="363"/>
    <cellStyle name="40% - Accent1 5 2 2" xfId="364"/>
    <cellStyle name="40% - Accent1 5 2 2 2" xfId="1392"/>
    <cellStyle name="40% - Accent1 5 2 2 2 2" xfId="4922"/>
    <cellStyle name="40% - Accent1 5 2 2 2 2 2" xfId="8513"/>
    <cellStyle name="40% - Accent1 5 2 2 2 2 2 2" xfId="16484"/>
    <cellStyle name="40% - Accent1 5 2 2 2 2 2 3" xfId="24430"/>
    <cellStyle name="40% - Accent1 5 2 2 2 2 3" xfId="12946"/>
    <cellStyle name="40% - Accent1 5 2 2 2 2 4" xfId="20901"/>
    <cellStyle name="40% - Accent1 5 2 2 2 3" xfId="6754"/>
    <cellStyle name="40% - Accent1 5 2 2 2 3 2" xfId="14726"/>
    <cellStyle name="40% - Accent1 5 2 2 2 3 3" xfId="22673"/>
    <cellStyle name="40% - Accent1 5 2 2 2 4" xfId="11190"/>
    <cellStyle name="40% - Accent1 5 2 2 2 5" xfId="19145"/>
    <cellStyle name="40% - Accent1 5 2 2 2_Exh G" xfId="2764"/>
    <cellStyle name="40% - Accent1 5 2 2 3" xfId="4043"/>
    <cellStyle name="40% - Accent1 5 2 2 3 2" xfId="7635"/>
    <cellStyle name="40% - Accent1 5 2 2 3 2 2" xfId="15606"/>
    <cellStyle name="40% - Accent1 5 2 2 3 2 3" xfId="23552"/>
    <cellStyle name="40% - Accent1 5 2 2 3 3" xfId="12068"/>
    <cellStyle name="40% - Accent1 5 2 2 3 4" xfId="20023"/>
    <cellStyle name="40% - Accent1 5 2 2 4" xfId="5863"/>
    <cellStyle name="40% - Accent1 5 2 2 4 2" xfId="13847"/>
    <cellStyle name="40% - Accent1 5 2 2 4 3" xfId="21795"/>
    <cellStyle name="40% - Accent1 5 2 2 5" xfId="9416"/>
    <cellStyle name="40% - Accent1 5 2 2 5 2" xfId="17374"/>
    <cellStyle name="40% - Accent1 5 2 2 5 3" xfId="25318"/>
    <cellStyle name="40% - Accent1 5 2 2 6" xfId="10312"/>
    <cellStyle name="40% - Accent1 5 2 2 7" xfId="18267"/>
    <cellStyle name="40% - Accent1 5 2 2_Exh G" xfId="2763"/>
    <cellStyle name="40% - Accent1 5 2 3" xfId="1391"/>
    <cellStyle name="40% - Accent1 5 2 3 2" xfId="4921"/>
    <cellStyle name="40% - Accent1 5 2 3 2 2" xfId="8512"/>
    <cellStyle name="40% - Accent1 5 2 3 2 2 2" xfId="16483"/>
    <cellStyle name="40% - Accent1 5 2 3 2 2 3" xfId="24429"/>
    <cellStyle name="40% - Accent1 5 2 3 2 3" xfId="12945"/>
    <cellStyle name="40% - Accent1 5 2 3 2 4" xfId="20900"/>
    <cellStyle name="40% - Accent1 5 2 3 3" xfId="6753"/>
    <cellStyle name="40% - Accent1 5 2 3 3 2" xfId="14725"/>
    <cellStyle name="40% - Accent1 5 2 3 3 3" xfId="22672"/>
    <cellStyle name="40% - Accent1 5 2 3 4" xfId="11189"/>
    <cellStyle name="40% - Accent1 5 2 3 5" xfId="19144"/>
    <cellStyle name="40% - Accent1 5 2 3_Exh G" xfId="2765"/>
    <cellStyle name="40% - Accent1 5 2 4" xfId="4042"/>
    <cellStyle name="40% - Accent1 5 2 4 2" xfId="7634"/>
    <cellStyle name="40% - Accent1 5 2 4 2 2" xfId="15605"/>
    <cellStyle name="40% - Accent1 5 2 4 2 3" xfId="23551"/>
    <cellStyle name="40% - Accent1 5 2 4 3" xfId="12067"/>
    <cellStyle name="40% - Accent1 5 2 4 4" xfId="20022"/>
    <cellStyle name="40% - Accent1 5 2 5" xfId="5862"/>
    <cellStyle name="40% - Accent1 5 2 5 2" xfId="13846"/>
    <cellStyle name="40% - Accent1 5 2 5 3" xfId="21794"/>
    <cellStyle name="40% - Accent1 5 2 6" xfId="9415"/>
    <cellStyle name="40% - Accent1 5 2 6 2" xfId="17373"/>
    <cellStyle name="40% - Accent1 5 2 6 3" xfId="25317"/>
    <cellStyle name="40% - Accent1 5 2 7" xfId="10311"/>
    <cellStyle name="40% - Accent1 5 2 8" xfId="18266"/>
    <cellStyle name="40% - Accent1 5 2_Exh G" xfId="2762"/>
    <cellStyle name="40% - Accent1 5 3" xfId="365"/>
    <cellStyle name="40% - Accent1 5 3 2" xfId="1393"/>
    <cellStyle name="40% - Accent1 5 3 2 2" xfId="4923"/>
    <cellStyle name="40% - Accent1 5 3 2 2 2" xfId="8514"/>
    <cellStyle name="40% - Accent1 5 3 2 2 2 2" xfId="16485"/>
    <cellStyle name="40% - Accent1 5 3 2 2 2 3" xfId="24431"/>
    <cellStyle name="40% - Accent1 5 3 2 2 3" xfId="12947"/>
    <cellStyle name="40% - Accent1 5 3 2 2 4" xfId="20902"/>
    <cellStyle name="40% - Accent1 5 3 2 3" xfId="6755"/>
    <cellStyle name="40% - Accent1 5 3 2 3 2" xfId="14727"/>
    <cellStyle name="40% - Accent1 5 3 2 3 3" xfId="22674"/>
    <cellStyle name="40% - Accent1 5 3 2 4" xfId="11191"/>
    <cellStyle name="40% - Accent1 5 3 2 5" xfId="19146"/>
    <cellStyle name="40% - Accent1 5 3 2_Exh G" xfId="2767"/>
    <cellStyle name="40% - Accent1 5 3 3" xfId="4044"/>
    <cellStyle name="40% - Accent1 5 3 3 2" xfId="7636"/>
    <cellStyle name="40% - Accent1 5 3 3 2 2" xfId="15607"/>
    <cellStyle name="40% - Accent1 5 3 3 2 3" xfId="23553"/>
    <cellStyle name="40% - Accent1 5 3 3 3" xfId="12069"/>
    <cellStyle name="40% - Accent1 5 3 3 4" xfId="20024"/>
    <cellStyle name="40% - Accent1 5 3 4" xfId="5864"/>
    <cellStyle name="40% - Accent1 5 3 4 2" xfId="13848"/>
    <cellStyle name="40% - Accent1 5 3 4 3" xfId="21796"/>
    <cellStyle name="40% - Accent1 5 3 5" xfId="9417"/>
    <cellStyle name="40% - Accent1 5 3 5 2" xfId="17375"/>
    <cellStyle name="40% - Accent1 5 3 5 3" xfId="25319"/>
    <cellStyle name="40% - Accent1 5 3 6" xfId="10313"/>
    <cellStyle name="40% - Accent1 5 3 7" xfId="18268"/>
    <cellStyle name="40% - Accent1 5 3_Exh G" xfId="2766"/>
    <cellStyle name="40% - Accent1 5 4" xfId="941"/>
    <cellStyle name="40% - Accent1 5 5" xfId="1390"/>
    <cellStyle name="40% - Accent1 5 5 2" xfId="4920"/>
    <cellStyle name="40% - Accent1 5 5 2 2" xfId="8511"/>
    <cellStyle name="40% - Accent1 5 5 2 2 2" xfId="16482"/>
    <cellStyle name="40% - Accent1 5 5 2 2 3" xfId="24428"/>
    <cellStyle name="40% - Accent1 5 5 2 3" xfId="12944"/>
    <cellStyle name="40% - Accent1 5 5 2 4" xfId="20899"/>
    <cellStyle name="40% - Accent1 5 5 3" xfId="6752"/>
    <cellStyle name="40% - Accent1 5 5 3 2" xfId="14724"/>
    <cellStyle name="40% - Accent1 5 5 3 3" xfId="22671"/>
    <cellStyle name="40% - Accent1 5 5 4" xfId="11188"/>
    <cellStyle name="40% - Accent1 5 5 5" xfId="19143"/>
    <cellStyle name="40% - Accent1 5 5_Exh G" xfId="2768"/>
    <cellStyle name="40% - Accent1 5 6" xfId="4041"/>
    <cellStyle name="40% - Accent1 5 6 2" xfId="7633"/>
    <cellStyle name="40% - Accent1 5 6 2 2" xfId="15604"/>
    <cellStyle name="40% - Accent1 5 6 2 3" xfId="23550"/>
    <cellStyle name="40% - Accent1 5 6 3" xfId="12066"/>
    <cellStyle name="40% - Accent1 5 6 4" xfId="20021"/>
    <cellStyle name="40% - Accent1 5 7" xfId="5861"/>
    <cellStyle name="40% - Accent1 5 7 2" xfId="13845"/>
    <cellStyle name="40% - Accent1 5 7 3" xfId="21793"/>
    <cellStyle name="40% - Accent1 5 8" xfId="9414"/>
    <cellStyle name="40% - Accent1 5 8 2" xfId="17372"/>
    <cellStyle name="40% - Accent1 5 8 3" xfId="25316"/>
    <cellStyle name="40% - Accent1 5 9" xfId="10310"/>
    <cellStyle name="40% - Accent1 5_Exh G" xfId="2761"/>
    <cellStyle name="40% - Accent1 6" xfId="366"/>
    <cellStyle name="40% - Accent1 6 10" xfId="18269"/>
    <cellStyle name="40% - Accent1 6 2" xfId="367"/>
    <cellStyle name="40% - Accent1 6 2 2" xfId="368"/>
    <cellStyle name="40% - Accent1 6 2 2 2" xfId="1396"/>
    <cellStyle name="40% - Accent1 6 2 2 2 2" xfId="4926"/>
    <cellStyle name="40% - Accent1 6 2 2 2 2 2" xfId="8517"/>
    <cellStyle name="40% - Accent1 6 2 2 2 2 2 2" xfId="16488"/>
    <cellStyle name="40% - Accent1 6 2 2 2 2 2 3" xfId="24434"/>
    <cellStyle name="40% - Accent1 6 2 2 2 2 3" xfId="12950"/>
    <cellStyle name="40% - Accent1 6 2 2 2 2 4" xfId="20905"/>
    <cellStyle name="40% - Accent1 6 2 2 2 3" xfId="6758"/>
    <cellStyle name="40% - Accent1 6 2 2 2 3 2" xfId="14730"/>
    <cellStyle name="40% - Accent1 6 2 2 2 3 3" xfId="22677"/>
    <cellStyle name="40% - Accent1 6 2 2 2 4" xfId="11194"/>
    <cellStyle name="40% - Accent1 6 2 2 2 5" xfId="19149"/>
    <cellStyle name="40% - Accent1 6 2 2 2_Exh G" xfId="2772"/>
    <cellStyle name="40% - Accent1 6 2 2 3" xfId="4047"/>
    <cellStyle name="40% - Accent1 6 2 2 3 2" xfId="7639"/>
    <cellStyle name="40% - Accent1 6 2 2 3 2 2" xfId="15610"/>
    <cellStyle name="40% - Accent1 6 2 2 3 2 3" xfId="23556"/>
    <cellStyle name="40% - Accent1 6 2 2 3 3" xfId="12072"/>
    <cellStyle name="40% - Accent1 6 2 2 3 4" xfId="20027"/>
    <cellStyle name="40% - Accent1 6 2 2 4" xfId="5867"/>
    <cellStyle name="40% - Accent1 6 2 2 4 2" xfId="13851"/>
    <cellStyle name="40% - Accent1 6 2 2 4 3" xfId="21799"/>
    <cellStyle name="40% - Accent1 6 2 2 5" xfId="9420"/>
    <cellStyle name="40% - Accent1 6 2 2 5 2" xfId="17378"/>
    <cellStyle name="40% - Accent1 6 2 2 5 3" xfId="25322"/>
    <cellStyle name="40% - Accent1 6 2 2 6" xfId="10316"/>
    <cellStyle name="40% - Accent1 6 2 2 7" xfId="18271"/>
    <cellStyle name="40% - Accent1 6 2 2_Exh G" xfId="2771"/>
    <cellStyle name="40% - Accent1 6 2 3" xfId="1395"/>
    <cellStyle name="40% - Accent1 6 2 3 2" xfId="4925"/>
    <cellStyle name="40% - Accent1 6 2 3 2 2" xfId="8516"/>
    <cellStyle name="40% - Accent1 6 2 3 2 2 2" xfId="16487"/>
    <cellStyle name="40% - Accent1 6 2 3 2 2 3" xfId="24433"/>
    <cellStyle name="40% - Accent1 6 2 3 2 3" xfId="12949"/>
    <cellStyle name="40% - Accent1 6 2 3 2 4" xfId="20904"/>
    <cellStyle name="40% - Accent1 6 2 3 3" xfId="6757"/>
    <cellStyle name="40% - Accent1 6 2 3 3 2" xfId="14729"/>
    <cellStyle name="40% - Accent1 6 2 3 3 3" xfId="22676"/>
    <cellStyle name="40% - Accent1 6 2 3 4" xfId="11193"/>
    <cellStyle name="40% - Accent1 6 2 3 5" xfId="19148"/>
    <cellStyle name="40% - Accent1 6 2 3_Exh G" xfId="2773"/>
    <cellStyle name="40% - Accent1 6 2 4" xfId="4046"/>
    <cellStyle name="40% - Accent1 6 2 4 2" xfId="7638"/>
    <cellStyle name="40% - Accent1 6 2 4 2 2" xfId="15609"/>
    <cellStyle name="40% - Accent1 6 2 4 2 3" xfId="23555"/>
    <cellStyle name="40% - Accent1 6 2 4 3" xfId="12071"/>
    <cellStyle name="40% - Accent1 6 2 4 4" xfId="20026"/>
    <cellStyle name="40% - Accent1 6 2 5" xfId="5866"/>
    <cellStyle name="40% - Accent1 6 2 5 2" xfId="13850"/>
    <cellStyle name="40% - Accent1 6 2 5 3" xfId="21798"/>
    <cellStyle name="40% - Accent1 6 2 6" xfId="9419"/>
    <cellStyle name="40% - Accent1 6 2 6 2" xfId="17377"/>
    <cellStyle name="40% - Accent1 6 2 6 3" xfId="25321"/>
    <cellStyle name="40% - Accent1 6 2 7" xfId="10315"/>
    <cellStyle name="40% - Accent1 6 2 8" xfId="18270"/>
    <cellStyle name="40% - Accent1 6 2_Exh G" xfId="2770"/>
    <cellStyle name="40% - Accent1 6 3" xfId="369"/>
    <cellStyle name="40% - Accent1 6 3 2" xfId="1397"/>
    <cellStyle name="40% - Accent1 6 3 2 2" xfId="4927"/>
    <cellStyle name="40% - Accent1 6 3 2 2 2" xfId="8518"/>
    <cellStyle name="40% - Accent1 6 3 2 2 2 2" xfId="16489"/>
    <cellStyle name="40% - Accent1 6 3 2 2 2 3" xfId="24435"/>
    <cellStyle name="40% - Accent1 6 3 2 2 3" xfId="12951"/>
    <cellStyle name="40% - Accent1 6 3 2 2 4" xfId="20906"/>
    <cellStyle name="40% - Accent1 6 3 2 3" xfId="6759"/>
    <cellStyle name="40% - Accent1 6 3 2 3 2" xfId="14731"/>
    <cellStyle name="40% - Accent1 6 3 2 3 3" xfId="22678"/>
    <cellStyle name="40% - Accent1 6 3 2 4" xfId="11195"/>
    <cellStyle name="40% - Accent1 6 3 2 5" xfId="19150"/>
    <cellStyle name="40% - Accent1 6 3 2_Exh G" xfId="2775"/>
    <cellStyle name="40% - Accent1 6 3 3" xfId="4048"/>
    <cellStyle name="40% - Accent1 6 3 3 2" xfId="7640"/>
    <cellStyle name="40% - Accent1 6 3 3 2 2" xfId="15611"/>
    <cellStyle name="40% - Accent1 6 3 3 2 3" xfId="23557"/>
    <cellStyle name="40% - Accent1 6 3 3 3" xfId="12073"/>
    <cellStyle name="40% - Accent1 6 3 3 4" xfId="20028"/>
    <cellStyle name="40% - Accent1 6 3 4" xfId="5868"/>
    <cellStyle name="40% - Accent1 6 3 4 2" xfId="13852"/>
    <cellStyle name="40% - Accent1 6 3 4 3" xfId="21800"/>
    <cellStyle name="40% - Accent1 6 3 5" xfId="9421"/>
    <cellStyle name="40% - Accent1 6 3 5 2" xfId="17379"/>
    <cellStyle name="40% - Accent1 6 3 5 3" xfId="25323"/>
    <cellStyle name="40% - Accent1 6 3 6" xfId="10317"/>
    <cellStyle name="40% - Accent1 6 3 7" xfId="18272"/>
    <cellStyle name="40% - Accent1 6 3_Exh G" xfId="2774"/>
    <cellStyle name="40% - Accent1 6 4" xfId="942"/>
    <cellStyle name="40% - Accent1 6 4 2" xfId="1865"/>
    <cellStyle name="40% - Accent1 6 4 2 2" xfId="5383"/>
    <cellStyle name="40% - Accent1 6 4 2 2 2" xfId="8974"/>
    <cellStyle name="40% - Accent1 6 4 2 2 2 2" xfId="16945"/>
    <cellStyle name="40% - Accent1 6 4 2 2 2 3" xfId="24891"/>
    <cellStyle name="40% - Accent1 6 4 2 2 3" xfId="13407"/>
    <cellStyle name="40% - Accent1 6 4 2 2 4" xfId="21362"/>
    <cellStyle name="40% - Accent1 6 4 2 3" xfId="7215"/>
    <cellStyle name="40% - Accent1 6 4 2 3 2" xfId="15187"/>
    <cellStyle name="40% - Accent1 6 4 2 3 3" xfId="23134"/>
    <cellStyle name="40% - Accent1 6 4 2 4" xfId="11651"/>
    <cellStyle name="40% - Accent1 6 4 2 5" xfId="19606"/>
    <cellStyle name="40% - Accent1 6 4 2_Exh G" xfId="2777"/>
    <cellStyle name="40% - Accent1 6 4 3" xfId="4504"/>
    <cellStyle name="40% - Accent1 6 4 3 2" xfId="8096"/>
    <cellStyle name="40% - Accent1 6 4 3 2 2" xfId="16067"/>
    <cellStyle name="40% - Accent1 6 4 3 2 3" xfId="24013"/>
    <cellStyle name="40% - Accent1 6 4 3 3" xfId="12529"/>
    <cellStyle name="40% - Accent1 6 4 3 4" xfId="20484"/>
    <cellStyle name="40% - Accent1 6 4 4" xfId="6334"/>
    <cellStyle name="40% - Accent1 6 4 4 2" xfId="14309"/>
    <cellStyle name="40% - Accent1 6 4 4 3" xfId="22256"/>
    <cellStyle name="40% - Accent1 6 4 5" xfId="9877"/>
    <cellStyle name="40% - Accent1 6 4 5 2" xfId="17835"/>
    <cellStyle name="40% - Accent1 6 4 5 3" xfId="25779"/>
    <cellStyle name="40% - Accent1 6 4 6" xfId="10773"/>
    <cellStyle name="40% - Accent1 6 4 7" xfId="18728"/>
    <cellStyle name="40% - Accent1 6 4_Exh G" xfId="2776"/>
    <cellStyle name="40% - Accent1 6 5" xfId="1394"/>
    <cellStyle name="40% - Accent1 6 5 2" xfId="4924"/>
    <cellStyle name="40% - Accent1 6 5 2 2" xfId="8515"/>
    <cellStyle name="40% - Accent1 6 5 2 2 2" xfId="16486"/>
    <cellStyle name="40% - Accent1 6 5 2 2 3" xfId="24432"/>
    <cellStyle name="40% - Accent1 6 5 2 3" xfId="12948"/>
    <cellStyle name="40% - Accent1 6 5 2 4" xfId="20903"/>
    <cellStyle name="40% - Accent1 6 5 3" xfId="6756"/>
    <cellStyle name="40% - Accent1 6 5 3 2" xfId="14728"/>
    <cellStyle name="40% - Accent1 6 5 3 3" xfId="22675"/>
    <cellStyle name="40% - Accent1 6 5 4" xfId="11192"/>
    <cellStyle name="40% - Accent1 6 5 5" xfId="19147"/>
    <cellStyle name="40% - Accent1 6 5_Exh G" xfId="2778"/>
    <cellStyle name="40% - Accent1 6 6" xfId="4045"/>
    <cellStyle name="40% - Accent1 6 6 2" xfId="7637"/>
    <cellStyle name="40% - Accent1 6 6 2 2" xfId="15608"/>
    <cellStyle name="40% - Accent1 6 6 2 3" xfId="23554"/>
    <cellStyle name="40% - Accent1 6 6 3" xfId="12070"/>
    <cellStyle name="40% - Accent1 6 6 4" xfId="20025"/>
    <cellStyle name="40% - Accent1 6 7" xfId="5865"/>
    <cellStyle name="40% - Accent1 6 7 2" xfId="13849"/>
    <cellStyle name="40% - Accent1 6 7 3" xfId="21797"/>
    <cellStyle name="40% - Accent1 6 8" xfId="9418"/>
    <cellStyle name="40% - Accent1 6 8 2" xfId="17376"/>
    <cellStyle name="40% - Accent1 6 8 3" xfId="25320"/>
    <cellStyle name="40% - Accent1 6 9" xfId="10314"/>
    <cellStyle name="40% - Accent1 6_Exh G" xfId="2769"/>
    <cellStyle name="40% - Accent1 7" xfId="370"/>
    <cellStyle name="40% - Accent1 7 10" xfId="18273"/>
    <cellStyle name="40% - Accent1 7 2" xfId="371"/>
    <cellStyle name="40% - Accent1 7 2 2" xfId="372"/>
    <cellStyle name="40% - Accent1 7 2 2 2" xfId="1400"/>
    <cellStyle name="40% - Accent1 7 2 2 2 2" xfId="4930"/>
    <cellStyle name="40% - Accent1 7 2 2 2 2 2" xfId="8521"/>
    <cellStyle name="40% - Accent1 7 2 2 2 2 2 2" xfId="16492"/>
    <cellStyle name="40% - Accent1 7 2 2 2 2 2 3" xfId="24438"/>
    <cellStyle name="40% - Accent1 7 2 2 2 2 3" xfId="12954"/>
    <cellStyle name="40% - Accent1 7 2 2 2 2 4" xfId="20909"/>
    <cellStyle name="40% - Accent1 7 2 2 2 3" xfId="6762"/>
    <cellStyle name="40% - Accent1 7 2 2 2 3 2" xfId="14734"/>
    <cellStyle name="40% - Accent1 7 2 2 2 3 3" xfId="22681"/>
    <cellStyle name="40% - Accent1 7 2 2 2 4" xfId="11198"/>
    <cellStyle name="40% - Accent1 7 2 2 2 5" xfId="19153"/>
    <cellStyle name="40% - Accent1 7 2 2 2_Exh G" xfId="2782"/>
    <cellStyle name="40% - Accent1 7 2 2 3" xfId="4051"/>
    <cellStyle name="40% - Accent1 7 2 2 3 2" xfId="7643"/>
    <cellStyle name="40% - Accent1 7 2 2 3 2 2" xfId="15614"/>
    <cellStyle name="40% - Accent1 7 2 2 3 2 3" xfId="23560"/>
    <cellStyle name="40% - Accent1 7 2 2 3 3" xfId="12076"/>
    <cellStyle name="40% - Accent1 7 2 2 3 4" xfId="20031"/>
    <cellStyle name="40% - Accent1 7 2 2 4" xfId="5871"/>
    <cellStyle name="40% - Accent1 7 2 2 4 2" xfId="13855"/>
    <cellStyle name="40% - Accent1 7 2 2 4 3" xfId="21803"/>
    <cellStyle name="40% - Accent1 7 2 2 5" xfId="9424"/>
    <cellStyle name="40% - Accent1 7 2 2 5 2" xfId="17382"/>
    <cellStyle name="40% - Accent1 7 2 2 5 3" xfId="25326"/>
    <cellStyle name="40% - Accent1 7 2 2 6" xfId="10320"/>
    <cellStyle name="40% - Accent1 7 2 2 7" xfId="18275"/>
    <cellStyle name="40% - Accent1 7 2 2_Exh G" xfId="2781"/>
    <cellStyle name="40% - Accent1 7 2 3" xfId="1399"/>
    <cellStyle name="40% - Accent1 7 2 3 2" xfId="4929"/>
    <cellStyle name="40% - Accent1 7 2 3 2 2" xfId="8520"/>
    <cellStyle name="40% - Accent1 7 2 3 2 2 2" xfId="16491"/>
    <cellStyle name="40% - Accent1 7 2 3 2 2 3" xfId="24437"/>
    <cellStyle name="40% - Accent1 7 2 3 2 3" xfId="12953"/>
    <cellStyle name="40% - Accent1 7 2 3 2 4" xfId="20908"/>
    <cellStyle name="40% - Accent1 7 2 3 3" xfId="6761"/>
    <cellStyle name="40% - Accent1 7 2 3 3 2" xfId="14733"/>
    <cellStyle name="40% - Accent1 7 2 3 3 3" xfId="22680"/>
    <cellStyle name="40% - Accent1 7 2 3 4" xfId="11197"/>
    <cellStyle name="40% - Accent1 7 2 3 5" xfId="19152"/>
    <cellStyle name="40% - Accent1 7 2 3_Exh G" xfId="2783"/>
    <cellStyle name="40% - Accent1 7 2 4" xfId="4050"/>
    <cellStyle name="40% - Accent1 7 2 4 2" xfId="7642"/>
    <cellStyle name="40% - Accent1 7 2 4 2 2" xfId="15613"/>
    <cellStyle name="40% - Accent1 7 2 4 2 3" xfId="23559"/>
    <cellStyle name="40% - Accent1 7 2 4 3" xfId="12075"/>
    <cellStyle name="40% - Accent1 7 2 4 4" xfId="20030"/>
    <cellStyle name="40% - Accent1 7 2 5" xfId="5870"/>
    <cellStyle name="40% - Accent1 7 2 5 2" xfId="13854"/>
    <cellStyle name="40% - Accent1 7 2 5 3" xfId="21802"/>
    <cellStyle name="40% - Accent1 7 2 6" xfId="9423"/>
    <cellStyle name="40% - Accent1 7 2 6 2" xfId="17381"/>
    <cellStyle name="40% - Accent1 7 2 6 3" xfId="25325"/>
    <cellStyle name="40% - Accent1 7 2 7" xfId="10319"/>
    <cellStyle name="40% - Accent1 7 2 8" xfId="18274"/>
    <cellStyle name="40% - Accent1 7 2_Exh G" xfId="2780"/>
    <cellStyle name="40% - Accent1 7 3" xfId="373"/>
    <cellStyle name="40% - Accent1 7 3 2" xfId="1401"/>
    <cellStyle name="40% - Accent1 7 3 2 2" xfId="4931"/>
    <cellStyle name="40% - Accent1 7 3 2 2 2" xfId="8522"/>
    <cellStyle name="40% - Accent1 7 3 2 2 2 2" xfId="16493"/>
    <cellStyle name="40% - Accent1 7 3 2 2 2 3" xfId="24439"/>
    <cellStyle name="40% - Accent1 7 3 2 2 3" xfId="12955"/>
    <cellStyle name="40% - Accent1 7 3 2 2 4" xfId="20910"/>
    <cellStyle name="40% - Accent1 7 3 2 3" xfId="6763"/>
    <cellStyle name="40% - Accent1 7 3 2 3 2" xfId="14735"/>
    <cellStyle name="40% - Accent1 7 3 2 3 3" xfId="22682"/>
    <cellStyle name="40% - Accent1 7 3 2 4" xfId="11199"/>
    <cellStyle name="40% - Accent1 7 3 2 5" xfId="19154"/>
    <cellStyle name="40% - Accent1 7 3 2_Exh G" xfId="2785"/>
    <cellStyle name="40% - Accent1 7 3 3" xfId="4052"/>
    <cellStyle name="40% - Accent1 7 3 3 2" xfId="7644"/>
    <cellStyle name="40% - Accent1 7 3 3 2 2" xfId="15615"/>
    <cellStyle name="40% - Accent1 7 3 3 2 3" xfId="23561"/>
    <cellStyle name="40% - Accent1 7 3 3 3" xfId="12077"/>
    <cellStyle name="40% - Accent1 7 3 3 4" xfId="20032"/>
    <cellStyle name="40% - Accent1 7 3 4" xfId="5872"/>
    <cellStyle name="40% - Accent1 7 3 4 2" xfId="13856"/>
    <cellStyle name="40% - Accent1 7 3 4 3" xfId="21804"/>
    <cellStyle name="40% - Accent1 7 3 5" xfId="9425"/>
    <cellStyle name="40% - Accent1 7 3 5 2" xfId="17383"/>
    <cellStyle name="40% - Accent1 7 3 5 3" xfId="25327"/>
    <cellStyle name="40% - Accent1 7 3 6" xfId="10321"/>
    <cellStyle name="40% - Accent1 7 3 7" xfId="18276"/>
    <cellStyle name="40% - Accent1 7 3_Exh G" xfId="2784"/>
    <cellStyle name="40% - Accent1 7 4" xfId="943"/>
    <cellStyle name="40% - Accent1 7 4 2" xfId="1866"/>
    <cellStyle name="40% - Accent1 7 4 2 2" xfId="5384"/>
    <cellStyle name="40% - Accent1 7 4 2 2 2" xfId="8975"/>
    <cellStyle name="40% - Accent1 7 4 2 2 2 2" xfId="16946"/>
    <cellStyle name="40% - Accent1 7 4 2 2 2 3" xfId="24892"/>
    <cellStyle name="40% - Accent1 7 4 2 2 3" xfId="13408"/>
    <cellStyle name="40% - Accent1 7 4 2 2 4" xfId="21363"/>
    <cellStyle name="40% - Accent1 7 4 2 3" xfId="7216"/>
    <cellStyle name="40% - Accent1 7 4 2 3 2" xfId="15188"/>
    <cellStyle name="40% - Accent1 7 4 2 3 3" xfId="23135"/>
    <cellStyle name="40% - Accent1 7 4 2 4" xfId="11652"/>
    <cellStyle name="40% - Accent1 7 4 2 5" xfId="19607"/>
    <cellStyle name="40% - Accent1 7 4 2_Exh G" xfId="2787"/>
    <cellStyle name="40% - Accent1 7 4 3" xfId="4505"/>
    <cellStyle name="40% - Accent1 7 4 3 2" xfId="8097"/>
    <cellStyle name="40% - Accent1 7 4 3 2 2" xfId="16068"/>
    <cellStyle name="40% - Accent1 7 4 3 2 3" xfId="24014"/>
    <cellStyle name="40% - Accent1 7 4 3 3" xfId="12530"/>
    <cellStyle name="40% - Accent1 7 4 3 4" xfId="20485"/>
    <cellStyle name="40% - Accent1 7 4 4" xfId="6335"/>
    <cellStyle name="40% - Accent1 7 4 4 2" xfId="14310"/>
    <cellStyle name="40% - Accent1 7 4 4 3" xfId="22257"/>
    <cellStyle name="40% - Accent1 7 4 5" xfId="9878"/>
    <cellStyle name="40% - Accent1 7 4 5 2" xfId="17836"/>
    <cellStyle name="40% - Accent1 7 4 5 3" xfId="25780"/>
    <cellStyle name="40% - Accent1 7 4 6" xfId="10774"/>
    <cellStyle name="40% - Accent1 7 4 7" xfId="18729"/>
    <cellStyle name="40% - Accent1 7 4_Exh G" xfId="2786"/>
    <cellStyle name="40% - Accent1 7 5" xfId="1398"/>
    <cellStyle name="40% - Accent1 7 5 2" xfId="4928"/>
    <cellStyle name="40% - Accent1 7 5 2 2" xfId="8519"/>
    <cellStyle name="40% - Accent1 7 5 2 2 2" xfId="16490"/>
    <cellStyle name="40% - Accent1 7 5 2 2 3" xfId="24436"/>
    <cellStyle name="40% - Accent1 7 5 2 3" xfId="12952"/>
    <cellStyle name="40% - Accent1 7 5 2 4" xfId="20907"/>
    <cellStyle name="40% - Accent1 7 5 3" xfId="6760"/>
    <cellStyle name="40% - Accent1 7 5 3 2" xfId="14732"/>
    <cellStyle name="40% - Accent1 7 5 3 3" xfId="22679"/>
    <cellStyle name="40% - Accent1 7 5 4" xfId="11196"/>
    <cellStyle name="40% - Accent1 7 5 5" xfId="19151"/>
    <cellStyle name="40% - Accent1 7 5_Exh G" xfId="2788"/>
    <cellStyle name="40% - Accent1 7 6" xfId="4049"/>
    <cellStyle name="40% - Accent1 7 6 2" xfId="7641"/>
    <cellStyle name="40% - Accent1 7 6 2 2" xfId="15612"/>
    <cellStyle name="40% - Accent1 7 6 2 3" xfId="23558"/>
    <cellStyle name="40% - Accent1 7 6 3" xfId="12074"/>
    <cellStyle name="40% - Accent1 7 6 4" xfId="20029"/>
    <cellStyle name="40% - Accent1 7 7" xfId="5869"/>
    <cellStyle name="40% - Accent1 7 7 2" xfId="13853"/>
    <cellStyle name="40% - Accent1 7 7 3" xfId="21801"/>
    <cellStyle name="40% - Accent1 7 8" xfId="9422"/>
    <cellStyle name="40% - Accent1 7 8 2" xfId="17380"/>
    <cellStyle name="40% - Accent1 7 8 3" xfId="25324"/>
    <cellStyle name="40% - Accent1 7 9" xfId="10318"/>
    <cellStyle name="40% - Accent1 7_Exh G" xfId="2779"/>
    <cellStyle name="40% - Accent1 8" xfId="374"/>
    <cellStyle name="40% - Accent1 8 10" xfId="18277"/>
    <cellStyle name="40% - Accent1 8 2" xfId="375"/>
    <cellStyle name="40% - Accent1 8 2 2" xfId="376"/>
    <cellStyle name="40% - Accent1 8 2 2 2" xfId="1404"/>
    <cellStyle name="40% - Accent1 8 2 2 2 2" xfId="4934"/>
    <cellStyle name="40% - Accent1 8 2 2 2 2 2" xfId="8525"/>
    <cellStyle name="40% - Accent1 8 2 2 2 2 2 2" xfId="16496"/>
    <cellStyle name="40% - Accent1 8 2 2 2 2 2 3" xfId="24442"/>
    <cellStyle name="40% - Accent1 8 2 2 2 2 3" xfId="12958"/>
    <cellStyle name="40% - Accent1 8 2 2 2 2 4" xfId="20913"/>
    <cellStyle name="40% - Accent1 8 2 2 2 3" xfId="6766"/>
    <cellStyle name="40% - Accent1 8 2 2 2 3 2" xfId="14738"/>
    <cellStyle name="40% - Accent1 8 2 2 2 3 3" xfId="22685"/>
    <cellStyle name="40% - Accent1 8 2 2 2 4" xfId="11202"/>
    <cellStyle name="40% - Accent1 8 2 2 2 5" xfId="19157"/>
    <cellStyle name="40% - Accent1 8 2 2 2_Exh G" xfId="2792"/>
    <cellStyle name="40% - Accent1 8 2 2 3" xfId="4055"/>
    <cellStyle name="40% - Accent1 8 2 2 3 2" xfId="7647"/>
    <cellStyle name="40% - Accent1 8 2 2 3 2 2" xfId="15618"/>
    <cellStyle name="40% - Accent1 8 2 2 3 2 3" xfId="23564"/>
    <cellStyle name="40% - Accent1 8 2 2 3 3" xfId="12080"/>
    <cellStyle name="40% - Accent1 8 2 2 3 4" xfId="20035"/>
    <cellStyle name="40% - Accent1 8 2 2 4" xfId="5875"/>
    <cellStyle name="40% - Accent1 8 2 2 4 2" xfId="13859"/>
    <cellStyle name="40% - Accent1 8 2 2 4 3" xfId="21807"/>
    <cellStyle name="40% - Accent1 8 2 2 5" xfId="9428"/>
    <cellStyle name="40% - Accent1 8 2 2 5 2" xfId="17386"/>
    <cellStyle name="40% - Accent1 8 2 2 5 3" xfId="25330"/>
    <cellStyle name="40% - Accent1 8 2 2 6" xfId="10324"/>
    <cellStyle name="40% - Accent1 8 2 2 7" xfId="18279"/>
    <cellStyle name="40% - Accent1 8 2 2_Exh G" xfId="2791"/>
    <cellStyle name="40% - Accent1 8 2 3" xfId="1403"/>
    <cellStyle name="40% - Accent1 8 2 3 2" xfId="4933"/>
    <cellStyle name="40% - Accent1 8 2 3 2 2" xfId="8524"/>
    <cellStyle name="40% - Accent1 8 2 3 2 2 2" xfId="16495"/>
    <cellStyle name="40% - Accent1 8 2 3 2 2 3" xfId="24441"/>
    <cellStyle name="40% - Accent1 8 2 3 2 3" xfId="12957"/>
    <cellStyle name="40% - Accent1 8 2 3 2 4" xfId="20912"/>
    <cellStyle name="40% - Accent1 8 2 3 3" xfId="6765"/>
    <cellStyle name="40% - Accent1 8 2 3 3 2" xfId="14737"/>
    <cellStyle name="40% - Accent1 8 2 3 3 3" xfId="22684"/>
    <cellStyle name="40% - Accent1 8 2 3 4" xfId="11201"/>
    <cellStyle name="40% - Accent1 8 2 3 5" xfId="19156"/>
    <cellStyle name="40% - Accent1 8 2 3_Exh G" xfId="2793"/>
    <cellStyle name="40% - Accent1 8 2 4" xfId="4054"/>
    <cellStyle name="40% - Accent1 8 2 4 2" xfId="7646"/>
    <cellStyle name="40% - Accent1 8 2 4 2 2" xfId="15617"/>
    <cellStyle name="40% - Accent1 8 2 4 2 3" xfId="23563"/>
    <cellStyle name="40% - Accent1 8 2 4 3" xfId="12079"/>
    <cellStyle name="40% - Accent1 8 2 4 4" xfId="20034"/>
    <cellStyle name="40% - Accent1 8 2 5" xfId="5874"/>
    <cellStyle name="40% - Accent1 8 2 5 2" xfId="13858"/>
    <cellStyle name="40% - Accent1 8 2 5 3" xfId="21806"/>
    <cellStyle name="40% - Accent1 8 2 6" xfId="9427"/>
    <cellStyle name="40% - Accent1 8 2 6 2" xfId="17385"/>
    <cellStyle name="40% - Accent1 8 2 6 3" xfId="25329"/>
    <cellStyle name="40% - Accent1 8 2 7" xfId="10323"/>
    <cellStyle name="40% - Accent1 8 2 8" xfId="18278"/>
    <cellStyle name="40% - Accent1 8 2_Exh G" xfId="2790"/>
    <cellStyle name="40% - Accent1 8 3" xfId="377"/>
    <cellStyle name="40% - Accent1 8 3 2" xfId="1405"/>
    <cellStyle name="40% - Accent1 8 3 2 2" xfId="4935"/>
    <cellStyle name="40% - Accent1 8 3 2 2 2" xfId="8526"/>
    <cellStyle name="40% - Accent1 8 3 2 2 2 2" xfId="16497"/>
    <cellStyle name="40% - Accent1 8 3 2 2 2 3" xfId="24443"/>
    <cellStyle name="40% - Accent1 8 3 2 2 3" xfId="12959"/>
    <cellStyle name="40% - Accent1 8 3 2 2 4" xfId="20914"/>
    <cellStyle name="40% - Accent1 8 3 2 3" xfId="6767"/>
    <cellStyle name="40% - Accent1 8 3 2 3 2" xfId="14739"/>
    <cellStyle name="40% - Accent1 8 3 2 3 3" xfId="22686"/>
    <cellStyle name="40% - Accent1 8 3 2 4" xfId="11203"/>
    <cellStyle name="40% - Accent1 8 3 2 5" xfId="19158"/>
    <cellStyle name="40% - Accent1 8 3 2_Exh G" xfId="2795"/>
    <cellStyle name="40% - Accent1 8 3 3" xfId="4056"/>
    <cellStyle name="40% - Accent1 8 3 3 2" xfId="7648"/>
    <cellStyle name="40% - Accent1 8 3 3 2 2" xfId="15619"/>
    <cellStyle name="40% - Accent1 8 3 3 2 3" xfId="23565"/>
    <cellStyle name="40% - Accent1 8 3 3 3" xfId="12081"/>
    <cellStyle name="40% - Accent1 8 3 3 4" xfId="20036"/>
    <cellStyle name="40% - Accent1 8 3 4" xfId="5876"/>
    <cellStyle name="40% - Accent1 8 3 4 2" xfId="13860"/>
    <cellStyle name="40% - Accent1 8 3 4 3" xfId="21808"/>
    <cellStyle name="40% - Accent1 8 3 5" xfId="9429"/>
    <cellStyle name="40% - Accent1 8 3 5 2" xfId="17387"/>
    <cellStyle name="40% - Accent1 8 3 5 3" xfId="25331"/>
    <cellStyle name="40% - Accent1 8 3 6" xfId="10325"/>
    <cellStyle name="40% - Accent1 8 3 7" xfId="18280"/>
    <cellStyle name="40% - Accent1 8 3_Exh G" xfId="2794"/>
    <cellStyle name="40% - Accent1 8 4" xfId="944"/>
    <cellStyle name="40% - Accent1 8 4 2" xfId="1867"/>
    <cellStyle name="40% - Accent1 8 4 2 2" xfId="5385"/>
    <cellStyle name="40% - Accent1 8 4 2 2 2" xfId="8976"/>
    <cellStyle name="40% - Accent1 8 4 2 2 2 2" xfId="16947"/>
    <cellStyle name="40% - Accent1 8 4 2 2 2 3" xfId="24893"/>
    <cellStyle name="40% - Accent1 8 4 2 2 3" xfId="13409"/>
    <cellStyle name="40% - Accent1 8 4 2 2 4" xfId="21364"/>
    <cellStyle name="40% - Accent1 8 4 2 3" xfId="7217"/>
    <cellStyle name="40% - Accent1 8 4 2 3 2" xfId="15189"/>
    <cellStyle name="40% - Accent1 8 4 2 3 3" xfId="23136"/>
    <cellStyle name="40% - Accent1 8 4 2 4" xfId="11653"/>
    <cellStyle name="40% - Accent1 8 4 2 5" xfId="19608"/>
    <cellStyle name="40% - Accent1 8 4 2_Exh G" xfId="2797"/>
    <cellStyle name="40% - Accent1 8 4 3" xfId="4506"/>
    <cellStyle name="40% - Accent1 8 4 3 2" xfId="8098"/>
    <cellStyle name="40% - Accent1 8 4 3 2 2" xfId="16069"/>
    <cellStyle name="40% - Accent1 8 4 3 2 3" xfId="24015"/>
    <cellStyle name="40% - Accent1 8 4 3 3" xfId="12531"/>
    <cellStyle name="40% - Accent1 8 4 3 4" xfId="20486"/>
    <cellStyle name="40% - Accent1 8 4 4" xfId="6336"/>
    <cellStyle name="40% - Accent1 8 4 4 2" xfId="14311"/>
    <cellStyle name="40% - Accent1 8 4 4 3" xfId="22258"/>
    <cellStyle name="40% - Accent1 8 4 5" xfId="9879"/>
    <cellStyle name="40% - Accent1 8 4 5 2" xfId="17837"/>
    <cellStyle name="40% - Accent1 8 4 5 3" xfId="25781"/>
    <cellStyle name="40% - Accent1 8 4 6" xfId="10775"/>
    <cellStyle name="40% - Accent1 8 4 7" xfId="18730"/>
    <cellStyle name="40% - Accent1 8 4_Exh G" xfId="2796"/>
    <cellStyle name="40% - Accent1 8 5" xfId="1402"/>
    <cellStyle name="40% - Accent1 8 5 2" xfId="4932"/>
    <cellStyle name="40% - Accent1 8 5 2 2" xfId="8523"/>
    <cellStyle name="40% - Accent1 8 5 2 2 2" xfId="16494"/>
    <cellStyle name="40% - Accent1 8 5 2 2 3" xfId="24440"/>
    <cellStyle name="40% - Accent1 8 5 2 3" xfId="12956"/>
    <cellStyle name="40% - Accent1 8 5 2 4" xfId="20911"/>
    <cellStyle name="40% - Accent1 8 5 3" xfId="6764"/>
    <cellStyle name="40% - Accent1 8 5 3 2" xfId="14736"/>
    <cellStyle name="40% - Accent1 8 5 3 3" xfId="22683"/>
    <cellStyle name="40% - Accent1 8 5 4" xfId="11200"/>
    <cellStyle name="40% - Accent1 8 5 5" xfId="19155"/>
    <cellStyle name="40% - Accent1 8 5_Exh G" xfId="2798"/>
    <cellStyle name="40% - Accent1 8 6" xfId="4053"/>
    <cellStyle name="40% - Accent1 8 6 2" xfId="7645"/>
    <cellStyle name="40% - Accent1 8 6 2 2" xfId="15616"/>
    <cellStyle name="40% - Accent1 8 6 2 3" xfId="23562"/>
    <cellStyle name="40% - Accent1 8 6 3" xfId="12078"/>
    <cellStyle name="40% - Accent1 8 6 4" xfId="20033"/>
    <cellStyle name="40% - Accent1 8 7" xfId="5873"/>
    <cellStyle name="40% - Accent1 8 7 2" xfId="13857"/>
    <cellStyle name="40% - Accent1 8 7 3" xfId="21805"/>
    <cellStyle name="40% - Accent1 8 8" xfId="9426"/>
    <cellStyle name="40% - Accent1 8 8 2" xfId="17384"/>
    <cellStyle name="40% - Accent1 8 8 3" xfId="25328"/>
    <cellStyle name="40% - Accent1 8 9" xfId="10322"/>
    <cellStyle name="40% - Accent1 8_Exh G" xfId="2789"/>
    <cellStyle name="40% - Accent1 9" xfId="378"/>
    <cellStyle name="40% - Accent1 9 10" xfId="18281"/>
    <cellStyle name="40% - Accent1 9 2" xfId="379"/>
    <cellStyle name="40% - Accent1 9 2 2" xfId="380"/>
    <cellStyle name="40% - Accent1 9 2 2 2" xfId="1408"/>
    <cellStyle name="40% - Accent1 9 2 2 2 2" xfId="4938"/>
    <cellStyle name="40% - Accent1 9 2 2 2 2 2" xfId="8529"/>
    <cellStyle name="40% - Accent1 9 2 2 2 2 2 2" xfId="16500"/>
    <cellStyle name="40% - Accent1 9 2 2 2 2 2 3" xfId="24446"/>
    <cellStyle name="40% - Accent1 9 2 2 2 2 3" xfId="12962"/>
    <cellStyle name="40% - Accent1 9 2 2 2 2 4" xfId="20917"/>
    <cellStyle name="40% - Accent1 9 2 2 2 3" xfId="6770"/>
    <cellStyle name="40% - Accent1 9 2 2 2 3 2" xfId="14742"/>
    <cellStyle name="40% - Accent1 9 2 2 2 3 3" xfId="22689"/>
    <cellStyle name="40% - Accent1 9 2 2 2 4" xfId="11206"/>
    <cellStyle name="40% - Accent1 9 2 2 2 5" xfId="19161"/>
    <cellStyle name="40% - Accent1 9 2 2 2_Exh G" xfId="2802"/>
    <cellStyle name="40% - Accent1 9 2 2 3" xfId="4059"/>
    <cellStyle name="40% - Accent1 9 2 2 3 2" xfId="7651"/>
    <cellStyle name="40% - Accent1 9 2 2 3 2 2" xfId="15622"/>
    <cellStyle name="40% - Accent1 9 2 2 3 2 3" xfId="23568"/>
    <cellStyle name="40% - Accent1 9 2 2 3 3" xfId="12084"/>
    <cellStyle name="40% - Accent1 9 2 2 3 4" xfId="20039"/>
    <cellStyle name="40% - Accent1 9 2 2 4" xfId="5879"/>
    <cellStyle name="40% - Accent1 9 2 2 4 2" xfId="13863"/>
    <cellStyle name="40% - Accent1 9 2 2 4 3" xfId="21811"/>
    <cellStyle name="40% - Accent1 9 2 2 5" xfId="9432"/>
    <cellStyle name="40% - Accent1 9 2 2 5 2" xfId="17390"/>
    <cellStyle name="40% - Accent1 9 2 2 5 3" xfId="25334"/>
    <cellStyle name="40% - Accent1 9 2 2 6" xfId="10328"/>
    <cellStyle name="40% - Accent1 9 2 2 7" xfId="18283"/>
    <cellStyle name="40% - Accent1 9 2 2_Exh G" xfId="2801"/>
    <cellStyle name="40% - Accent1 9 2 3" xfId="1407"/>
    <cellStyle name="40% - Accent1 9 2 3 2" xfId="4937"/>
    <cellStyle name="40% - Accent1 9 2 3 2 2" xfId="8528"/>
    <cellStyle name="40% - Accent1 9 2 3 2 2 2" xfId="16499"/>
    <cellStyle name="40% - Accent1 9 2 3 2 2 3" xfId="24445"/>
    <cellStyle name="40% - Accent1 9 2 3 2 3" xfId="12961"/>
    <cellStyle name="40% - Accent1 9 2 3 2 4" xfId="20916"/>
    <cellStyle name="40% - Accent1 9 2 3 3" xfId="6769"/>
    <cellStyle name="40% - Accent1 9 2 3 3 2" xfId="14741"/>
    <cellStyle name="40% - Accent1 9 2 3 3 3" xfId="22688"/>
    <cellStyle name="40% - Accent1 9 2 3 4" xfId="11205"/>
    <cellStyle name="40% - Accent1 9 2 3 5" xfId="19160"/>
    <cellStyle name="40% - Accent1 9 2 3_Exh G" xfId="2803"/>
    <cellStyle name="40% - Accent1 9 2 4" xfId="4058"/>
    <cellStyle name="40% - Accent1 9 2 4 2" xfId="7650"/>
    <cellStyle name="40% - Accent1 9 2 4 2 2" xfId="15621"/>
    <cellStyle name="40% - Accent1 9 2 4 2 3" xfId="23567"/>
    <cellStyle name="40% - Accent1 9 2 4 3" xfId="12083"/>
    <cellStyle name="40% - Accent1 9 2 4 4" xfId="20038"/>
    <cellStyle name="40% - Accent1 9 2 5" xfId="5878"/>
    <cellStyle name="40% - Accent1 9 2 5 2" xfId="13862"/>
    <cellStyle name="40% - Accent1 9 2 5 3" xfId="21810"/>
    <cellStyle name="40% - Accent1 9 2 6" xfId="9431"/>
    <cellStyle name="40% - Accent1 9 2 6 2" xfId="17389"/>
    <cellStyle name="40% - Accent1 9 2 6 3" xfId="25333"/>
    <cellStyle name="40% - Accent1 9 2 7" xfId="10327"/>
    <cellStyle name="40% - Accent1 9 2 8" xfId="18282"/>
    <cellStyle name="40% - Accent1 9 2_Exh G" xfId="2800"/>
    <cellStyle name="40% - Accent1 9 3" xfId="381"/>
    <cellStyle name="40% - Accent1 9 3 2" xfId="1409"/>
    <cellStyle name="40% - Accent1 9 3 2 2" xfId="4939"/>
    <cellStyle name="40% - Accent1 9 3 2 2 2" xfId="8530"/>
    <cellStyle name="40% - Accent1 9 3 2 2 2 2" xfId="16501"/>
    <cellStyle name="40% - Accent1 9 3 2 2 2 3" xfId="24447"/>
    <cellStyle name="40% - Accent1 9 3 2 2 3" xfId="12963"/>
    <cellStyle name="40% - Accent1 9 3 2 2 4" xfId="20918"/>
    <cellStyle name="40% - Accent1 9 3 2 3" xfId="6771"/>
    <cellStyle name="40% - Accent1 9 3 2 3 2" xfId="14743"/>
    <cellStyle name="40% - Accent1 9 3 2 3 3" xfId="22690"/>
    <cellStyle name="40% - Accent1 9 3 2 4" xfId="11207"/>
    <cellStyle name="40% - Accent1 9 3 2 5" xfId="19162"/>
    <cellStyle name="40% - Accent1 9 3 2_Exh G" xfId="2805"/>
    <cellStyle name="40% - Accent1 9 3 3" xfId="4060"/>
    <cellStyle name="40% - Accent1 9 3 3 2" xfId="7652"/>
    <cellStyle name="40% - Accent1 9 3 3 2 2" xfId="15623"/>
    <cellStyle name="40% - Accent1 9 3 3 2 3" xfId="23569"/>
    <cellStyle name="40% - Accent1 9 3 3 3" xfId="12085"/>
    <cellStyle name="40% - Accent1 9 3 3 4" xfId="20040"/>
    <cellStyle name="40% - Accent1 9 3 4" xfId="5880"/>
    <cellStyle name="40% - Accent1 9 3 4 2" xfId="13864"/>
    <cellStyle name="40% - Accent1 9 3 4 3" xfId="21812"/>
    <cellStyle name="40% - Accent1 9 3 5" xfId="9433"/>
    <cellStyle name="40% - Accent1 9 3 5 2" xfId="17391"/>
    <cellStyle name="40% - Accent1 9 3 5 3" xfId="25335"/>
    <cellStyle name="40% - Accent1 9 3 6" xfId="10329"/>
    <cellStyle name="40% - Accent1 9 3 7" xfId="18284"/>
    <cellStyle name="40% - Accent1 9 3_Exh G" xfId="2804"/>
    <cellStyle name="40% - Accent1 9 4" xfId="945"/>
    <cellStyle name="40% - Accent1 9 4 2" xfId="1868"/>
    <cellStyle name="40% - Accent1 9 4 2 2" xfId="5386"/>
    <cellStyle name="40% - Accent1 9 4 2 2 2" xfId="8977"/>
    <cellStyle name="40% - Accent1 9 4 2 2 2 2" xfId="16948"/>
    <cellStyle name="40% - Accent1 9 4 2 2 2 3" xfId="24894"/>
    <cellStyle name="40% - Accent1 9 4 2 2 3" xfId="13410"/>
    <cellStyle name="40% - Accent1 9 4 2 2 4" xfId="21365"/>
    <cellStyle name="40% - Accent1 9 4 2 3" xfId="7218"/>
    <cellStyle name="40% - Accent1 9 4 2 3 2" xfId="15190"/>
    <cellStyle name="40% - Accent1 9 4 2 3 3" xfId="23137"/>
    <cellStyle name="40% - Accent1 9 4 2 4" xfId="11654"/>
    <cellStyle name="40% - Accent1 9 4 2 5" xfId="19609"/>
    <cellStyle name="40% - Accent1 9 4 2_Exh G" xfId="2807"/>
    <cellStyle name="40% - Accent1 9 4 3" xfId="4507"/>
    <cellStyle name="40% - Accent1 9 4 3 2" xfId="8099"/>
    <cellStyle name="40% - Accent1 9 4 3 2 2" xfId="16070"/>
    <cellStyle name="40% - Accent1 9 4 3 2 3" xfId="24016"/>
    <cellStyle name="40% - Accent1 9 4 3 3" xfId="12532"/>
    <cellStyle name="40% - Accent1 9 4 3 4" xfId="20487"/>
    <cellStyle name="40% - Accent1 9 4 4" xfId="6337"/>
    <cellStyle name="40% - Accent1 9 4 4 2" xfId="14312"/>
    <cellStyle name="40% - Accent1 9 4 4 3" xfId="22259"/>
    <cellStyle name="40% - Accent1 9 4 5" xfId="9880"/>
    <cellStyle name="40% - Accent1 9 4 5 2" xfId="17838"/>
    <cellStyle name="40% - Accent1 9 4 5 3" xfId="25782"/>
    <cellStyle name="40% - Accent1 9 4 6" xfId="10776"/>
    <cellStyle name="40% - Accent1 9 4 7" xfId="18731"/>
    <cellStyle name="40% - Accent1 9 4_Exh G" xfId="2806"/>
    <cellStyle name="40% - Accent1 9 5" xfId="1406"/>
    <cellStyle name="40% - Accent1 9 5 2" xfId="4936"/>
    <cellStyle name="40% - Accent1 9 5 2 2" xfId="8527"/>
    <cellStyle name="40% - Accent1 9 5 2 2 2" xfId="16498"/>
    <cellStyle name="40% - Accent1 9 5 2 2 3" xfId="24444"/>
    <cellStyle name="40% - Accent1 9 5 2 3" xfId="12960"/>
    <cellStyle name="40% - Accent1 9 5 2 4" xfId="20915"/>
    <cellStyle name="40% - Accent1 9 5 3" xfId="6768"/>
    <cellStyle name="40% - Accent1 9 5 3 2" xfId="14740"/>
    <cellStyle name="40% - Accent1 9 5 3 3" xfId="22687"/>
    <cellStyle name="40% - Accent1 9 5 4" xfId="11204"/>
    <cellStyle name="40% - Accent1 9 5 5" xfId="19159"/>
    <cellStyle name="40% - Accent1 9 5_Exh G" xfId="2808"/>
    <cellStyle name="40% - Accent1 9 6" xfId="4057"/>
    <cellStyle name="40% - Accent1 9 6 2" xfId="7649"/>
    <cellStyle name="40% - Accent1 9 6 2 2" xfId="15620"/>
    <cellStyle name="40% - Accent1 9 6 2 3" xfId="23566"/>
    <cellStyle name="40% - Accent1 9 6 3" xfId="12082"/>
    <cellStyle name="40% - Accent1 9 6 4" xfId="20037"/>
    <cellStyle name="40% - Accent1 9 7" xfId="5877"/>
    <cellStyle name="40% - Accent1 9 7 2" xfId="13861"/>
    <cellStyle name="40% - Accent1 9 7 3" xfId="21809"/>
    <cellStyle name="40% - Accent1 9 8" xfId="9430"/>
    <cellStyle name="40% - Accent1 9 8 2" xfId="17388"/>
    <cellStyle name="40% - Accent1 9 8 3" xfId="25332"/>
    <cellStyle name="40% - Accent1 9 9" xfId="10326"/>
    <cellStyle name="40% - Accent1 9_Exh G" xfId="2799"/>
    <cellStyle name="40% - Accent2 10" xfId="382"/>
    <cellStyle name="40% - Accent2 10 10" xfId="18285"/>
    <cellStyle name="40% - Accent2 10 2" xfId="383"/>
    <cellStyle name="40% - Accent2 10 2 2" xfId="384"/>
    <cellStyle name="40% - Accent2 10 2 2 2" xfId="1412"/>
    <cellStyle name="40% - Accent2 10 2 2 2 2" xfId="4942"/>
    <cellStyle name="40% - Accent2 10 2 2 2 2 2" xfId="8533"/>
    <cellStyle name="40% - Accent2 10 2 2 2 2 2 2" xfId="16504"/>
    <cellStyle name="40% - Accent2 10 2 2 2 2 2 3" xfId="24450"/>
    <cellStyle name="40% - Accent2 10 2 2 2 2 3" xfId="12966"/>
    <cellStyle name="40% - Accent2 10 2 2 2 2 4" xfId="20921"/>
    <cellStyle name="40% - Accent2 10 2 2 2 3" xfId="6774"/>
    <cellStyle name="40% - Accent2 10 2 2 2 3 2" xfId="14746"/>
    <cellStyle name="40% - Accent2 10 2 2 2 3 3" xfId="22693"/>
    <cellStyle name="40% - Accent2 10 2 2 2 4" xfId="11210"/>
    <cellStyle name="40% - Accent2 10 2 2 2 5" xfId="19165"/>
    <cellStyle name="40% - Accent2 10 2 2 2_Exh G" xfId="2812"/>
    <cellStyle name="40% - Accent2 10 2 2 3" xfId="4063"/>
    <cellStyle name="40% - Accent2 10 2 2 3 2" xfId="7655"/>
    <cellStyle name="40% - Accent2 10 2 2 3 2 2" xfId="15626"/>
    <cellStyle name="40% - Accent2 10 2 2 3 2 3" xfId="23572"/>
    <cellStyle name="40% - Accent2 10 2 2 3 3" xfId="12088"/>
    <cellStyle name="40% - Accent2 10 2 2 3 4" xfId="20043"/>
    <cellStyle name="40% - Accent2 10 2 2 4" xfId="5883"/>
    <cellStyle name="40% - Accent2 10 2 2 4 2" xfId="13867"/>
    <cellStyle name="40% - Accent2 10 2 2 4 3" xfId="21815"/>
    <cellStyle name="40% - Accent2 10 2 2 5" xfId="9436"/>
    <cellStyle name="40% - Accent2 10 2 2 5 2" xfId="17394"/>
    <cellStyle name="40% - Accent2 10 2 2 5 3" xfId="25338"/>
    <cellStyle name="40% - Accent2 10 2 2 6" xfId="10332"/>
    <cellStyle name="40% - Accent2 10 2 2 7" xfId="18287"/>
    <cellStyle name="40% - Accent2 10 2 2_Exh G" xfId="2811"/>
    <cellStyle name="40% - Accent2 10 2 3" xfId="1411"/>
    <cellStyle name="40% - Accent2 10 2 3 2" xfId="4941"/>
    <cellStyle name="40% - Accent2 10 2 3 2 2" xfId="8532"/>
    <cellStyle name="40% - Accent2 10 2 3 2 2 2" xfId="16503"/>
    <cellStyle name="40% - Accent2 10 2 3 2 2 3" xfId="24449"/>
    <cellStyle name="40% - Accent2 10 2 3 2 3" xfId="12965"/>
    <cellStyle name="40% - Accent2 10 2 3 2 4" xfId="20920"/>
    <cellStyle name="40% - Accent2 10 2 3 3" xfId="6773"/>
    <cellStyle name="40% - Accent2 10 2 3 3 2" xfId="14745"/>
    <cellStyle name="40% - Accent2 10 2 3 3 3" xfId="22692"/>
    <cellStyle name="40% - Accent2 10 2 3 4" xfId="11209"/>
    <cellStyle name="40% - Accent2 10 2 3 5" xfId="19164"/>
    <cellStyle name="40% - Accent2 10 2 3_Exh G" xfId="2813"/>
    <cellStyle name="40% - Accent2 10 2 4" xfId="4062"/>
    <cellStyle name="40% - Accent2 10 2 4 2" xfId="7654"/>
    <cellStyle name="40% - Accent2 10 2 4 2 2" xfId="15625"/>
    <cellStyle name="40% - Accent2 10 2 4 2 3" xfId="23571"/>
    <cellStyle name="40% - Accent2 10 2 4 3" xfId="12087"/>
    <cellStyle name="40% - Accent2 10 2 4 4" xfId="20042"/>
    <cellStyle name="40% - Accent2 10 2 5" xfId="5882"/>
    <cellStyle name="40% - Accent2 10 2 5 2" xfId="13866"/>
    <cellStyle name="40% - Accent2 10 2 5 3" xfId="21814"/>
    <cellStyle name="40% - Accent2 10 2 6" xfId="9435"/>
    <cellStyle name="40% - Accent2 10 2 6 2" xfId="17393"/>
    <cellStyle name="40% - Accent2 10 2 6 3" xfId="25337"/>
    <cellStyle name="40% - Accent2 10 2 7" xfId="10331"/>
    <cellStyle name="40% - Accent2 10 2 8" xfId="18286"/>
    <cellStyle name="40% - Accent2 10 2_Exh G" xfId="2810"/>
    <cellStyle name="40% - Accent2 10 3" xfId="385"/>
    <cellStyle name="40% - Accent2 10 3 2" xfId="1413"/>
    <cellStyle name="40% - Accent2 10 3 2 2" xfId="4943"/>
    <cellStyle name="40% - Accent2 10 3 2 2 2" xfId="8534"/>
    <cellStyle name="40% - Accent2 10 3 2 2 2 2" xfId="16505"/>
    <cellStyle name="40% - Accent2 10 3 2 2 2 3" xfId="24451"/>
    <cellStyle name="40% - Accent2 10 3 2 2 3" xfId="12967"/>
    <cellStyle name="40% - Accent2 10 3 2 2 4" xfId="20922"/>
    <cellStyle name="40% - Accent2 10 3 2 3" xfId="6775"/>
    <cellStyle name="40% - Accent2 10 3 2 3 2" xfId="14747"/>
    <cellStyle name="40% - Accent2 10 3 2 3 3" xfId="22694"/>
    <cellStyle name="40% - Accent2 10 3 2 4" xfId="11211"/>
    <cellStyle name="40% - Accent2 10 3 2 5" xfId="19166"/>
    <cellStyle name="40% - Accent2 10 3 2_Exh G" xfId="2815"/>
    <cellStyle name="40% - Accent2 10 3 3" xfId="4064"/>
    <cellStyle name="40% - Accent2 10 3 3 2" xfId="7656"/>
    <cellStyle name="40% - Accent2 10 3 3 2 2" xfId="15627"/>
    <cellStyle name="40% - Accent2 10 3 3 2 3" xfId="23573"/>
    <cellStyle name="40% - Accent2 10 3 3 3" xfId="12089"/>
    <cellStyle name="40% - Accent2 10 3 3 4" xfId="20044"/>
    <cellStyle name="40% - Accent2 10 3 4" xfId="5884"/>
    <cellStyle name="40% - Accent2 10 3 4 2" xfId="13868"/>
    <cellStyle name="40% - Accent2 10 3 4 3" xfId="21816"/>
    <cellStyle name="40% - Accent2 10 3 5" xfId="9437"/>
    <cellStyle name="40% - Accent2 10 3 5 2" xfId="17395"/>
    <cellStyle name="40% - Accent2 10 3 5 3" xfId="25339"/>
    <cellStyle name="40% - Accent2 10 3 6" xfId="10333"/>
    <cellStyle name="40% - Accent2 10 3 7" xfId="18288"/>
    <cellStyle name="40% - Accent2 10 3_Exh G" xfId="2814"/>
    <cellStyle name="40% - Accent2 10 4" xfId="946"/>
    <cellStyle name="40% - Accent2 10 5" xfId="1410"/>
    <cellStyle name="40% - Accent2 10 5 2" xfId="4940"/>
    <cellStyle name="40% - Accent2 10 5 2 2" xfId="8531"/>
    <cellStyle name="40% - Accent2 10 5 2 2 2" xfId="16502"/>
    <cellStyle name="40% - Accent2 10 5 2 2 3" xfId="24448"/>
    <cellStyle name="40% - Accent2 10 5 2 3" xfId="12964"/>
    <cellStyle name="40% - Accent2 10 5 2 4" xfId="20919"/>
    <cellStyle name="40% - Accent2 10 5 3" xfId="6772"/>
    <cellStyle name="40% - Accent2 10 5 3 2" xfId="14744"/>
    <cellStyle name="40% - Accent2 10 5 3 3" xfId="22691"/>
    <cellStyle name="40% - Accent2 10 5 4" xfId="11208"/>
    <cellStyle name="40% - Accent2 10 5 5" xfId="19163"/>
    <cellStyle name="40% - Accent2 10 5_Exh G" xfId="2816"/>
    <cellStyle name="40% - Accent2 10 6" xfId="4061"/>
    <cellStyle name="40% - Accent2 10 6 2" xfId="7653"/>
    <cellStyle name="40% - Accent2 10 6 2 2" xfId="15624"/>
    <cellStyle name="40% - Accent2 10 6 2 3" xfId="23570"/>
    <cellStyle name="40% - Accent2 10 6 3" xfId="12086"/>
    <cellStyle name="40% - Accent2 10 6 4" xfId="20041"/>
    <cellStyle name="40% - Accent2 10 7" xfId="5881"/>
    <cellStyle name="40% - Accent2 10 7 2" xfId="13865"/>
    <cellStyle name="40% - Accent2 10 7 3" xfId="21813"/>
    <cellStyle name="40% - Accent2 10 8" xfId="9434"/>
    <cellStyle name="40% - Accent2 10 8 2" xfId="17392"/>
    <cellStyle name="40% - Accent2 10 8 3" xfId="25336"/>
    <cellStyle name="40% - Accent2 10 9" xfId="10330"/>
    <cellStyle name="40% - Accent2 10_Exh G" xfId="2809"/>
    <cellStyle name="40% - Accent2 11" xfId="386"/>
    <cellStyle name="40% - Accent2 11 2" xfId="387"/>
    <cellStyle name="40% - Accent2 11 2 2" xfId="388"/>
    <cellStyle name="40% - Accent2 11 2 2 2" xfId="1416"/>
    <cellStyle name="40% - Accent2 11 2 2 2 2" xfId="4946"/>
    <cellStyle name="40% - Accent2 11 2 2 2 2 2" xfId="8537"/>
    <cellStyle name="40% - Accent2 11 2 2 2 2 2 2" xfId="16508"/>
    <cellStyle name="40% - Accent2 11 2 2 2 2 2 3" xfId="24454"/>
    <cellStyle name="40% - Accent2 11 2 2 2 2 3" xfId="12970"/>
    <cellStyle name="40% - Accent2 11 2 2 2 2 4" xfId="20925"/>
    <cellStyle name="40% - Accent2 11 2 2 2 3" xfId="6778"/>
    <cellStyle name="40% - Accent2 11 2 2 2 3 2" xfId="14750"/>
    <cellStyle name="40% - Accent2 11 2 2 2 3 3" xfId="22697"/>
    <cellStyle name="40% - Accent2 11 2 2 2 4" xfId="11214"/>
    <cellStyle name="40% - Accent2 11 2 2 2 5" xfId="19169"/>
    <cellStyle name="40% - Accent2 11 2 2 2_Exh G" xfId="2820"/>
    <cellStyle name="40% - Accent2 11 2 2 3" xfId="4067"/>
    <cellStyle name="40% - Accent2 11 2 2 3 2" xfId="7659"/>
    <cellStyle name="40% - Accent2 11 2 2 3 2 2" xfId="15630"/>
    <cellStyle name="40% - Accent2 11 2 2 3 2 3" xfId="23576"/>
    <cellStyle name="40% - Accent2 11 2 2 3 3" xfId="12092"/>
    <cellStyle name="40% - Accent2 11 2 2 3 4" xfId="20047"/>
    <cellStyle name="40% - Accent2 11 2 2 4" xfId="5887"/>
    <cellStyle name="40% - Accent2 11 2 2 4 2" xfId="13871"/>
    <cellStyle name="40% - Accent2 11 2 2 4 3" xfId="21819"/>
    <cellStyle name="40% - Accent2 11 2 2 5" xfId="9440"/>
    <cellStyle name="40% - Accent2 11 2 2 5 2" xfId="17398"/>
    <cellStyle name="40% - Accent2 11 2 2 5 3" xfId="25342"/>
    <cellStyle name="40% - Accent2 11 2 2 6" xfId="10336"/>
    <cellStyle name="40% - Accent2 11 2 2 7" xfId="18291"/>
    <cellStyle name="40% - Accent2 11 2 2_Exh G" xfId="2819"/>
    <cellStyle name="40% - Accent2 11 2 3" xfId="1415"/>
    <cellStyle name="40% - Accent2 11 2 3 2" xfId="4945"/>
    <cellStyle name="40% - Accent2 11 2 3 2 2" xfId="8536"/>
    <cellStyle name="40% - Accent2 11 2 3 2 2 2" xfId="16507"/>
    <cellStyle name="40% - Accent2 11 2 3 2 2 3" xfId="24453"/>
    <cellStyle name="40% - Accent2 11 2 3 2 3" xfId="12969"/>
    <cellStyle name="40% - Accent2 11 2 3 2 4" xfId="20924"/>
    <cellStyle name="40% - Accent2 11 2 3 3" xfId="6777"/>
    <cellStyle name="40% - Accent2 11 2 3 3 2" xfId="14749"/>
    <cellStyle name="40% - Accent2 11 2 3 3 3" xfId="22696"/>
    <cellStyle name="40% - Accent2 11 2 3 4" xfId="11213"/>
    <cellStyle name="40% - Accent2 11 2 3 5" xfId="19168"/>
    <cellStyle name="40% - Accent2 11 2 3_Exh G" xfId="2821"/>
    <cellStyle name="40% - Accent2 11 2 4" xfId="4066"/>
    <cellStyle name="40% - Accent2 11 2 4 2" xfId="7658"/>
    <cellStyle name="40% - Accent2 11 2 4 2 2" xfId="15629"/>
    <cellStyle name="40% - Accent2 11 2 4 2 3" xfId="23575"/>
    <cellStyle name="40% - Accent2 11 2 4 3" xfId="12091"/>
    <cellStyle name="40% - Accent2 11 2 4 4" xfId="20046"/>
    <cellStyle name="40% - Accent2 11 2 5" xfId="5886"/>
    <cellStyle name="40% - Accent2 11 2 5 2" xfId="13870"/>
    <cellStyle name="40% - Accent2 11 2 5 3" xfId="21818"/>
    <cellStyle name="40% - Accent2 11 2 6" xfId="9439"/>
    <cellStyle name="40% - Accent2 11 2 6 2" xfId="17397"/>
    <cellStyle name="40% - Accent2 11 2 6 3" xfId="25341"/>
    <cellStyle name="40% - Accent2 11 2 7" xfId="10335"/>
    <cellStyle name="40% - Accent2 11 2 8" xfId="18290"/>
    <cellStyle name="40% - Accent2 11 2_Exh G" xfId="2818"/>
    <cellStyle name="40% - Accent2 11 3" xfId="389"/>
    <cellStyle name="40% - Accent2 11 3 2" xfId="1417"/>
    <cellStyle name="40% - Accent2 11 3 2 2" xfId="4947"/>
    <cellStyle name="40% - Accent2 11 3 2 2 2" xfId="8538"/>
    <cellStyle name="40% - Accent2 11 3 2 2 2 2" xfId="16509"/>
    <cellStyle name="40% - Accent2 11 3 2 2 2 3" xfId="24455"/>
    <cellStyle name="40% - Accent2 11 3 2 2 3" xfId="12971"/>
    <cellStyle name="40% - Accent2 11 3 2 2 4" xfId="20926"/>
    <cellStyle name="40% - Accent2 11 3 2 3" xfId="6779"/>
    <cellStyle name="40% - Accent2 11 3 2 3 2" xfId="14751"/>
    <cellStyle name="40% - Accent2 11 3 2 3 3" xfId="22698"/>
    <cellStyle name="40% - Accent2 11 3 2 4" xfId="11215"/>
    <cellStyle name="40% - Accent2 11 3 2 5" xfId="19170"/>
    <cellStyle name="40% - Accent2 11 3 2_Exh G" xfId="2823"/>
    <cellStyle name="40% - Accent2 11 3 3" xfId="4068"/>
    <cellStyle name="40% - Accent2 11 3 3 2" xfId="7660"/>
    <cellStyle name="40% - Accent2 11 3 3 2 2" xfId="15631"/>
    <cellStyle name="40% - Accent2 11 3 3 2 3" xfId="23577"/>
    <cellStyle name="40% - Accent2 11 3 3 3" xfId="12093"/>
    <cellStyle name="40% - Accent2 11 3 3 4" xfId="20048"/>
    <cellStyle name="40% - Accent2 11 3 4" xfId="5888"/>
    <cellStyle name="40% - Accent2 11 3 4 2" xfId="13872"/>
    <cellStyle name="40% - Accent2 11 3 4 3" xfId="21820"/>
    <cellStyle name="40% - Accent2 11 3 5" xfId="9441"/>
    <cellStyle name="40% - Accent2 11 3 5 2" xfId="17399"/>
    <cellStyle name="40% - Accent2 11 3 5 3" xfId="25343"/>
    <cellStyle name="40% - Accent2 11 3 6" xfId="10337"/>
    <cellStyle name="40% - Accent2 11 3 7" xfId="18292"/>
    <cellStyle name="40% - Accent2 11 3_Exh G" xfId="2822"/>
    <cellStyle name="40% - Accent2 11 4" xfId="1414"/>
    <cellStyle name="40% - Accent2 11 4 2" xfId="4944"/>
    <cellStyle name="40% - Accent2 11 4 2 2" xfId="8535"/>
    <cellStyle name="40% - Accent2 11 4 2 2 2" xfId="16506"/>
    <cellStyle name="40% - Accent2 11 4 2 2 3" xfId="24452"/>
    <cellStyle name="40% - Accent2 11 4 2 3" xfId="12968"/>
    <cellStyle name="40% - Accent2 11 4 2 4" xfId="20923"/>
    <cellStyle name="40% - Accent2 11 4 3" xfId="6776"/>
    <cellStyle name="40% - Accent2 11 4 3 2" xfId="14748"/>
    <cellStyle name="40% - Accent2 11 4 3 3" xfId="22695"/>
    <cellStyle name="40% - Accent2 11 4 4" xfId="11212"/>
    <cellStyle name="40% - Accent2 11 4 5" xfId="19167"/>
    <cellStyle name="40% - Accent2 11 4_Exh G" xfId="2824"/>
    <cellStyle name="40% - Accent2 11 5" xfId="4065"/>
    <cellStyle name="40% - Accent2 11 5 2" xfId="7657"/>
    <cellStyle name="40% - Accent2 11 5 2 2" xfId="15628"/>
    <cellStyle name="40% - Accent2 11 5 2 3" xfId="23574"/>
    <cellStyle name="40% - Accent2 11 5 3" xfId="12090"/>
    <cellStyle name="40% - Accent2 11 5 4" xfId="20045"/>
    <cellStyle name="40% - Accent2 11 6" xfId="5885"/>
    <cellStyle name="40% - Accent2 11 6 2" xfId="13869"/>
    <cellStyle name="40% - Accent2 11 6 3" xfId="21817"/>
    <cellStyle name="40% - Accent2 11 7" xfId="9438"/>
    <cellStyle name="40% - Accent2 11 7 2" xfId="17396"/>
    <cellStyle name="40% - Accent2 11 7 3" xfId="25340"/>
    <cellStyle name="40% - Accent2 11 8" xfId="10334"/>
    <cellStyle name="40% - Accent2 11 9" xfId="18289"/>
    <cellStyle name="40% - Accent2 11_Exh G" xfId="2817"/>
    <cellStyle name="40% - Accent2 12" xfId="390"/>
    <cellStyle name="40% - Accent2 12 2" xfId="391"/>
    <cellStyle name="40% - Accent2 12 2 2" xfId="392"/>
    <cellStyle name="40% - Accent2 12 2 2 2" xfId="1420"/>
    <cellStyle name="40% - Accent2 12 2 2 2 2" xfId="4950"/>
    <cellStyle name="40% - Accent2 12 2 2 2 2 2" xfId="8541"/>
    <cellStyle name="40% - Accent2 12 2 2 2 2 2 2" xfId="16512"/>
    <cellStyle name="40% - Accent2 12 2 2 2 2 2 3" xfId="24458"/>
    <cellStyle name="40% - Accent2 12 2 2 2 2 3" xfId="12974"/>
    <cellStyle name="40% - Accent2 12 2 2 2 2 4" xfId="20929"/>
    <cellStyle name="40% - Accent2 12 2 2 2 3" xfId="6782"/>
    <cellStyle name="40% - Accent2 12 2 2 2 3 2" xfId="14754"/>
    <cellStyle name="40% - Accent2 12 2 2 2 3 3" xfId="22701"/>
    <cellStyle name="40% - Accent2 12 2 2 2 4" xfId="11218"/>
    <cellStyle name="40% - Accent2 12 2 2 2 5" xfId="19173"/>
    <cellStyle name="40% - Accent2 12 2 2 2_Exh G" xfId="2828"/>
    <cellStyle name="40% - Accent2 12 2 2 3" xfId="4071"/>
    <cellStyle name="40% - Accent2 12 2 2 3 2" xfId="7663"/>
    <cellStyle name="40% - Accent2 12 2 2 3 2 2" xfId="15634"/>
    <cellStyle name="40% - Accent2 12 2 2 3 2 3" xfId="23580"/>
    <cellStyle name="40% - Accent2 12 2 2 3 3" xfId="12096"/>
    <cellStyle name="40% - Accent2 12 2 2 3 4" xfId="20051"/>
    <cellStyle name="40% - Accent2 12 2 2 4" xfId="5891"/>
    <cellStyle name="40% - Accent2 12 2 2 4 2" xfId="13875"/>
    <cellStyle name="40% - Accent2 12 2 2 4 3" xfId="21823"/>
    <cellStyle name="40% - Accent2 12 2 2 5" xfId="9444"/>
    <cellStyle name="40% - Accent2 12 2 2 5 2" xfId="17402"/>
    <cellStyle name="40% - Accent2 12 2 2 5 3" xfId="25346"/>
    <cellStyle name="40% - Accent2 12 2 2 6" xfId="10340"/>
    <cellStyle name="40% - Accent2 12 2 2 7" xfId="18295"/>
    <cellStyle name="40% - Accent2 12 2 2_Exh G" xfId="2827"/>
    <cellStyle name="40% - Accent2 12 2 3" xfId="1419"/>
    <cellStyle name="40% - Accent2 12 2 3 2" xfId="4949"/>
    <cellStyle name="40% - Accent2 12 2 3 2 2" xfId="8540"/>
    <cellStyle name="40% - Accent2 12 2 3 2 2 2" xfId="16511"/>
    <cellStyle name="40% - Accent2 12 2 3 2 2 3" xfId="24457"/>
    <cellStyle name="40% - Accent2 12 2 3 2 3" xfId="12973"/>
    <cellStyle name="40% - Accent2 12 2 3 2 4" xfId="20928"/>
    <cellStyle name="40% - Accent2 12 2 3 3" xfId="6781"/>
    <cellStyle name="40% - Accent2 12 2 3 3 2" xfId="14753"/>
    <cellStyle name="40% - Accent2 12 2 3 3 3" xfId="22700"/>
    <cellStyle name="40% - Accent2 12 2 3 4" xfId="11217"/>
    <cellStyle name="40% - Accent2 12 2 3 5" xfId="19172"/>
    <cellStyle name="40% - Accent2 12 2 3_Exh G" xfId="2829"/>
    <cellStyle name="40% - Accent2 12 2 4" xfId="4070"/>
    <cellStyle name="40% - Accent2 12 2 4 2" xfId="7662"/>
    <cellStyle name="40% - Accent2 12 2 4 2 2" xfId="15633"/>
    <cellStyle name="40% - Accent2 12 2 4 2 3" xfId="23579"/>
    <cellStyle name="40% - Accent2 12 2 4 3" xfId="12095"/>
    <cellStyle name="40% - Accent2 12 2 4 4" xfId="20050"/>
    <cellStyle name="40% - Accent2 12 2 5" xfId="5890"/>
    <cellStyle name="40% - Accent2 12 2 5 2" xfId="13874"/>
    <cellStyle name="40% - Accent2 12 2 5 3" xfId="21822"/>
    <cellStyle name="40% - Accent2 12 2 6" xfId="9443"/>
    <cellStyle name="40% - Accent2 12 2 6 2" xfId="17401"/>
    <cellStyle name="40% - Accent2 12 2 6 3" xfId="25345"/>
    <cellStyle name="40% - Accent2 12 2 7" xfId="10339"/>
    <cellStyle name="40% - Accent2 12 2 8" xfId="18294"/>
    <cellStyle name="40% - Accent2 12 2_Exh G" xfId="2826"/>
    <cellStyle name="40% - Accent2 12 3" xfId="393"/>
    <cellStyle name="40% - Accent2 12 3 2" xfId="1421"/>
    <cellStyle name="40% - Accent2 12 3 2 2" xfId="4951"/>
    <cellStyle name="40% - Accent2 12 3 2 2 2" xfId="8542"/>
    <cellStyle name="40% - Accent2 12 3 2 2 2 2" xfId="16513"/>
    <cellStyle name="40% - Accent2 12 3 2 2 2 3" xfId="24459"/>
    <cellStyle name="40% - Accent2 12 3 2 2 3" xfId="12975"/>
    <cellStyle name="40% - Accent2 12 3 2 2 4" xfId="20930"/>
    <cellStyle name="40% - Accent2 12 3 2 3" xfId="6783"/>
    <cellStyle name="40% - Accent2 12 3 2 3 2" xfId="14755"/>
    <cellStyle name="40% - Accent2 12 3 2 3 3" xfId="22702"/>
    <cellStyle name="40% - Accent2 12 3 2 4" xfId="11219"/>
    <cellStyle name="40% - Accent2 12 3 2 5" xfId="19174"/>
    <cellStyle name="40% - Accent2 12 3 2_Exh G" xfId="2831"/>
    <cellStyle name="40% - Accent2 12 3 3" xfId="4072"/>
    <cellStyle name="40% - Accent2 12 3 3 2" xfId="7664"/>
    <cellStyle name="40% - Accent2 12 3 3 2 2" xfId="15635"/>
    <cellStyle name="40% - Accent2 12 3 3 2 3" xfId="23581"/>
    <cellStyle name="40% - Accent2 12 3 3 3" xfId="12097"/>
    <cellStyle name="40% - Accent2 12 3 3 4" xfId="20052"/>
    <cellStyle name="40% - Accent2 12 3 4" xfId="5892"/>
    <cellStyle name="40% - Accent2 12 3 4 2" xfId="13876"/>
    <cellStyle name="40% - Accent2 12 3 4 3" xfId="21824"/>
    <cellStyle name="40% - Accent2 12 3 5" xfId="9445"/>
    <cellStyle name="40% - Accent2 12 3 5 2" xfId="17403"/>
    <cellStyle name="40% - Accent2 12 3 5 3" xfId="25347"/>
    <cellStyle name="40% - Accent2 12 3 6" xfId="10341"/>
    <cellStyle name="40% - Accent2 12 3 7" xfId="18296"/>
    <cellStyle name="40% - Accent2 12 3_Exh G" xfId="2830"/>
    <cellStyle name="40% - Accent2 12 4" xfId="1418"/>
    <cellStyle name="40% - Accent2 12 4 2" xfId="4948"/>
    <cellStyle name="40% - Accent2 12 4 2 2" xfId="8539"/>
    <cellStyle name="40% - Accent2 12 4 2 2 2" xfId="16510"/>
    <cellStyle name="40% - Accent2 12 4 2 2 3" xfId="24456"/>
    <cellStyle name="40% - Accent2 12 4 2 3" xfId="12972"/>
    <cellStyle name="40% - Accent2 12 4 2 4" xfId="20927"/>
    <cellStyle name="40% - Accent2 12 4 3" xfId="6780"/>
    <cellStyle name="40% - Accent2 12 4 3 2" xfId="14752"/>
    <cellStyle name="40% - Accent2 12 4 3 3" xfId="22699"/>
    <cellStyle name="40% - Accent2 12 4 4" xfId="11216"/>
    <cellStyle name="40% - Accent2 12 4 5" xfId="19171"/>
    <cellStyle name="40% - Accent2 12 4_Exh G" xfId="2832"/>
    <cellStyle name="40% - Accent2 12 5" xfId="4069"/>
    <cellStyle name="40% - Accent2 12 5 2" xfId="7661"/>
    <cellStyle name="40% - Accent2 12 5 2 2" xfId="15632"/>
    <cellStyle name="40% - Accent2 12 5 2 3" xfId="23578"/>
    <cellStyle name="40% - Accent2 12 5 3" xfId="12094"/>
    <cellStyle name="40% - Accent2 12 5 4" xfId="20049"/>
    <cellStyle name="40% - Accent2 12 6" xfId="5889"/>
    <cellStyle name="40% - Accent2 12 6 2" xfId="13873"/>
    <cellStyle name="40% - Accent2 12 6 3" xfId="21821"/>
    <cellStyle name="40% - Accent2 12 7" xfId="9442"/>
    <cellStyle name="40% - Accent2 12 7 2" xfId="17400"/>
    <cellStyle name="40% - Accent2 12 7 3" xfId="25344"/>
    <cellStyle name="40% - Accent2 12 8" xfId="10338"/>
    <cellStyle name="40% - Accent2 12 9" xfId="18293"/>
    <cellStyle name="40% - Accent2 12_Exh G" xfId="2825"/>
    <cellStyle name="40% - Accent2 13" xfId="394"/>
    <cellStyle name="40% - Accent2 13 2" xfId="395"/>
    <cellStyle name="40% - Accent2 13 2 2" xfId="396"/>
    <cellStyle name="40% - Accent2 13 2 2 2" xfId="1424"/>
    <cellStyle name="40% - Accent2 13 2 2 2 2" xfId="4954"/>
    <cellStyle name="40% - Accent2 13 2 2 2 2 2" xfId="8545"/>
    <cellStyle name="40% - Accent2 13 2 2 2 2 2 2" xfId="16516"/>
    <cellStyle name="40% - Accent2 13 2 2 2 2 2 3" xfId="24462"/>
    <cellStyle name="40% - Accent2 13 2 2 2 2 3" xfId="12978"/>
    <cellStyle name="40% - Accent2 13 2 2 2 2 4" xfId="20933"/>
    <cellStyle name="40% - Accent2 13 2 2 2 3" xfId="6786"/>
    <cellStyle name="40% - Accent2 13 2 2 2 3 2" xfId="14758"/>
    <cellStyle name="40% - Accent2 13 2 2 2 3 3" xfId="22705"/>
    <cellStyle name="40% - Accent2 13 2 2 2 4" xfId="11222"/>
    <cellStyle name="40% - Accent2 13 2 2 2 5" xfId="19177"/>
    <cellStyle name="40% - Accent2 13 2 2 2_Exh G" xfId="2836"/>
    <cellStyle name="40% - Accent2 13 2 2 3" xfId="4075"/>
    <cellStyle name="40% - Accent2 13 2 2 3 2" xfId="7667"/>
    <cellStyle name="40% - Accent2 13 2 2 3 2 2" xfId="15638"/>
    <cellStyle name="40% - Accent2 13 2 2 3 2 3" xfId="23584"/>
    <cellStyle name="40% - Accent2 13 2 2 3 3" xfId="12100"/>
    <cellStyle name="40% - Accent2 13 2 2 3 4" xfId="20055"/>
    <cellStyle name="40% - Accent2 13 2 2 4" xfId="5895"/>
    <cellStyle name="40% - Accent2 13 2 2 4 2" xfId="13879"/>
    <cellStyle name="40% - Accent2 13 2 2 4 3" xfId="21827"/>
    <cellStyle name="40% - Accent2 13 2 2 5" xfId="9448"/>
    <cellStyle name="40% - Accent2 13 2 2 5 2" xfId="17406"/>
    <cellStyle name="40% - Accent2 13 2 2 5 3" xfId="25350"/>
    <cellStyle name="40% - Accent2 13 2 2 6" xfId="10344"/>
    <cellStyle name="40% - Accent2 13 2 2 7" xfId="18299"/>
    <cellStyle name="40% - Accent2 13 2 2_Exh G" xfId="2835"/>
    <cellStyle name="40% - Accent2 13 2 3" xfId="1423"/>
    <cellStyle name="40% - Accent2 13 2 3 2" xfId="4953"/>
    <cellStyle name="40% - Accent2 13 2 3 2 2" xfId="8544"/>
    <cellStyle name="40% - Accent2 13 2 3 2 2 2" xfId="16515"/>
    <cellStyle name="40% - Accent2 13 2 3 2 2 3" xfId="24461"/>
    <cellStyle name="40% - Accent2 13 2 3 2 3" xfId="12977"/>
    <cellStyle name="40% - Accent2 13 2 3 2 4" xfId="20932"/>
    <cellStyle name="40% - Accent2 13 2 3 3" xfId="6785"/>
    <cellStyle name="40% - Accent2 13 2 3 3 2" xfId="14757"/>
    <cellStyle name="40% - Accent2 13 2 3 3 3" xfId="22704"/>
    <cellStyle name="40% - Accent2 13 2 3 4" xfId="11221"/>
    <cellStyle name="40% - Accent2 13 2 3 5" xfId="19176"/>
    <cellStyle name="40% - Accent2 13 2 3_Exh G" xfId="2837"/>
    <cellStyle name="40% - Accent2 13 2 4" xfId="4074"/>
    <cellStyle name="40% - Accent2 13 2 4 2" xfId="7666"/>
    <cellStyle name="40% - Accent2 13 2 4 2 2" xfId="15637"/>
    <cellStyle name="40% - Accent2 13 2 4 2 3" xfId="23583"/>
    <cellStyle name="40% - Accent2 13 2 4 3" xfId="12099"/>
    <cellStyle name="40% - Accent2 13 2 4 4" xfId="20054"/>
    <cellStyle name="40% - Accent2 13 2 5" xfId="5894"/>
    <cellStyle name="40% - Accent2 13 2 5 2" xfId="13878"/>
    <cellStyle name="40% - Accent2 13 2 5 3" xfId="21826"/>
    <cellStyle name="40% - Accent2 13 2 6" xfId="9447"/>
    <cellStyle name="40% - Accent2 13 2 6 2" xfId="17405"/>
    <cellStyle name="40% - Accent2 13 2 6 3" xfId="25349"/>
    <cellStyle name="40% - Accent2 13 2 7" xfId="10343"/>
    <cellStyle name="40% - Accent2 13 2 8" xfId="18298"/>
    <cellStyle name="40% - Accent2 13 2_Exh G" xfId="2834"/>
    <cellStyle name="40% - Accent2 13 3" xfId="397"/>
    <cellStyle name="40% - Accent2 13 3 2" xfId="1425"/>
    <cellStyle name="40% - Accent2 13 3 2 2" xfId="4955"/>
    <cellStyle name="40% - Accent2 13 3 2 2 2" xfId="8546"/>
    <cellStyle name="40% - Accent2 13 3 2 2 2 2" xfId="16517"/>
    <cellStyle name="40% - Accent2 13 3 2 2 2 3" xfId="24463"/>
    <cellStyle name="40% - Accent2 13 3 2 2 3" xfId="12979"/>
    <cellStyle name="40% - Accent2 13 3 2 2 4" xfId="20934"/>
    <cellStyle name="40% - Accent2 13 3 2 3" xfId="6787"/>
    <cellStyle name="40% - Accent2 13 3 2 3 2" xfId="14759"/>
    <cellStyle name="40% - Accent2 13 3 2 3 3" xfId="22706"/>
    <cellStyle name="40% - Accent2 13 3 2 4" xfId="11223"/>
    <cellStyle name="40% - Accent2 13 3 2 5" xfId="19178"/>
    <cellStyle name="40% - Accent2 13 3 2_Exh G" xfId="2839"/>
    <cellStyle name="40% - Accent2 13 3 3" xfId="4076"/>
    <cellStyle name="40% - Accent2 13 3 3 2" xfId="7668"/>
    <cellStyle name="40% - Accent2 13 3 3 2 2" xfId="15639"/>
    <cellStyle name="40% - Accent2 13 3 3 2 3" xfId="23585"/>
    <cellStyle name="40% - Accent2 13 3 3 3" xfId="12101"/>
    <cellStyle name="40% - Accent2 13 3 3 4" xfId="20056"/>
    <cellStyle name="40% - Accent2 13 3 4" xfId="5896"/>
    <cellStyle name="40% - Accent2 13 3 4 2" xfId="13880"/>
    <cellStyle name="40% - Accent2 13 3 4 3" xfId="21828"/>
    <cellStyle name="40% - Accent2 13 3 5" xfId="9449"/>
    <cellStyle name="40% - Accent2 13 3 5 2" xfId="17407"/>
    <cellStyle name="40% - Accent2 13 3 5 3" xfId="25351"/>
    <cellStyle name="40% - Accent2 13 3 6" xfId="10345"/>
    <cellStyle name="40% - Accent2 13 3 7" xfId="18300"/>
    <cellStyle name="40% - Accent2 13 3_Exh G" xfId="2838"/>
    <cellStyle name="40% - Accent2 13 4" xfId="1422"/>
    <cellStyle name="40% - Accent2 13 4 2" xfId="4952"/>
    <cellStyle name="40% - Accent2 13 4 2 2" xfId="8543"/>
    <cellStyle name="40% - Accent2 13 4 2 2 2" xfId="16514"/>
    <cellStyle name="40% - Accent2 13 4 2 2 3" xfId="24460"/>
    <cellStyle name="40% - Accent2 13 4 2 3" xfId="12976"/>
    <cellStyle name="40% - Accent2 13 4 2 4" xfId="20931"/>
    <cellStyle name="40% - Accent2 13 4 3" xfId="6784"/>
    <cellStyle name="40% - Accent2 13 4 3 2" xfId="14756"/>
    <cellStyle name="40% - Accent2 13 4 3 3" xfId="22703"/>
    <cellStyle name="40% - Accent2 13 4 4" xfId="11220"/>
    <cellStyle name="40% - Accent2 13 4 5" xfId="19175"/>
    <cellStyle name="40% - Accent2 13 4_Exh G" xfId="2840"/>
    <cellStyle name="40% - Accent2 13 5" xfId="4073"/>
    <cellStyle name="40% - Accent2 13 5 2" xfId="7665"/>
    <cellStyle name="40% - Accent2 13 5 2 2" xfId="15636"/>
    <cellStyle name="40% - Accent2 13 5 2 3" xfId="23582"/>
    <cellStyle name="40% - Accent2 13 5 3" xfId="12098"/>
    <cellStyle name="40% - Accent2 13 5 4" xfId="20053"/>
    <cellStyle name="40% - Accent2 13 6" xfId="5893"/>
    <cellStyle name="40% - Accent2 13 6 2" xfId="13877"/>
    <cellStyle name="40% - Accent2 13 6 3" xfId="21825"/>
    <cellStyle name="40% - Accent2 13 7" xfId="9446"/>
    <cellStyle name="40% - Accent2 13 7 2" xfId="17404"/>
    <cellStyle name="40% - Accent2 13 7 3" xfId="25348"/>
    <cellStyle name="40% - Accent2 13 8" xfId="10342"/>
    <cellStyle name="40% - Accent2 13 9" xfId="18297"/>
    <cellStyle name="40% - Accent2 13_Exh G" xfId="2833"/>
    <cellStyle name="40% - Accent2 14" xfId="398"/>
    <cellStyle name="40% - Accent2 14 2" xfId="399"/>
    <cellStyle name="40% - Accent2 14 2 2" xfId="1427"/>
    <cellStyle name="40% - Accent2 14 2 2 2" xfId="4957"/>
    <cellStyle name="40% - Accent2 14 2 2 2 2" xfId="8548"/>
    <cellStyle name="40% - Accent2 14 2 2 2 2 2" xfId="16519"/>
    <cellStyle name="40% - Accent2 14 2 2 2 2 3" xfId="24465"/>
    <cellStyle name="40% - Accent2 14 2 2 2 3" xfId="12981"/>
    <cellStyle name="40% - Accent2 14 2 2 2 4" xfId="20936"/>
    <cellStyle name="40% - Accent2 14 2 2 3" xfId="6789"/>
    <cellStyle name="40% - Accent2 14 2 2 3 2" xfId="14761"/>
    <cellStyle name="40% - Accent2 14 2 2 3 3" xfId="22708"/>
    <cellStyle name="40% - Accent2 14 2 2 4" xfId="11225"/>
    <cellStyle name="40% - Accent2 14 2 2 5" xfId="19180"/>
    <cellStyle name="40% - Accent2 14 2 2_Exh G" xfId="2843"/>
    <cellStyle name="40% - Accent2 14 2 3" xfId="4078"/>
    <cellStyle name="40% - Accent2 14 2 3 2" xfId="7670"/>
    <cellStyle name="40% - Accent2 14 2 3 2 2" xfId="15641"/>
    <cellStyle name="40% - Accent2 14 2 3 2 3" xfId="23587"/>
    <cellStyle name="40% - Accent2 14 2 3 3" xfId="12103"/>
    <cellStyle name="40% - Accent2 14 2 3 4" xfId="20058"/>
    <cellStyle name="40% - Accent2 14 2 4" xfId="5898"/>
    <cellStyle name="40% - Accent2 14 2 4 2" xfId="13882"/>
    <cellStyle name="40% - Accent2 14 2 4 3" xfId="21830"/>
    <cellStyle name="40% - Accent2 14 2 5" xfId="9451"/>
    <cellStyle name="40% - Accent2 14 2 5 2" xfId="17409"/>
    <cellStyle name="40% - Accent2 14 2 5 3" xfId="25353"/>
    <cellStyle name="40% - Accent2 14 2 6" xfId="10347"/>
    <cellStyle name="40% - Accent2 14 2 7" xfId="18302"/>
    <cellStyle name="40% - Accent2 14 2_Exh G" xfId="2842"/>
    <cellStyle name="40% - Accent2 14 3" xfId="1426"/>
    <cellStyle name="40% - Accent2 14 3 2" xfId="4956"/>
    <cellStyle name="40% - Accent2 14 3 2 2" xfId="8547"/>
    <cellStyle name="40% - Accent2 14 3 2 2 2" xfId="16518"/>
    <cellStyle name="40% - Accent2 14 3 2 2 3" xfId="24464"/>
    <cellStyle name="40% - Accent2 14 3 2 3" xfId="12980"/>
    <cellStyle name="40% - Accent2 14 3 2 4" xfId="20935"/>
    <cellStyle name="40% - Accent2 14 3 3" xfId="6788"/>
    <cellStyle name="40% - Accent2 14 3 3 2" xfId="14760"/>
    <cellStyle name="40% - Accent2 14 3 3 3" xfId="22707"/>
    <cellStyle name="40% - Accent2 14 3 4" xfId="11224"/>
    <cellStyle name="40% - Accent2 14 3 5" xfId="19179"/>
    <cellStyle name="40% - Accent2 14 3_Exh G" xfId="2844"/>
    <cellStyle name="40% - Accent2 14 4" xfId="4077"/>
    <cellStyle name="40% - Accent2 14 4 2" xfId="7669"/>
    <cellStyle name="40% - Accent2 14 4 2 2" xfId="15640"/>
    <cellStyle name="40% - Accent2 14 4 2 3" xfId="23586"/>
    <cellStyle name="40% - Accent2 14 4 3" xfId="12102"/>
    <cellStyle name="40% - Accent2 14 4 4" xfId="20057"/>
    <cellStyle name="40% - Accent2 14 5" xfId="5897"/>
    <cellStyle name="40% - Accent2 14 5 2" xfId="13881"/>
    <cellStyle name="40% - Accent2 14 5 3" xfId="21829"/>
    <cellStyle name="40% - Accent2 14 6" xfId="9450"/>
    <cellStyle name="40% - Accent2 14 6 2" xfId="17408"/>
    <cellStyle name="40% - Accent2 14 6 3" xfId="25352"/>
    <cellStyle name="40% - Accent2 14 7" xfId="10346"/>
    <cellStyle name="40% - Accent2 14 8" xfId="18301"/>
    <cellStyle name="40% - Accent2 14_Exh G" xfId="2841"/>
    <cellStyle name="40% - Accent2 15" xfId="400"/>
    <cellStyle name="40% - Accent2 15 2" xfId="1428"/>
    <cellStyle name="40% - Accent2 15 2 2" xfId="4958"/>
    <cellStyle name="40% - Accent2 15 2 2 2" xfId="8549"/>
    <cellStyle name="40% - Accent2 15 2 2 2 2" xfId="16520"/>
    <cellStyle name="40% - Accent2 15 2 2 2 3" xfId="24466"/>
    <cellStyle name="40% - Accent2 15 2 2 3" xfId="12982"/>
    <cellStyle name="40% - Accent2 15 2 2 4" xfId="20937"/>
    <cellStyle name="40% - Accent2 15 2 3" xfId="6790"/>
    <cellStyle name="40% - Accent2 15 2 3 2" xfId="14762"/>
    <cellStyle name="40% - Accent2 15 2 3 3" xfId="22709"/>
    <cellStyle name="40% - Accent2 15 2 4" xfId="11226"/>
    <cellStyle name="40% - Accent2 15 2 5" xfId="19181"/>
    <cellStyle name="40% - Accent2 15 2_Exh G" xfId="2846"/>
    <cellStyle name="40% - Accent2 15 3" xfId="4079"/>
    <cellStyle name="40% - Accent2 15 3 2" xfId="7671"/>
    <cellStyle name="40% - Accent2 15 3 2 2" xfId="15642"/>
    <cellStyle name="40% - Accent2 15 3 2 3" xfId="23588"/>
    <cellStyle name="40% - Accent2 15 3 3" xfId="12104"/>
    <cellStyle name="40% - Accent2 15 3 4" xfId="20059"/>
    <cellStyle name="40% - Accent2 15 4" xfId="5899"/>
    <cellStyle name="40% - Accent2 15 4 2" xfId="13883"/>
    <cellStyle name="40% - Accent2 15 4 3" xfId="21831"/>
    <cellStyle name="40% - Accent2 15 5" xfId="9452"/>
    <cellStyle name="40% - Accent2 15 5 2" xfId="17410"/>
    <cellStyle name="40% - Accent2 15 5 3" xfId="25354"/>
    <cellStyle name="40% - Accent2 15 6" xfId="10348"/>
    <cellStyle name="40% - Accent2 15 7" xfId="18303"/>
    <cellStyle name="40% - Accent2 15_Exh G" xfId="2845"/>
    <cellStyle name="40% - Accent2 16" xfId="850"/>
    <cellStyle name="40% - Accent2 16 2" xfId="1789"/>
    <cellStyle name="40% - Accent2 16 2 2" xfId="5310"/>
    <cellStyle name="40% - Accent2 16 2 2 2" xfId="8901"/>
    <cellStyle name="40% - Accent2 16 2 2 2 2" xfId="16872"/>
    <cellStyle name="40% - Accent2 16 2 2 2 3" xfId="24818"/>
    <cellStyle name="40% - Accent2 16 2 2 3" xfId="13334"/>
    <cellStyle name="40% - Accent2 16 2 2 4" xfId="21289"/>
    <cellStyle name="40% - Accent2 16 2 3" xfId="7142"/>
    <cellStyle name="40% - Accent2 16 2 3 2" xfId="15114"/>
    <cellStyle name="40% - Accent2 16 2 3 3" xfId="23061"/>
    <cellStyle name="40% - Accent2 16 2 4" xfId="11578"/>
    <cellStyle name="40% - Accent2 16 2 5" xfId="19533"/>
    <cellStyle name="40% - Accent2 16 2_Exh G" xfId="2848"/>
    <cellStyle name="40% - Accent2 16 3" xfId="4431"/>
    <cellStyle name="40% - Accent2 16 3 2" xfId="8023"/>
    <cellStyle name="40% - Accent2 16 3 2 2" xfId="15994"/>
    <cellStyle name="40% - Accent2 16 3 2 3" xfId="23940"/>
    <cellStyle name="40% - Accent2 16 3 3" xfId="12456"/>
    <cellStyle name="40% - Accent2 16 3 4" xfId="20411"/>
    <cellStyle name="40% - Accent2 16 4" xfId="6261"/>
    <cellStyle name="40% - Accent2 16 4 2" xfId="14236"/>
    <cellStyle name="40% - Accent2 16 4 3" xfId="22183"/>
    <cellStyle name="40% - Accent2 16 5" xfId="9804"/>
    <cellStyle name="40% - Accent2 16 5 2" xfId="17762"/>
    <cellStyle name="40% - Accent2 16 5 3" xfId="25706"/>
    <cellStyle name="40% - Accent2 16 6" xfId="10700"/>
    <cellStyle name="40% - Accent2 16 7" xfId="18655"/>
    <cellStyle name="40% - Accent2 16_Exh G" xfId="2847"/>
    <cellStyle name="40% - Accent2 2" xfId="401"/>
    <cellStyle name="40% - Accent2 2 10" xfId="18304"/>
    <cellStyle name="40% - Accent2 2 2" xfId="402"/>
    <cellStyle name="40% - Accent2 2 2 2" xfId="403"/>
    <cellStyle name="40% - Accent2 2 2 2 2" xfId="1431"/>
    <cellStyle name="40% - Accent2 2 2 2 2 2" xfId="4961"/>
    <cellStyle name="40% - Accent2 2 2 2 2 2 2" xfId="8552"/>
    <cellStyle name="40% - Accent2 2 2 2 2 2 2 2" xfId="16523"/>
    <cellStyle name="40% - Accent2 2 2 2 2 2 2 3" xfId="24469"/>
    <cellStyle name="40% - Accent2 2 2 2 2 2 3" xfId="12985"/>
    <cellStyle name="40% - Accent2 2 2 2 2 2 4" xfId="20940"/>
    <cellStyle name="40% - Accent2 2 2 2 2 3" xfId="6793"/>
    <cellStyle name="40% - Accent2 2 2 2 2 3 2" xfId="14765"/>
    <cellStyle name="40% - Accent2 2 2 2 2 3 3" xfId="22712"/>
    <cellStyle name="40% - Accent2 2 2 2 2 4" xfId="11229"/>
    <cellStyle name="40% - Accent2 2 2 2 2 5" xfId="19184"/>
    <cellStyle name="40% - Accent2 2 2 2 2_Exh G" xfId="2852"/>
    <cellStyle name="40% - Accent2 2 2 2 3" xfId="4082"/>
    <cellStyle name="40% - Accent2 2 2 2 3 2" xfId="7674"/>
    <cellStyle name="40% - Accent2 2 2 2 3 2 2" xfId="15645"/>
    <cellStyle name="40% - Accent2 2 2 2 3 2 3" xfId="23591"/>
    <cellStyle name="40% - Accent2 2 2 2 3 3" xfId="12107"/>
    <cellStyle name="40% - Accent2 2 2 2 3 4" xfId="20062"/>
    <cellStyle name="40% - Accent2 2 2 2 4" xfId="5902"/>
    <cellStyle name="40% - Accent2 2 2 2 4 2" xfId="13886"/>
    <cellStyle name="40% - Accent2 2 2 2 4 3" xfId="21834"/>
    <cellStyle name="40% - Accent2 2 2 2 5" xfId="9455"/>
    <cellStyle name="40% - Accent2 2 2 2 5 2" xfId="17413"/>
    <cellStyle name="40% - Accent2 2 2 2 5 3" xfId="25357"/>
    <cellStyle name="40% - Accent2 2 2 2 6" xfId="10351"/>
    <cellStyle name="40% - Accent2 2 2 2 7" xfId="18306"/>
    <cellStyle name="40% - Accent2 2 2 2_Exh G" xfId="2851"/>
    <cellStyle name="40% - Accent2 2 2 3" xfId="948"/>
    <cellStyle name="40% - Accent2 2 2 3 2" xfId="1870"/>
    <cellStyle name="40% - Accent2 2 2 3 2 2" xfId="5388"/>
    <cellStyle name="40% - Accent2 2 2 3 2 2 2" xfId="8979"/>
    <cellStyle name="40% - Accent2 2 2 3 2 2 2 2" xfId="16950"/>
    <cellStyle name="40% - Accent2 2 2 3 2 2 2 3" xfId="24896"/>
    <cellStyle name="40% - Accent2 2 2 3 2 2 3" xfId="13412"/>
    <cellStyle name="40% - Accent2 2 2 3 2 2 4" xfId="21367"/>
    <cellStyle name="40% - Accent2 2 2 3 2 3" xfId="7220"/>
    <cellStyle name="40% - Accent2 2 2 3 2 3 2" xfId="15192"/>
    <cellStyle name="40% - Accent2 2 2 3 2 3 3" xfId="23139"/>
    <cellStyle name="40% - Accent2 2 2 3 2 4" xfId="11656"/>
    <cellStyle name="40% - Accent2 2 2 3 2 5" xfId="19611"/>
    <cellStyle name="40% - Accent2 2 2 3 2_Exh G" xfId="2854"/>
    <cellStyle name="40% - Accent2 2 2 3 3" xfId="4509"/>
    <cellStyle name="40% - Accent2 2 2 3 3 2" xfId="8101"/>
    <cellStyle name="40% - Accent2 2 2 3 3 2 2" xfId="16072"/>
    <cellStyle name="40% - Accent2 2 2 3 3 2 3" xfId="24018"/>
    <cellStyle name="40% - Accent2 2 2 3 3 3" xfId="12534"/>
    <cellStyle name="40% - Accent2 2 2 3 3 4" xfId="20489"/>
    <cellStyle name="40% - Accent2 2 2 3 4" xfId="6339"/>
    <cellStyle name="40% - Accent2 2 2 3 4 2" xfId="14314"/>
    <cellStyle name="40% - Accent2 2 2 3 4 3" xfId="22261"/>
    <cellStyle name="40% - Accent2 2 2 3 5" xfId="9882"/>
    <cellStyle name="40% - Accent2 2 2 3 5 2" xfId="17840"/>
    <cellStyle name="40% - Accent2 2 2 3 5 3" xfId="25784"/>
    <cellStyle name="40% - Accent2 2 2 3 6" xfId="10778"/>
    <cellStyle name="40% - Accent2 2 2 3 7" xfId="18733"/>
    <cellStyle name="40% - Accent2 2 2 3_Exh G" xfId="2853"/>
    <cellStyle name="40% - Accent2 2 2 4" xfId="1430"/>
    <cellStyle name="40% - Accent2 2 2 4 2" xfId="4960"/>
    <cellStyle name="40% - Accent2 2 2 4 2 2" xfId="8551"/>
    <cellStyle name="40% - Accent2 2 2 4 2 2 2" xfId="16522"/>
    <cellStyle name="40% - Accent2 2 2 4 2 2 3" xfId="24468"/>
    <cellStyle name="40% - Accent2 2 2 4 2 3" xfId="12984"/>
    <cellStyle name="40% - Accent2 2 2 4 2 4" xfId="20939"/>
    <cellStyle name="40% - Accent2 2 2 4 3" xfId="6792"/>
    <cellStyle name="40% - Accent2 2 2 4 3 2" xfId="14764"/>
    <cellStyle name="40% - Accent2 2 2 4 3 3" xfId="22711"/>
    <cellStyle name="40% - Accent2 2 2 4 4" xfId="11228"/>
    <cellStyle name="40% - Accent2 2 2 4 5" xfId="19183"/>
    <cellStyle name="40% - Accent2 2 2 4_Exh G" xfId="2855"/>
    <cellStyle name="40% - Accent2 2 2 5" xfId="4081"/>
    <cellStyle name="40% - Accent2 2 2 5 2" xfId="7673"/>
    <cellStyle name="40% - Accent2 2 2 5 2 2" xfId="15644"/>
    <cellStyle name="40% - Accent2 2 2 5 2 3" xfId="23590"/>
    <cellStyle name="40% - Accent2 2 2 5 3" xfId="12106"/>
    <cellStyle name="40% - Accent2 2 2 5 4" xfId="20061"/>
    <cellStyle name="40% - Accent2 2 2 6" xfId="5901"/>
    <cellStyle name="40% - Accent2 2 2 6 2" xfId="13885"/>
    <cellStyle name="40% - Accent2 2 2 6 3" xfId="21833"/>
    <cellStyle name="40% - Accent2 2 2 7" xfId="9454"/>
    <cellStyle name="40% - Accent2 2 2 7 2" xfId="17412"/>
    <cellStyle name="40% - Accent2 2 2 7 3" xfId="25356"/>
    <cellStyle name="40% - Accent2 2 2 8" xfId="10350"/>
    <cellStyle name="40% - Accent2 2 2 9" xfId="18305"/>
    <cellStyle name="40% - Accent2 2 2_Exh G" xfId="2850"/>
    <cellStyle name="40% - Accent2 2 3" xfId="404"/>
    <cellStyle name="40% - Accent2 2 3 2" xfId="1432"/>
    <cellStyle name="40% - Accent2 2 3 2 2" xfId="4962"/>
    <cellStyle name="40% - Accent2 2 3 2 2 2" xfId="8553"/>
    <cellStyle name="40% - Accent2 2 3 2 2 2 2" xfId="16524"/>
    <cellStyle name="40% - Accent2 2 3 2 2 2 3" xfId="24470"/>
    <cellStyle name="40% - Accent2 2 3 2 2 3" xfId="12986"/>
    <cellStyle name="40% - Accent2 2 3 2 2 4" xfId="20941"/>
    <cellStyle name="40% - Accent2 2 3 2 3" xfId="6794"/>
    <cellStyle name="40% - Accent2 2 3 2 3 2" xfId="14766"/>
    <cellStyle name="40% - Accent2 2 3 2 3 3" xfId="22713"/>
    <cellStyle name="40% - Accent2 2 3 2 4" xfId="11230"/>
    <cellStyle name="40% - Accent2 2 3 2 5" xfId="19185"/>
    <cellStyle name="40% - Accent2 2 3 2_Exh G" xfId="2857"/>
    <cellStyle name="40% - Accent2 2 3 3" xfId="4083"/>
    <cellStyle name="40% - Accent2 2 3 3 2" xfId="7675"/>
    <cellStyle name="40% - Accent2 2 3 3 2 2" xfId="15646"/>
    <cellStyle name="40% - Accent2 2 3 3 2 3" xfId="23592"/>
    <cellStyle name="40% - Accent2 2 3 3 3" xfId="12108"/>
    <cellStyle name="40% - Accent2 2 3 3 4" xfId="20063"/>
    <cellStyle name="40% - Accent2 2 3 4" xfId="5903"/>
    <cellStyle name="40% - Accent2 2 3 4 2" xfId="13887"/>
    <cellStyle name="40% - Accent2 2 3 4 3" xfId="21835"/>
    <cellStyle name="40% - Accent2 2 3 5" xfId="9456"/>
    <cellStyle name="40% - Accent2 2 3 5 2" xfId="17414"/>
    <cellStyle name="40% - Accent2 2 3 5 3" xfId="25358"/>
    <cellStyle name="40% - Accent2 2 3 6" xfId="10352"/>
    <cellStyle name="40% - Accent2 2 3 7" xfId="18307"/>
    <cellStyle name="40% - Accent2 2 3_Exh G" xfId="2856"/>
    <cellStyle name="40% - Accent2 2 4" xfId="947"/>
    <cellStyle name="40% - Accent2 2 4 2" xfId="1869"/>
    <cellStyle name="40% - Accent2 2 4 2 2" xfId="5387"/>
    <cellStyle name="40% - Accent2 2 4 2 2 2" xfId="8978"/>
    <cellStyle name="40% - Accent2 2 4 2 2 2 2" xfId="16949"/>
    <cellStyle name="40% - Accent2 2 4 2 2 2 3" xfId="24895"/>
    <cellStyle name="40% - Accent2 2 4 2 2 3" xfId="13411"/>
    <cellStyle name="40% - Accent2 2 4 2 2 4" xfId="21366"/>
    <cellStyle name="40% - Accent2 2 4 2 3" xfId="7219"/>
    <cellStyle name="40% - Accent2 2 4 2 3 2" xfId="15191"/>
    <cellStyle name="40% - Accent2 2 4 2 3 3" xfId="23138"/>
    <cellStyle name="40% - Accent2 2 4 2 4" xfId="11655"/>
    <cellStyle name="40% - Accent2 2 4 2 5" xfId="19610"/>
    <cellStyle name="40% - Accent2 2 4 2_Exh G" xfId="2859"/>
    <cellStyle name="40% - Accent2 2 4 3" xfId="4508"/>
    <cellStyle name="40% - Accent2 2 4 3 2" xfId="8100"/>
    <cellStyle name="40% - Accent2 2 4 3 2 2" xfId="16071"/>
    <cellStyle name="40% - Accent2 2 4 3 2 3" xfId="24017"/>
    <cellStyle name="40% - Accent2 2 4 3 3" xfId="12533"/>
    <cellStyle name="40% - Accent2 2 4 3 4" xfId="20488"/>
    <cellStyle name="40% - Accent2 2 4 4" xfId="6338"/>
    <cellStyle name="40% - Accent2 2 4 4 2" xfId="14313"/>
    <cellStyle name="40% - Accent2 2 4 4 3" xfId="22260"/>
    <cellStyle name="40% - Accent2 2 4 5" xfId="9881"/>
    <cellStyle name="40% - Accent2 2 4 5 2" xfId="17839"/>
    <cellStyle name="40% - Accent2 2 4 5 3" xfId="25783"/>
    <cellStyle name="40% - Accent2 2 4 6" xfId="10777"/>
    <cellStyle name="40% - Accent2 2 4 7" xfId="18732"/>
    <cellStyle name="40% - Accent2 2 4_Exh G" xfId="2858"/>
    <cellStyle name="40% - Accent2 2 5" xfId="1429"/>
    <cellStyle name="40% - Accent2 2 5 2" xfId="4959"/>
    <cellStyle name="40% - Accent2 2 5 2 2" xfId="8550"/>
    <cellStyle name="40% - Accent2 2 5 2 2 2" xfId="16521"/>
    <cellStyle name="40% - Accent2 2 5 2 2 3" xfId="24467"/>
    <cellStyle name="40% - Accent2 2 5 2 3" xfId="12983"/>
    <cellStyle name="40% - Accent2 2 5 2 4" xfId="20938"/>
    <cellStyle name="40% - Accent2 2 5 3" xfId="6791"/>
    <cellStyle name="40% - Accent2 2 5 3 2" xfId="14763"/>
    <cellStyle name="40% - Accent2 2 5 3 3" xfId="22710"/>
    <cellStyle name="40% - Accent2 2 5 4" xfId="11227"/>
    <cellStyle name="40% - Accent2 2 5 5" xfId="19182"/>
    <cellStyle name="40% - Accent2 2 5_Exh G" xfId="2860"/>
    <cellStyle name="40% - Accent2 2 6" xfId="4080"/>
    <cellStyle name="40% - Accent2 2 6 2" xfId="7672"/>
    <cellStyle name="40% - Accent2 2 6 2 2" xfId="15643"/>
    <cellStyle name="40% - Accent2 2 6 2 3" xfId="23589"/>
    <cellStyle name="40% - Accent2 2 6 3" xfId="12105"/>
    <cellStyle name="40% - Accent2 2 6 4" xfId="20060"/>
    <cellStyle name="40% - Accent2 2 7" xfId="5900"/>
    <cellStyle name="40% - Accent2 2 7 2" xfId="13884"/>
    <cellStyle name="40% - Accent2 2 7 3" xfId="21832"/>
    <cellStyle name="40% - Accent2 2 8" xfId="9453"/>
    <cellStyle name="40% - Accent2 2 8 2" xfId="17411"/>
    <cellStyle name="40% - Accent2 2 8 3" xfId="25355"/>
    <cellStyle name="40% - Accent2 2 9" xfId="10349"/>
    <cellStyle name="40% - Accent2 2_Exh G" xfId="2849"/>
    <cellStyle name="40% - Accent2 3" xfId="405"/>
    <cellStyle name="40% - Accent2 3 10" xfId="18308"/>
    <cellStyle name="40% - Accent2 3 2" xfId="406"/>
    <cellStyle name="40% - Accent2 3 2 2" xfId="407"/>
    <cellStyle name="40% - Accent2 3 2 2 2" xfId="1435"/>
    <cellStyle name="40% - Accent2 3 2 2 2 2" xfId="4965"/>
    <cellStyle name="40% - Accent2 3 2 2 2 2 2" xfId="8556"/>
    <cellStyle name="40% - Accent2 3 2 2 2 2 2 2" xfId="16527"/>
    <cellStyle name="40% - Accent2 3 2 2 2 2 2 3" xfId="24473"/>
    <cellStyle name="40% - Accent2 3 2 2 2 2 3" xfId="12989"/>
    <cellStyle name="40% - Accent2 3 2 2 2 2 4" xfId="20944"/>
    <cellStyle name="40% - Accent2 3 2 2 2 3" xfId="6797"/>
    <cellStyle name="40% - Accent2 3 2 2 2 3 2" xfId="14769"/>
    <cellStyle name="40% - Accent2 3 2 2 2 3 3" xfId="22716"/>
    <cellStyle name="40% - Accent2 3 2 2 2 4" xfId="11233"/>
    <cellStyle name="40% - Accent2 3 2 2 2 5" xfId="19188"/>
    <cellStyle name="40% - Accent2 3 2 2 2_Exh G" xfId="2864"/>
    <cellStyle name="40% - Accent2 3 2 2 3" xfId="4086"/>
    <cellStyle name="40% - Accent2 3 2 2 3 2" xfId="7678"/>
    <cellStyle name="40% - Accent2 3 2 2 3 2 2" xfId="15649"/>
    <cellStyle name="40% - Accent2 3 2 2 3 2 3" xfId="23595"/>
    <cellStyle name="40% - Accent2 3 2 2 3 3" xfId="12111"/>
    <cellStyle name="40% - Accent2 3 2 2 3 4" xfId="20066"/>
    <cellStyle name="40% - Accent2 3 2 2 4" xfId="5906"/>
    <cellStyle name="40% - Accent2 3 2 2 4 2" xfId="13890"/>
    <cellStyle name="40% - Accent2 3 2 2 4 3" xfId="21838"/>
    <cellStyle name="40% - Accent2 3 2 2 5" xfId="9459"/>
    <cellStyle name="40% - Accent2 3 2 2 5 2" xfId="17417"/>
    <cellStyle name="40% - Accent2 3 2 2 5 3" xfId="25361"/>
    <cellStyle name="40% - Accent2 3 2 2 6" xfId="10355"/>
    <cellStyle name="40% - Accent2 3 2 2 7" xfId="18310"/>
    <cellStyle name="40% - Accent2 3 2 2_Exh G" xfId="2863"/>
    <cellStyle name="40% - Accent2 3 2 3" xfId="950"/>
    <cellStyle name="40% - Accent2 3 2 3 2" xfId="1872"/>
    <cellStyle name="40% - Accent2 3 2 3 2 2" xfId="5390"/>
    <cellStyle name="40% - Accent2 3 2 3 2 2 2" xfId="8981"/>
    <cellStyle name="40% - Accent2 3 2 3 2 2 2 2" xfId="16952"/>
    <cellStyle name="40% - Accent2 3 2 3 2 2 2 3" xfId="24898"/>
    <cellStyle name="40% - Accent2 3 2 3 2 2 3" xfId="13414"/>
    <cellStyle name="40% - Accent2 3 2 3 2 2 4" xfId="21369"/>
    <cellStyle name="40% - Accent2 3 2 3 2 3" xfId="7222"/>
    <cellStyle name="40% - Accent2 3 2 3 2 3 2" xfId="15194"/>
    <cellStyle name="40% - Accent2 3 2 3 2 3 3" xfId="23141"/>
    <cellStyle name="40% - Accent2 3 2 3 2 4" xfId="11658"/>
    <cellStyle name="40% - Accent2 3 2 3 2 5" xfId="19613"/>
    <cellStyle name="40% - Accent2 3 2 3 2_Exh G" xfId="2866"/>
    <cellStyle name="40% - Accent2 3 2 3 3" xfId="4511"/>
    <cellStyle name="40% - Accent2 3 2 3 3 2" xfId="8103"/>
    <cellStyle name="40% - Accent2 3 2 3 3 2 2" xfId="16074"/>
    <cellStyle name="40% - Accent2 3 2 3 3 2 3" xfId="24020"/>
    <cellStyle name="40% - Accent2 3 2 3 3 3" xfId="12536"/>
    <cellStyle name="40% - Accent2 3 2 3 3 4" xfId="20491"/>
    <cellStyle name="40% - Accent2 3 2 3 4" xfId="6341"/>
    <cellStyle name="40% - Accent2 3 2 3 4 2" xfId="14316"/>
    <cellStyle name="40% - Accent2 3 2 3 4 3" xfId="22263"/>
    <cellStyle name="40% - Accent2 3 2 3 5" xfId="9884"/>
    <cellStyle name="40% - Accent2 3 2 3 5 2" xfId="17842"/>
    <cellStyle name="40% - Accent2 3 2 3 5 3" xfId="25786"/>
    <cellStyle name="40% - Accent2 3 2 3 6" xfId="10780"/>
    <cellStyle name="40% - Accent2 3 2 3 7" xfId="18735"/>
    <cellStyle name="40% - Accent2 3 2 3_Exh G" xfId="2865"/>
    <cellStyle name="40% - Accent2 3 2 4" xfId="1434"/>
    <cellStyle name="40% - Accent2 3 2 4 2" xfId="4964"/>
    <cellStyle name="40% - Accent2 3 2 4 2 2" xfId="8555"/>
    <cellStyle name="40% - Accent2 3 2 4 2 2 2" xfId="16526"/>
    <cellStyle name="40% - Accent2 3 2 4 2 2 3" xfId="24472"/>
    <cellStyle name="40% - Accent2 3 2 4 2 3" xfId="12988"/>
    <cellStyle name="40% - Accent2 3 2 4 2 4" xfId="20943"/>
    <cellStyle name="40% - Accent2 3 2 4 3" xfId="6796"/>
    <cellStyle name="40% - Accent2 3 2 4 3 2" xfId="14768"/>
    <cellStyle name="40% - Accent2 3 2 4 3 3" xfId="22715"/>
    <cellStyle name="40% - Accent2 3 2 4 4" xfId="11232"/>
    <cellStyle name="40% - Accent2 3 2 4 5" xfId="19187"/>
    <cellStyle name="40% - Accent2 3 2 4_Exh G" xfId="2867"/>
    <cellStyle name="40% - Accent2 3 2 5" xfId="4085"/>
    <cellStyle name="40% - Accent2 3 2 5 2" xfId="7677"/>
    <cellStyle name="40% - Accent2 3 2 5 2 2" xfId="15648"/>
    <cellStyle name="40% - Accent2 3 2 5 2 3" xfId="23594"/>
    <cellStyle name="40% - Accent2 3 2 5 3" xfId="12110"/>
    <cellStyle name="40% - Accent2 3 2 5 4" xfId="20065"/>
    <cellStyle name="40% - Accent2 3 2 6" xfId="5905"/>
    <cellStyle name="40% - Accent2 3 2 6 2" xfId="13889"/>
    <cellStyle name="40% - Accent2 3 2 6 3" xfId="21837"/>
    <cellStyle name="40% - Accent2 3 2 7" xfId="9458"/>
    <cellStyle name="40% - Accent2 3 2 7 2" xfId="17416"/>
    <cellStyle name="40% - Accent2 3 2 7 3" xfId="25360"/>
    <cellStyle name="40% - Accent2 3 2 8" xfId="10354"/>
    <cellStyle name="40% - Accent2 3 2 9" xfId="18309"/>
    <cellStyle name="40% - Accent2 3 2_Exh G" xfId="2862"/>
    <cellStyle name="40% - Accent2 3 3" xfId="408"/>
    <cellStyle name="40% - Accent2 3 3 2" xfId="1436"/>
    <cellStyle name="40% - Accent2 3 3 2 2" xfId="4966"/>
    <cellStyle name="40% - Accent2 3 3 2 2 2" xfId="8557"/>
    <cellStyle name="40% - Accent2 3 3 2 2 2 2" xfId="16528"/>
    <cellStyle name="40% - Accent2 3 3 2 2 2 3" xfId="24474"/>
    <cellStyle name="40% - Accent2 3 3 2 2 3" xfId="12990"/>
    <cellStyle name="40% - Accent2 3 3 2 2 4" xfId="20945"/>
    <cellStyle name="40% - Accent2 3 3 2 3" xfId="6798"/>
    <cellStyle name="40% - Accent2 3 3 2 3 2" xfId="14770"/>
    <cellStyle name="40% - Accent2 3 3 2 3 3" xfId="22717"/>
    <cellStyle name="40% - Accent2 3 3 2 4" xfId="11234"/>
    <cellStyle name="40% - Accent2 3 3 2 5" xfId="19189"/>
    <cellStyle name="40% - Accent2 3 3 2_Exh G" xfId="2869"/>
    <cellStyle name="40% - Accent2 3 3 3" xfId="4087"/>
    <cellStyle name="40% - Accent2 3 3 3 2" xfId="7679"/>
    <cellStyle name="40% - Accent2 3 3 3 2 2" xfId="15650"/>
    <cellStyle name="40% - Accent2 3 3 3 2 3" xfId="23596"/>
    <cellStyle name="40% - Accent2 3 3 3 3" xfId="12112"/>
    <cellStyle name="40% - Accent2 3 3 3 4" xfId="20067"/>
    <cellStyle name="40% - Accent2 3 3 4" xfId="5907"/>
    <cellStyle name="40% - Accent2 3 3 4 2" xfId="13891"/>
    <cellStyle name="40% - Accent2 3 3 4 3" xfId="21839"/>
    <cellStyle name="40% - Accent2 3 3 5" xfId="9460"/>
    <cellStyle name="40% - Accent2 3 3 5 2" xfId="17418"/>
    <cellStyle name="40% - Accent2 3 3 5 3" xfId="25362"/>
    <cellStyle name="40% - Accent2 3 3 6" xfId="10356"/>
    <cellStyle name="40% - Accent2 3 3 7" xfId="18311"/>
    <cellStyle name="40% - Accent2 3 3_Exh G" xfId="2868"/>
    <cellStyle name="40% - Accent2 3 4" xfId="949"/>
    <cellStyle name="40% - Accent2 3 4 2" xfId="1871"/>
    <cellStyle name="40% - Accent2 3 4 2 2" xfId="5389"/>
    <cellStyle name="40% - Accent2 3 4 2 2 2" xfId="8980"/>
    <cellStyle name="40% - Accent2 3 4 2 2 2 2" xfId="16951"/>
    <cellStyle name="40% - Accent2 3 4 2 2 2 3" xfId="24897"/>
    <cellStyle name="40% - Accent2 3 4 2 2 3" xfId="13413"/>
    <cellStyle name="40% - Accent2 3 4 2 2 4" xfId="21368"/>
    <cellStyle name="40% - Accent2 3 4 2 3" xfId="7221"/>
    <cellStyle name="40% - Accent2 3 4 2 3 2" xfId="15193"/>
    <cellStyle name="40% - Accent2 3 4 2 3 3" xfId="23140"/>
    <cellStyle name="40% - Accent2 3 4 2 4" xfId="11657"/>
    <cellStyle name="40% - Accent2 3 4 2 5" xfId="19612"/>
    <cellStyle name="40% - Accent2 3 4 2_Exh G" xfId="2871"/>
    <cellStyle name="40% - Accent2 3 4 3" xfId="4510"/>
    <cellStyle name="40% - Accent2 3 4 3 2" xfId="8102"/>
    <cellStyle name="40% - Accent2 3 4 3 2 2" xfId="16073"/>
    <cellStyle name="40% - Accent2 3 4 3 2 3" xfId="24019"/>
    <cellStyle name="40% - Accent2 3 4 3 3" xfId="12535"/>
    <cellStyle name="40% - Accent2 3 4 3 4" xfId="20490"/>
    <cellStyle name="40% - Accent2 3 4 4" xfId="6340"/>
    <cellStyle name="40% - Accent2 3 4 4 2" xfId="14315"/>
    <cellStyle name="40% - Accent2 3 4 4 3" xfId="22262"/>
    <cellStyle name="40% - Accent2 3 4 5" xfId="9883"/>
    <cellStyle name="40% - Accent2 3 4 5 2" xfId="17841"/>
    <cellStyle name="40% - Accent2 3 4 5 3" xfId="25785"/>
    <cellStyle name="40% - Accent2 3 4 6" xfId="10779"/>
    <cellStyle name="40% - Accent2 3 4 7" xfId="18734"/>
    <cellStyle name="40% - Accent2 3 4_Exh G" xfId="2870"/>
    <cellStyle name="40% - Accent2 3 5" xfId="1433"/>
    <cellStyle name="40% - Accent2 3 5 2" xfId="4963"/>
    <cellStyle name="40% - Accent2 3 5 2 2" xfId="8554"/>
    <cellStyle name="40% - Accent2 3 5 2 2 2" xfId="16525"/>
    <cellStyle name="40% - Accent2 3 5 2 2 3" xfId="24471"/>
    <cellStyle name="40% - Accent2 3 5 2 3" xfId="12987"/>
    <cellStyle name="40% - Accent2 3 5 2 4" xfId="20942"/>
    <cellStyle name="40% - Accent2 3 5 3" xfId="6795"/>
    <cellStyle name="40% - Accent2 3 5 3 2" xfId="14767"/>
    <cellStyle name="40% - Accent2 3 5 3 3" xfId="22714"/>
    <cellStyle name="40% - Accent2 3 5 4" xfId="11231"/>
    <cellStyle name="40% - Accent2 3 5 5" xfId="19186"/>
    <cellStyle name="40% - Accent2 3 5_Exh G" xfId="2872"/>
    <cellStyle name="40% - Accent2 3 6" xfId="4084"/>
    <cellStyle name="40% - Accent2 3 6 2" xfId="7676"/>
    <cellStyle name="40% - Accent2 3 6 2 2" xfId="15647"/>
    <cellStyle name="40% - Accent2 3 6 2 3" xfId="23593"/>
    <cellStyle name="40% - Accent2 3 6 3" xfId="12109"/>
    <cellStyle name="40% - Accent2 3 6 4" xfId="20064"/>
    <cellStyle name="40% - Accent2 3 7" xfId="5904"/>
    <cellStyle name="40% - Accent2 3 7 2" xfId="13888"/>
    <cellStyle name="40% - Accent2 3 7 3" xfId="21836"/>
    <cellStyle name="40% - Accent2 3 8" xfId="9457"/>
    <cellStyle name="40% - Accent2 3 8 2" xfId="17415"/>
    <cellStyle name="40% - Accent2 3 8 3" xfId="25359"/>
    <cellStyle name="40% - Accent2 3 9" xfId="10353"/>
    <cellStyle name="40% - Accent2 3_Exh G" xfId="2861"/>
    <cellStyle name="40% - Accent2 4" xfId="409"/>
    <cellStyle name="40% - Accent2 4 10" xfId="18312"/>
    <cellStyle name="40% - Accent2 4 2" xfId="410"/>
    <cellStyle name="40% - Accent2 4 2 2" xfId="411"/>
    <cellStyle name="40% - Accent2 4 2 2 2" xfId="1439"/>
    <cellStyle name="40% - Accent2 4 2 2 2 2" xfId="4969"/>
    <cellStyle name="40% - Accent2 4 2 2 2 2 2" xfId="8560"/>
    <cellStyle name="40% - Accent2 4 2 2 2 2 2 2" xfId="16531"/>
    <cellStyle name="40% - Accent2 4 2 2 2 2 2 3" xfId="24477"/>
    <cellStyle name="40% - Accent2 4 2 2 2 2 3" xfId="12993"/>
    <cellStyle name="40% - Accent2 4 2 2 2 2 4" xfId="20948"/>
    <cellStyle name="40% - Accent2 4 2 2 2 3" xfId="6801"/>
    <cellStyle name="40% - Accent2 4 2 2 2 3 2" xfId="14773"/>
    <cellStyle name="40% - Accent2 4 2 2 2 3 3" xfId="22720"/>
    <cellStyle name="40% - Accent2 4 2 2 2 4" xfId="11237"/>
    <cellStyle name="40% - Accent2 4 2 2 2 5" xfId="19192"/>
    <cellStyle name="40% - Accent2 4 2 2 2_Exh G" xfId="2876"/>
    <cellStyle name="40% - Accent2 4 2 2 3" xfId="4090"/>
    <cellStyle name="40% - Accent2 4 2 2 3 2" xfId="7682"/>
    <cellStyle name="40% - Accent2 4 2 2 3 2 2" xfId="15653"/>
    <cellStyle name="40% - Accent2 4 2 2 3 2 3" xfId="23599"/>
    <cellStyle name="40% - Accent2 4 2 2 3 3" xfId="12115"/>
    <cellStyle name="40% - Accent2 4 2 2 3 4" xfId="20070"/>
    <cellStyle name="40% - Accent2 4 2 2 4" xfId="5910"/>
    <cellStyle name="40% - Accent2 4 2 2 4 2" xfId="13894"/>
    <cellStyle name="40% - Accent2 4 2 2 4 3" xfId="21842"/>
    <cellStyle name="40% - Accent2 4 2 2 5" xfId="9463"/>
    <cellStyle name="40% - Accent2 4 2 2 5 2" xfId="17421"/>
    <cellStyle name="40% - Accent2 4 2 2 5 3" xfId="25365"/>
    <cellStyle name="40% - Accent2 4 2 2 6" xfId="10359"/>
    <cellStyle name="40% - Accent2 4 2 2 7" xfId="18314"/>
    <cellStyle name="40% - Accent2 4 2 2_Exh G" xfId="2875"/>
    <cellStyle name="40% - Accent2 4 2 3" xfId="952"/>
    <cellStyle name="40% - Accent2 4 2 3 2" xfId="1874"/>
    <cellStyle name="40% - Accent2 4 2 3 2 2" xfId="5392"/>
    <cellStyle name="40% - Accent2 4 2 3 2 2 2" xfId="8983"/>
    <cellStyle name="40% - Accent2 4 2 3 2 2 2 2" xfId="16954"/>
    <cellStyle name="40% - Accent2 4 2 3 2 2 2 3" xfId="24900"/>
    <cellStyle name="40% - Accent2 4 2 3 2 2 3" xfId="13416"/>
    <cellStyle name="40% - Accent2 4 2 3 2 2 4" xfId="21371"/>
    <cellStyle name="40% - Accent2 4 2 3 2 3" xfId="7224"/>
    <cellStyle name="40% - Accent2 4 2 3 2 3 2" xfId="15196"/>
    <cellStyle name="40% - Accent2 4 2 3 2 3 3" xfId="23143"/>
    <cellStyle name="40% - Accent2 4 2 3 2 4" xfId="11660"/>
    <cellStyle name="40% - Accent2 4 2 3 2 5" xfId="19615"/>
    <cellStyle name="40% - Accent2 4 2 3 2_Exh G" xfId="2878"/>
    <cellStyle name="40% - Accent2 4 2 3 3" xfId="4513"/>
    <cellStyle name="40% - Accent2 4 2 3 3 2" xfId="8105"/>
    <cellStyle name="40% - Accent2 4 2 3 3 2 2" xfId="16076"/>
    <cellStyle name="40% - Accent2 4 2 3 3 2 3" xfId="24022"/>
    <cellStyle name="40% - Accent2 4 2 3 3 3" xfId="12538"/>
    <cellStyle name="40% - Accent2 4 2 3 3 4" xfId="20493"/>
    <cellStyle name="40% - Accent2 4 2 3 4" xfId="6343"/>
    <cellStyle name="40% - Accent2 4 2 3 4 2" xfId="14318"/>
    <cellStyle name="40% - Accent2 4 2 3 4 3" xfId="22265"/>
    <cellStyle name="40% - Accent2 4 2 3 5" xfId="9886"/>
    <cellStyle name="40% - Accent2 4 2 3 5 2" xfId="17844"/>
    <cellStyle name="40% - Accent2 4 2 3 5 3" xfId="25788"/>
    <cellStyle name="40% - Accent2 4 2 3 6" xfId="10782"/>
    <cellStyle name="40% - Accent2 4 2 3 7" xfId="18737"/>
    <cellStyle name="40% - Accent2 4 2 3_Exh G" xfId="2877"/>
    <cellStyle name="40% - Accent2 4 2 4" xfId="1438"/>
    <cellStyle name="40% - Accent2 4 2 4 2" xfId="4968"/>
    <cellStyle name="40% - Accent2 4 2 4 2 2" xfId="8559"/>
    <cellStyle name="40% - Accent2 4 2 4 2 2 2" xfId="16530"/>
    <cellStyle name="40% - Accent2 4 2 4 2 2 3" xfId="24476"/>
    <cellStyle name="40% - Accent2 4 2 4 2 3" xfId="12992"/>
    <cellStyle name="40% - Accent2 4 2 4 2 4" xfId="20947"/>
    <cellStyle name="40% - Accent2 4 2 4 3" xfId="6800"/>
    <cellStyle name="40% - Accent2 4 2 4 3 2" xfId="14772"/>
    <cellStyle name="40% - Accent2 4 2 4 3 3" xfId="22719"/>
    <cellStyle name="40% - Accent2 4 2 4 4" xfId="11236"/>
    <cellStyle name="40% - Accent2 4 2 4 5" xfId="19191"/>
    <cellStyle name="40% - Accent2 4 2 4_Exh G" xfId="2879"/>
    <cellStyle name="40% - Accent2 4 2 5" xfId="4089"/>
    <cellStyle name="40% - Accent2 4 2 5 2" xfId="7681"/>
    <cellStyle name="40% - Accent2 4 2 5 2 2" xfId="15652"/>
    <cellStyle name="40% - Accent2 4 2 5 2 3" xfId="23598"/>
    <cellStyle name="40% - Accent2 4 2 5 3" xfId="12114"/>
    <cellStyle name="40% - Accent2 4 2 5 4" xfId="20069"/>
    <cellStyle name="40% - Accent2 4 2 6" xfId="5909"/>
    <cellStyle name="40% - Accent2 4 2 6 2" xfId="13893"/>
    <cellStyle name="40% - Accent2 4 2 6 3" xfId="21841"/>
    <cellStyle name="40% - Accent2 4 2 7" xfId="9462"/>
    <cellStyle name="40% - Accent2 4 2 7 2" xfId="17420"/>
    <cellStyle name="40% - Accent2 4 2 7 3" xfId="25364"/>
    <cellStyle name="40% - Accent2 4 2 8" xfId="10358"/>
    <cellStyle name="40% - Accent2 4 2 9" xfId="18313"/>
    <cellStyle name="40% - Accent2 4 2_Exh G" xfId="2874"/>
    <cellStyle name="40% - Accent2 4 3" xfId="412"/>
    <cellStyle name="40% - Accent2 4 3 2" xfId="1440"/>
    <cellStyle name="40% - Accent2 4 3 2 2" xfId="4970"/>
    <cellStyle name="40% - Accent2 4 3 2 2 2" xfId="8561"/>
    <cellStyle name="40% - Accent2 4 3 2 2 2 2" xfId="16532"/>
    <cellStyle name="40% - Accent2 4 3 2 2 2 3" xfId="24478"/>
    <cellStyle name="40% - Accent2 4 3 2 2 3" xfId="12994"/>
    <cellStyle name="40% - Accent2 4 3 2 2 4" xfId="20949"/>
    <cellStyle name="40% - Accent2 4 3 2 3" xfId="6802"/>
    <cellStyle name="40% - Accent2 4 3 2 3 2" xfId="14774"/>
    <cellStyle name="40% - Accent2 4 3 2 3 3" xfId="22721"/>
    <cellStyle name="40% - Accent2 4 3 2 4" xfId="11238"/>
    <cellStyle name="40% - Accent2 4 3 2 5" xfId="19193"/>
    <cellStyle name="40% - Accent2 4 3 2_Exh G" xfId="2881"/>
    <cellStyle name="40% - Accent2 4 3 3" xfId="4091"/>
    <cellStyle name="40% - Accent2 4 3 3 2" xfId="7683"/>
    <cellStyle name="40% - Accent2 4 3 3 2 2" xfId="15654"/>
    <cellStyle name="40% - Accent2 4 3 3 2 3" xfId="23600"/>
    <cellStyle name="40% - Accent2 4 3 3 3" xfId="12116"/>
    <cellStyle name="40% - Accent2 4 3 3 4" xfId="20071"/>
    <cellStyle name="40% - Accent2 4 3 4" xfId="5911"/>
    <cellStyle name="40% - Accent2 4 3 4 2" xfId="13895"/>
    <cellStyle name="40% - Accent2 4 3 4 3" xfId="21843"/>
    <cellStyle name="40% - Accent2 4 3 5" xfId="9464"/>
    <cellStyle name="40% - Accent2 4 3 5 2" xfId="17422"/>
    <cellStyle name="40% - Accent2 4 3 5 3" xfId="25366"/>
    <cellStyle name="40% - Accent2 4 3 6" xfId="10360"/>
    <cellStyle name="40% - Accent2 4 3 7" xfId="18315"/>
    <cellStyle name="40% - Accent2 4 3_Exh G" xfId="2880"/>
    <cellStyle name="40% - Accent2 4 4" xfId="951"/>
    <cellStyle name="40% - Accent2 4 4 2" xfId="1873"/>
    <cellStyle name="40% - Accent2 4 4 2 2" xfId="5391"/>
    <cellStyle name="40% - Accent2 4 4 2 2 2" xfId="8982"/>
    <cellStyle name="40% - Accent2 4 4 2 2 2 2" xfId="16953"/>
    <cellStyle name="40% - Accent2 4 4 2 2 2 3" xfId="24899"/>
    <cellStyle name="40% - Accent2 4 4 2 2 3" xfId="13415"/>
    <cellStyle name="40% - Accent2 4 4 2 2 4" xfId="21370"/>
    <cellStyle name="40% - Accent2 4 4 2 3" xfId="7223"/>
    <cellStyle name="40% - Accent2 4 4 2 3 2" xfId="15195"/>
    <cellStyle name="40% - Accent2 4 4 2 3 3" xfId="23142"/>
    <cellStyle name="40% - Accent2 4 4 2 4" xfId="11659"/>
    <cellStyle name="40% - Accent2 4 4 2 5" xfId="19614"/>
    <cellStyle name="40% - Accent2 4 4 2_Exh G" xfId="2883"/>
    <cellStyle name="40% - Accent2 4 4 3" xfId="4512"/>
    <cellStyle name="40% - Accent2 4 4 3 2" xfId="8104"/>
    <cellStyle name="40% - Accent2 4 4 3 2 2" xfId="16075"/>
    <cellStyle name="40% - Accent2 4 4 3 2 3" xfId="24021"/>
    <cellStyle name="40% - Accent2 4 4 3 3" xfId="12537"/>
    <cellStyle name="40% - Accent2 4 4 3 4" xfId="20492"/>
    <cellStyle name="40% - Accent2 4 4 4" xfId="6342"/>
    <cellStyle name="40% - Accent2 4 4 4 2" xfId="14317"/>
    <cellStyle name="40% - Accent2 4 4 4 3" xfId="22264"/>
    <cellStyle name="40% - Accent2 4 4 5" xfId="9885"/>
    <cellStyle name="40% - Accent2 4 4 5 2" xfId="17843"/>
    <cellStyle name="40% - Accent2 4 4 5 3" xfId="25787"/>
    <cellStyle name="40% - Accent2 4 4 6" xfId="10781"/>
    <cellStyle name="40% - Accent2 4 4 7" xfId="18736"/>
    <cellStyle name="40% - Accent2 4 4_Exh G" xfId="2882"/>
    <cellStyle name="40% - Accent2 4 5" xfId="1437"/>
    <cellStyle name="40% - Accent2 4 5 2" xfId="4967"/>
    <cellStyle name="40% - Accent2 4 5 2 2" xfId="8558"/>
    <cellStyle name="40% - Accent2 4 5 2 2 2" xfId="16529"/>
    <cellStyle name="40% - Accent2 4 5 2 2 3" xfId="24475"/>
    <cellStyle name="40% - Accent2 4 5 2 3" xfId="12991"/>
    <cellStyle name="40% - Accent2 4 5 2 4" xfId="20946"/>
    <cellStyle name="40% - Accent2 4 5 3" xfId="6799"/>
    <cellStyle name="40% - Accent2 4 5 3 2" xfId="14771"/>
    <cellStyle name="40% - Accent2 4 5 3 3" xfId="22718"/>
    <cellStyle name="40% - Accent2 4 5 4" xfId="11235"/>
    <cellStyle name="40% - Accent2 4 5 5" xfId="19190"/>
    <cellStyle name="40% - Accent2 4 5_Exh G" xfId="2884"/>
    <cellStyle name="40% - Accent2 4 6" xfId="4088"/>
    <cellStyle name="40% - Accent2 4 6 2" xfId="7680"/>
    <cellStyle name="40% - Accent2 4 6 2 2" xfId="15651"/>
    <cellStyle name="40% - Accent2 4 6 2 3" xfId="23597"/>
    <cellStyle name="40% - Accent2 4 6 3" xfId="12113"/>
    <cellStyle name="40% - Accent2 4 6 4" xfId="20068"/>
    <cellStyle name="40% - Accent2 4 7" xfId="5908"/>
    <cellStyle name="40% - Accent2 4 7 2" xfId="13892"/>
    <cellStyle name="40% - Accent2 4 7 3" xfId="21840"/>
    <cellStyle name="40% - Accent2 4 8" xfId="9461"/>
    <cellStyle name="40% - Accent2 4 8 2" xfId="17419"/>
    <cellStyle name="40% - Accent2 4 8 3" xfId="25363"/>
    <cellStyle name="40% - Accent2 4 9" xfId="10357"/>
    <cellStyle name="40% - Accent2 4_Exh G" xfId="2873"/>
    <cellStyle name="40% - Accent2 5" xfId="413"/>
    <cellStyle name="40% - Accent2 5 10" xfId="18316"/>
    <cellStyle name="40% - Accent2 5 2" xfId="414"/>
    <cellStyle name="40% - Accent2 5 2 2" xfId="415"/>
    <cellStyle name="40% - Accent2 5 2 2 2" xfId="1443"/>
    <cellStyle name="40% - Accent2 5 2 2 2 2" xfId="4973"/>
    <cellStyle name="40% - Accent2 5 2 2 2 2 2" xfId="8564"/>
    <cellStyle name="40% - Accent2 5 2 2 2 2 2 2" xfId="16535"/>
    <cellStyle name="40% - Accent2 5 2 2 2 2 2 3" xfId="24481"/>
    <cellStyle name="40% - Accent2 5 2 2 2 2 3" xfId="12997"/>
    <cellStyle name="40% - Accent2 5 2 2 2 2 4" xfId="20952"/>
    <cellStyle name="40% - Accent2 5 2 2 2 3" xfId="6805"/>
    <cellStyle name="40% - Accent2 5 2 2 2 3 2" xfId="14777"/>
    <cellStyle name="40% - Accent2 5 2 2 2 3 3" xfId="22724"/>
    <cellStyle name="40% - Accent2 5 2 2 2 4" xfId="11241"/>
    <cellStyle name="40% - Accent2 5 2 2 2 5" xfId="19196"/>
    <cellStyle name="40% - Accent2 5 2 2 2_Exh G" xfId="2888"/>
    <cellStyle name="40% - Accent2 5 2 2 3" xfId="4094"/>
    <cellStyle name="40% - Accent2 5 2 2 3 2" xfId="7686"/>
    <cellStyle name="40% - Accent2 5 2 2 3 2 2" xfId="15657"/>
    <cellStyle name="40% - Accent2 5 2 2 3 2 3" xfId="23603"/>
    <cellStyle name="40% - Accent2 5 2 2 3 3" xfId="12119"/>
    <cellStyle name="40% - Accent2 5 2 2 3 4" xfId="20074"/>
    <cellStyle name="40% - Accent2 5 2 2 4" xfId="5914"/>
    <cellStyle name="40% - Accent2 5 2 2 4 2" xfId="13898"/>
    <cellStyle name="40% - Accent2 5 2 2 4 3" xfId="21846"/>
    <cellStyle name="40% - Accent2 5 2 2 5" xfId="9467"/>
    <cellStyle name="40% - Accent2 5 2 2 5 2" xfId="17425"/>
    <cellStyle name="40% - Accent2 5 2 2 5 3" xfId="25369"/>
    <cellStyle name="40% - Accent2 5 2 2 6" xfId="10363"/>
    <cellStyle name="40% - Accent2 5 2 2 7" xfId="18318"/>
    <cellStyle name="40% - Accent2 5 2 2_Exh G" xfId="2887"/>
    <cellStyle name="40% - Accent2 5 2 3" xfId="1442"/>
    <cellStyle name="40% - Accent2 5 2 3 2" xfId="4972"/>
    <cellStyle name="40% - Accent2 5 2 3 2 2" xfId="8563"/>
    <cellStyle name="40% - Accent2 5 2 3 2 2 2" xfId="16534"/>
    <cellStyle name="40% - Accent2 5 2 3 2 2 3" xfId="24480"/>
    <cellStyle name="40% - Accent2 5 2 3 2 3" xfId="12996"/>
    <cellStyle name="40% - Accent2 5 2 3 2 4" xfId="20951"/>
    <cellStyle name="40% - Accent2 5 2 3 3" xfId="6804"/>
    <cellStyle name="40% - Accent2 5 2 3 3 2" xfId="14776"/>
    <cellStyle name="40% - Accent2 5 2 3 3 3" xfId="22723"/>
    <cellStyle name="40% - Accent2 5 2 3 4" xfId="11240"/>
    <cellStyle name="40% - Accent2 5 2 3 5" xfId="19195"/>
    <cellStyle name="40% - Accent2 5 2 3_Exh G" xfId="2889"/>
    <cellStyle name="40% - Accent2 5 2 4" xfId="4093"/>
    <cellStyle name="40% - Accent2 5 2 4 2" xfId="7685"/>
    <cellStyle name="40% - Accent2 5 2 4 2 2" xfId="15656"/>
    <cellStyle name="40% - Accent2 5 2 4 2 3" xfId="23602"/>
    <cellStyle name="40% - Accent2 5 2 4 3" xfId="12118"/>
    <cellStyle name="40% - Accent2 5 2 4 4" xfId="20073"/>
    <cellStyle name="40% - Accent2 5 2 5" xfId="5913"/>
    <cellStyle name="40% - Accent2 5 2 5 2" xfId="13897"/>
    <cellStyle name="40% - Accent2 5 2 5 3" xfId="21845"/>
    <cellStyle name="40% - Accent2 5 2 6" xfId="9466"/>
    <cellStyle name="40% - Accent2 5 2 6 2" xfId="17424"/>
    <cellStyle name="40% - Accent2 5 2 6 3" xfId="25368"/>
    <cellStyle name="40% - Accent2 5 2 7" xfId="10362"/>
    <cellStyle name="40% - Accent2 5 2 8" xfId="18317"/>
    <cellStyle name="40% - Accent2 5 2_Exh G" xfId="2886"/>
    <cellStyle name="40% - Accent2 5 3" xfId="416"/>
    <cellStyle name="40% - Accent2 5 3 2" xfId="1444"/>
    <cellStyle name="40% - Accent2 5 3 2 2" xfId="4974"/>
    <cellStyle name="40% - Accent2 5 3 2 2 2" xfId="8565"/>
    <cellStyle name="40% - Accent2 5 3 2 2 2 2" xfId="16536"/>
    <cellStyle name="40% - Accent2 5 3 2 2 2 3" xfId="24482"/>
    <cellStyle name="40% - Accent2 5 3 2 2 3" xfId="12998"/>
    <cellStyle name="40% - Accent2 5 3 2 2 4" xfId="20953"/>
    <cellStyle name="40% - Accent2 5 3 2 3" xfId="6806"/>
    <cellStyle name="40% - Accent2 5 3 2 3 2" xfId="14778"/>
    <cellStyle name="40% - Accent2 5 3 2 3 3" xfId="22725"/>
    <cellStyle name="40% - Accent2 5 3 2 4" xfId="11242"/>
    <cellStyle name="40% - Accent2 5 3 2 5" xfId="19197"/>
    <cellStyle name="40% - Accent2 5 3 2_Exh G" xfId="2891"/>
    <cellStyle name="40% - Accent2 5 3 3" xfId="4095"/>
    <cellStyle name="40% - Accent2 5 3 3 2" xfId="7687"/>
    <cellStyle name="40% - Accent2 5 3 3 2 2" xfId="15658"/>
    <cellStyle name="40% - Accent2 5 3 3 2 3" xfId="23604"/>
    <cellStyle name="40% - Accent2 5 3 3 3" xfId="12120"/>
    <cellStyle name="40% - Accent2 5 3 3 4" xfId="20075"/>
    <cellStyle name="40% - Accent2 5 3 4" xfId="5915"/>
    <cellStyle name="40% - Accent2 5 3 4 2" xfId="13899"/>
    <cellStyle name="40% - Accent2 5 3 4 3" xfId="21847"/>
    <cellStyle name="40% - Accent2 5 3 5" xfId="9468"/>
    <cellStyle name="40% - Accent2 5 3 5 2" xfId="17426"/>
    <cellStyle name="40% - Accent2 5 3 5 3" xfId="25370"/>
    <cellStyle name="40% - Accent2 5 3 6" xfId="10364"/>
    <cellStyle name="40% - Accent2 5 3 7" xfId="18319"/>
    <cellStyle name="40% - Accent2 5 3_Exh G" xfId="2890"/>
    <cellStyle name="40% - Accent2 5 4" xfId="953"/>
    <cellStyle name="40% - Accent2 5 5" xfId="1441"/>
    <cellStyle name="40% - Accent2 5 5 2" xfId="4971"/>
    <cellStyle name="40% - Accent2 5 5 2 2" xfId="8562"/>
    <cellStyle name="40% - Accent2 5 5 2 2 2" xfId="16533"/>
    <cellStyle name="40% - Accent2 5 5 2 2 3" xfId="24479"/>
    <cellStyle name="40% - Accent2 5 5 2 3" xfId="12995"/>
    <cellStyle name="40% - Accent2 5 5 2 4" xfId="20950"/>
    <cellStyle name="40% - Accent2 5 5 3" xfId="6803"/>
    <cellStyle name="40% - Accent2 5 5 3 2" xfId="14775"/>
    <cellStyle name="40% - Accent2 5 5 3 3" xfId="22722"/>
    <cellStyle name="40% - Accent2 5 5 4" xfId="11239"/>
    <cellStyle name="40% - Accent2 5 5 5" xfId="19194"/>
    <cellStyle name="40% - Accent2 5 5_Exh G" xfId="2892"/>
    <cellStyle name="40% - Accent2 5 6" xfId="4092"/>
    <cellStyle name="40% - Accent2 5 6 2" xfId="7684"/>
    <cellStyle name="40% - Accent2 5 6 2 2" xfId="15655"/>
    <cellStyle name="40% - Accent2 5 6 2 3" xfId="23601"/>
    <cellStyle name="40% - Accent2 5 6 3" xfId="12117"/>
    <cellStyle name="40% - Accent2 5 6 4" xfId="20072"/>
    <cellStyle name="40% - Accent2 5 7" xfId="5912"/>
    <cellStyle name="40% - Accent2 5 7 2" xfId="13896"/>
    <cellStyle name="40% - Accent2 5 7 3" xfId="21844"/>
    <cellStyle name="40% - Accent2 5 8" xfId="9465"/>
    <cellStyle name="40% - Accent2 5 8 2" xfId="17423"/>
    <cellStyle name="40% - Accent2 5 8 3" xfId="25367"/>
    <cellStyle name="40% - Accent2 5 9" xfId="10361"/>
    <cellStyle name="40% - Accent2 5_Exh G" xfId="2885"/>
    <cellStyle name="40% - Accent2 6" xfId="417"/>
    <cellStyle name="40% - Accent2 6 10" xfId="18320"/>
    <cellStyle name="40% - Accent2 6 2" xfId="418"/>
    <cellStyle name="40% - Accent2 6 2 2" xfId="419"/>
    <cellStyle name="40% - Accent2 6 2 2 2" xfId="1447"/>
    <cellStyle name="40% - Accent2 6 2 2 2 2" xfId="4977"/>
    <cellStyle name="40% - Accent2 6 2 2 2 2 2" xfId="8568"/>
    <cellStyle name="40% - Accent2 6 2 2 2 2 2 2" xfId="16539"/>
    <cellStyle name="40% - Accent2 6 2 2 2 2 2 3" xfId="24485"/>
    <cellStyle name="40% - Accent2 6 2 2 2 2 3" xfId="13001"/>
    <cellStyle name="40% - Accent2 6 2 2 2 2 4" xfId="20956"/>
    <cellStyle name="40% - Accent2 6 2 2 2 3" xfId="6809"/>
    <cellStyle name="40% - Accent2 6 2 2 2 3 2" xfId="14781"/>
    <cellStyle name="40% - Accent2 6 2 2 2 3 3" xfId="22728"/>
    <cellStyle name="40% - Accent2 6 2 2 2 4" xfId="11245"/>
    <cellStyle name="40% - Accent2 6 2 2 2 5" xfId="19200"/>
    <cellStyle name="40% - Accent2 6 2 2 2_Exh G" xfId="2896"/>
    <cellStyle name="40% - Accent2 6 2 2 3" xfId="4098"/>
    <cellStyle name="40% - Accent2 6 2 2 3 2" xfId="7690"/>
    <cellStyle name="40% - Accent2 6 2 2 3 2 2" xfId="15661"/>
    <cellStyle name="40% - Accent2 6 2 2 3 2 3" xfId="23607"/>
    <cellStyle name="40% - Accent2 6 2 2 3 3" xfId="12123"/>
    <cellStyle name="40% - Accent2 6 2 2 3 4" xfId="20078"/>
    <cellStyle name="40% - Accent2 6 2 2 4" xfId="5918"/>
    <cellStyle name="40% - Accent2 6 2 2 4 2" xfId="13902"/>
    <cellStyle name="40% - Accent2 6 2 2 4 3" xfId="21850"/>
    <cellStyle name="40% - Accent2 6 2 2 5" xfId="9471"/>
    <cellStyle name="40% - Accent2 6 2 2 5 2" xfId="17429"/>
    <cellStyle name="40% - Accent2 6 2 2 5 3" xfId="25373"/>
    <cellStyle name="40% - Accent2 6 2 2 6" xfId="10367"/>
    <cellStyle name="40% - Accent2 6 2 2 7" xfId="18322"/>
    <cellStyle name="40% - Accent2 6 2 2_Exh G" xfId="2895"/>
    <cellStyle name="40% - Accent2 6 2 3" xfId="1446"/>
    <cellStyle name="40% - Accent2 6 2 3 2" xfId="4976"/>
    <cellStyle name="40% - Accent2 6 2 3 2 2" xfId="8567"/>
    <cellStyle name="40% - Accent2 6 2 3 2 2 2" xfId="16538"/>
    <cellStyle name="40% - Accent2 6 2 3 2 2 3" xfId="24484"/>
    <cellStyle name="40% - Accent2 6 2 3 2 3" xfId="13000"/>
    <cellStyle name="40% - Accent2 6 2 3 2 4" xfId="20955"/>
    <cellStyle name="40% - Accent2 6 2 3 3" xfId="6808"/>
    <cellStyle name="40% - Accent2 6 2 3 3 2" xfId="14780"/>
    <cellStyle name="40% - Accent2 6 2 3 3 3" xfId="22727"/>
    <cellStyle name="40% - Accent2 6 2 3 4" xfId="11244"/>
    <cellStyle name="40% - Accent2 6 2 3 5" xfId="19199"/>
    <cellStyle name="40% - Accent2 6 2 3_Exh G" xfId="2897"/>
    <cellStyle name="40% - Accent2 6 2 4" xfId="4097"/>
    <cellStyle name="40% - Accent2 6 2 4 2" xfId="7689"/>
    <cellStyle name="40% - Accent2 6 2 4 2 2" xfId="15660"/>
    <cellStyle name="40% - Accent2 6 2 4 2 3" xfId="23606"/>
    <cellStyle name="40% - Accent2 6 2 4 3" xfId="12122"/>
    <cellStyle name="40% - Accent2 6 2 4 4" xfId="20077"/>
    <cellStyle name="40% - Accent2 6 2 5" xfId="5917"/>
    <cellStyle name="40% - Accent2 6 2 5 2" xfId="13901"/>
    <cellStyle name="40% - Accent2 6 2 5 3" xfId="21849"/>
    <cellStyle name="40% - Accent2 6 2 6" xfId="9470"/>
    <cellStyle name="40% - Accent2 6 2 6 2" xfId="17428"/>
    <cellStyle name="40% - Accent2 6 2 6 3" xfId="25372"/>
    <cellStyle name="40% - Accent2 6 2 7" xfId="10366"/>
    <cellStyle name="40% - Accent2 6 2 8" xfId="18321"/>
    <cellStyle name="40% - Accent2 6 2_Exh G" xfId="2894"/>
    <cellStyle name="40% - Accent2 6 3" xfId="420"/>
    <cellStyle name="40% - Accent2 6 3 2" xfId="1448"/>
    <cellStyle name="40% - Accent2 6 3 2 2" xfId="4978"/>
    <cellStyle name="40% - Accent2 6 3 2 2 2" xfId="8569"/>
    <cellStyle name="40% - Accent2 6 3 2 2 2 2" xfId="16540"/>
    <cellStyle name="40% - Accent2 6 3 2 2 2 3" xfId="24486"/>
    <cellStyle name="40% - Accent2 6 3 2 2 3" xfId="13002"/>
    <cellStyle name="40% - Accent2 6 3 2 2 4" xfId="20957"/>
    <cellStyle name="40% - Accent2 6 3 2 3" xfId="6810"/>
    <cellStyle name="40% - Accent2 6 3 2 3 2" xfId="14782"/>
    <cellStyle name="40% - Accent2 6 3 2 3 3" xfId="22729"/>
    <cellStyle name="40% - Accent2 6 3 2 4" xfId="11246"/>
    <cellStyle name="40% - Accent2 6 3 2 5" xfId="19201"/>
    <cellStyle name="40% - Accent2 6 3 2_Exh G" xfId="2899"/>
    <cellStyle name="40% - Accent2 6 3 3" xfId="4099"/>
    <cellStyle name="40% - Accent2 6 3 3 2" xfId="7691"/>
    <cellStyle name="40% - Accent2 6 3 3 2 2" xfId="15662"/>
    <cellStyle name="40% - Accent2 6 3 3 2 3" xfId="23608"/>
    <cellStyle name="40% - Accent2 6 3 3 3" xfId="12124"/>
    <cellStyle name="40% - Accent2 6 3 3 4" xfId="20079"/>
    <cellStyle name="40% - Accent2 6 3 4" xfId="5919"/>
    <cellStyle name="40% - Accent2 6 3 4 2" xfId="13903"/>
    <cellStyle name="40% - Accent2 6 3 4 3" xfId="21851"/>
    <cellStyle name="40% - Accent2 6 3 5" xfId="9472"/>
    <cellStyle name="40% - Accent2 6 3 5 2" xfId="17430"/>
    <cellStyle name="40% - Accent2 6 3 5 3" xfId="25374"/>
    <cellStyle name="40% - Accent2 6 3 6" xfId="10368"/>
    <cellStyle name="40% - Accent2 6 3 7" xfId="18323"/>
    <cellStyle name="40% - Accent2 6 3_Exh G" xfId="2898"/>
    <cellStyle name="40% - Accent2 6 4" xfId="954"/>
    <cellStyle name="40% - Accent2 6 4 2" xfId="1875"/>
    <cellStyle name="40% - Accent2 6 4 2 2" xfId="5393"/>
    <cellStyle name="40% - Accent2 6 4 2 2 2" xfId="8984"/>
    <cellStyle name="40% - Accent2 6 4 2 2 2 2" xfId="16955"/>
    <cellStyle name="40% - Accent2 6 4 2 2 2 3" xfId="24901"/>
    <cellStyle name="40% - Accent2 6 4 2 2 3" xfId="13417"/>
    <cellStyle name="40% - Accent2 6 4 2 2 4" xfId="21372"/>
    <cellStyle name="40% - Accent2 6 4 2 3" xfId="7225"/>
    <cellStyle name="40% - Accent2 6 4 2 3 2" xfId="15197"/>
    <cellStyle name="40% - Accent2 6 4 2 3 3" xfId="23144"/>
    <cellStyle name="40% - Accent2 6 4 2 4" xfId="11661"/>
    <cellStyle name="40% - Accent2 6 4 2 5" xfId="19616"/>
    <cellStyle name="40% - Accent2 6 4 2_Exh G" xfId="2901"/>
    <cellStyle name="40% - Accent2 6 4 3" xfId="4514"/>
    <cellStyle name="40% - Accent2 6 4 3 2" xfId="8106"/>
    <cellStyle name="40% - Accent2 6 4 3 2 2" xfId="16077"/>
    <cellStyle name="40% - Accent2 6 4 3 2 3" xfId="24023"/>
    <cellStyle name="40% - Accent2 6 4 3 3" xfId="12539"/>
    <cellStyle name="40% - Accent2 6 4 3 4" xfId="20494"/>
    <cellStyle name="40% - Accent2 6 4 4" xfId="6344"/>
    <cellStyle name="40% - Accent2 6 4 4 2" xfId="14319"/>
    <cellStyle name="40% - Accent2 6 4 4 3" xfId="22266"/>
    <cellStyle name="40% - Accent2 6 4 5" xfId="9887"/>
    <cellStyle name="40% - Accent2 6 4 5 2" xfId="17845"/>
    <cellStyle name="40% - Accent2 6 4 5 3" xfId="25789"/>
    <cellStyle name="40% - Accent2 6 4 6" xfId="10783"/>
    <cellStyle name="40% - Accent2 6 4 7" xfId="18738"/>
    <cellStyle name="40% - Accent2 6 4_Exh G" xfId="2900"/>
    <cellStyle name="40% - Accent2 6 5" xfId="1445"/>
    <cellStyle name="40% - Accent2 6 5 2" xfId="4975"/>
    <cellStyle name="40% - Accent2 6 5 2 2" xfId="8566"/>
    <cellStyle name="40% - Accent2 6 5 2 2 2" xfId="16537"/>
    <cellStyle name="40% - Accent2 6 5 2 2 3" xfId="24483"/>
    <cellStyle name="40% - Accent2 6 5 2 3" xfId="12999"/>
    <cellStyle name="40% - Accent2 6 5 2 4" xfId="20954"/>
    <cellStyle name="40% - Accent2 6 5 3" xfId="6807"/>
    <cellStyle name="40% - Accent2 6 5 3 2" xfId="14779"/>
    <cellStyle name="40% - Accent2 6 5 3 3" xfId="22726"/>
    <cellStyle name="40% - Accent2 6 5 4" xfId="11243"/>
    <cellStyle name="40% - Accent2 6 5 5" xfId="19198"/>
    <cellStyle name="40% - Accent2 6 5_Exh G" xfId="2902"/>
    <cellStyle name="40% - Accent2 6 6" xfId="4096"/>
    <cellStyle name="40% - Accent2 6 6 2" xfId="7688"/>
    <cellStyle name="40% - Accent2 6 6 2 2" xfId="15659"/>
    <cellStyle name="40% - Accent2 6 6 2 3" xfId="23605"/>
    <cellStyle name="40% - Accent2 6 6 3" xfId="12121"/>
    <cellStyle name="40% - Accent2 6 6 4" xfId="20076"/>
    <cellStyle name="40% - Accent2 6 7" xfId="5916"/>
    <cellStyle name="40% - Accent2 6 7 2" xfId="13900"/>
    <cellStyle name="40% - Accent2 6 7 3" xfId="21848"/>
    <cellStyle name="40% - Accent2 6 8" xfId="9469"/>
    <cellStyle name="40% - Accent2 6 8 2" xfId="17427"/>
    <cellStyle name="40% - Accent2 6 8 3" xfId="25371"/>
    <cellStyle name="40% - Accent2 6 9" xfId="10365"/>
    <cellStyle name="40% - Accent2 6_Exh G" xfId="2893"/>
    <cellStyle name="40% - Accent2 7" xfId="421"/>
    <cellStyle name="40% - Accent2 7 10" xfId="18324"/>
    <cellStyle name="40% - Accent2 7 2" xfId="422"/>
    <cellStyle name="40% - Accent2 7 2 2" xfId="423"/>
    <cellStyle name="40% - Accent2 7 2 2 2" xfId="1451"/>
    <cellStyle name="40% - Accent2 7 2 2 2 2" xfId="4981"/>
    <cellStyle name="40% - Accent2 7 2 2 2 2 2" xfId="8572"/>
    <cellStyle name="40% - Accent2 7 2 2 2 2 2 2" xfId="16543"/>
    <cellStyle name="40% - Accent2 7 2 2 2 2 2 3" xfId="24489"/>
    <cellStyle name="40% - Accent2 7 2 2 2 2 3" xfId="13005"/>
    <cellStyle name="40% - Accent2 7 2 2 2 2 4" xfId="20960"/>
    <cellStyle name="40% - Accent2 7 2 2 2 3" xfId="6813"/>
    <cellStyle name="40% - Accent2 7 2 2 2 3 2" xfId="14785"/>
    <cellStyle name="40% - Accent2 7 2 2 2 3 3" xfId="22732"/>
    <cellStyle name="40% - Accent2 7 2 2 2 4" xfId="11249"/>
    <cellStyle name="40% - Accent2 7 2 2 2 5" xfId="19204"/>
    <cellStyle name="40% - Accent2 7 2 2 2_Exh G" xfId="2906"/>
    <cellStyle name="40% - Accent2 7 2 2 3" xfId="4102"/>
    <cellStyle name="40% - Accent2 7 2 2 3 2" xfId="7694"/>
    <cellStyle name="40% - Accent2 7 2 2 3 2 2" xfId="15665"/>
    <cellStyle name="40% - Accent2 7 2 2 3 2 3" xfId="23611"/>
    <cellStyle name="40% - Accent2 7 2 2 3 3" xfId="12127"/>
    <cellStyle name="40% - Accent2 7 2 2 3 4" xfId="20082"/>
    <cellStyle name="40% - Accent2 7 2 2 4" xfId="5922"/>
    <cellStyle name="40% - Accent2 7 2 2 4 2" xfId="13906"/>
    <cellStyle name="40% - Accent2 7 2 2 4 3" xfId="21854"/>
    <cellStyle name="40% - Accent2 7 2 2 5" xfId="9475"/>
    <cellStyle name="40% - Accent2 7 2 2 5 2" xfId="17433"/>
    <cellStyle name="40% - Accent2 7 2 2 5 3" xfId="25377"/>
    <cellStyle name="40% - Accent2 7 2 2 6" xfId="10371"/>
    <cellStyle name="40% - Accent2 7 2 2 7" xfId="18326"/>
    <cellStyle name="40% - Accent2 7 2 2_Exh G" xfId="2905"/>
    <cellStyle name="40% - Accent2 7 2 3" xfId="1450"/>
    <cellStyle name="40% - Accent2 7 2 3 2" xfId="4980"/>
    <cellStyle name="40% - Accent2 7 2 3 2 2" xfId="8571"/>
    <cellStyle name="40% - Accent2 7 2 3 2 2 2" xfId="16542"/>
    <cellStyle name="40% - Accent2 7 2 3 2 2 3" xfId="24488"/>
    <cellStyle name="40% - Accent2 7 2 3 2 3" xfId="13004"/>
    <cellStyle name="40% - Accent2 7 2 3 2 4" xfId="20959"/>
    <cellStyle name="40% - Accent2 7 2 3 3" xfId="6812"/>
    <cellStyle name="40% - Accent2 7 2 3 3 2" xfId="14784"/>
    <cellStyle name="40% - Accent2 7 2 3 3 3" xfId="22731"/>
    <cellStyle name="40% - Accent2 7 2 3 4" xfId="11248"/>
    <cellStyle name="40% - Accent2 7 2 3 5" xfId="19203"/>
    <cellStyle name="40% - Accent2 7 2 3_Exh G" xfId="2907"/>
    <cellStyle name="40% - Accent2 7 2 4" xfId="4101"/>
    <cellStyle name="40% - Accent2 7 2 4 2" xfId="7693"/>
    <cellStyle name="40% - Accent2 7 2 4 2 2" xfId="15664"/>
    <cellStyle name="40% - Accent2 7 2 4 2 3" xfId="23610"/>
    <cellStyle name="40% - Accent2 7 2 4 3" xfId="12126"/>
    <cellStyle name="40% - Accent2 7 2 4 4" xfId="20081"/>
    <cellStyle name="40% - Accent2 7 2 5" xfId="5921"/>
    <cellStyle name="40% - Accent2 7 2 5 2" xfId="13905"/>
    <cellStyle name="40% - Accent2 7 2 5 3" xfId="21853"/>
    <cellStyle name="40% - Accent2 7 2 6" xfId="9474"/>
    <cellStyle name="40% - Accent2 7 2 6 2" xfId="17432"/>
    <cellStyle name="40% - Accent2 7 2 6 3" xfId="25376"/>
    <cellStyle name="40% - Accent2 7 2 7" xfId="10370"/>
    <cellStyle name="40% - Accent2 7 2 8" xfId="18325"/>
    <cellStyle name="40% - Accent2 7 2_Exh G" xfId="2904"/>
    <cellStyle name="40% - Accent2 7 3" xfId="424"/>
    <cellStyle name="40% - Accent2 7 3 2" xfId="1452"/>
    <cellStyle name="40% - Accent2 7 3 2 2" xfId="4982"/>
    <cellStyle name="40% - Accent2 7 3 2 2 2" xfId="8573"/>
    <cellStyle name="40% - Accent2 7 3 2 2 2 2" xfId="16544"/>
    <cellStyle name="40% - Accent2 7 3 2 2 2 3" xfId="24490"/>
    <cellStyle name="40% - Accent2 7 3 2 2 3" xfId="13006"/>
    <cellStyle name="40% - Accent2 7 3 2 2 4" xfId="20961"/>
    <cellStyle name="40% - Accent2 7 3 2 3" xfId="6814"/>
    <cellStyle name="40% - Accent2 7 3 2 3 2" xfId="14786"/>
    <cellStyle name="40% - Accent2 7 3 2 3 3" xfId="22733"/>
    <cellStyle name="40% - Accent2 7 3 2 4" xfId="11250"/>
    <cellStyle name="40% - Accent2 7 3 2 5" xfId="19205"/>
    <cellStyle name="40% - Accent2 7 3 2_Exh G" xfId="2909"/>
    <cellStyle name="40% - Accent2 7 3 3" xfId="4103"/>
    <cellStyle name="40% - Accent2 7 3 3 2" xfId="7695"/>
    <cellStyle name="40% - Accent2 7 3 3 2 2" xfId="15666"/>
    <cellStyle name="40% - Accent2 7 3 3 2 3" xfId="23612"/>
    <cellStyle name="40% - Accent2 7 3 3 3" xfId="12128"/>
    <cellStyle name="40% - Accent2 7 3 3 4" xfId="20083"/>
    <cellStyle name="40% - Accent2 7 3 4" xfId="5923"/>
    <cellStyle name="40% - Accent2 7 3 4 2" xfId="13907"/>
    <cellStyle name="40% - Accent2 7 3 4 3" xfId="21855"/>
    <cellStyle name="40% - Accent2 7 3 5" xfId="9476"/>
    <cellStyle name="40% - Accent2 7 3 5 2" xfId="17434"/>
    <cellStyle name="40% - Accent2 7 3 5 3" xfId="25378"/>
    <cellStyle name="40% - Accent2 7 3 6" xfId="10372"/>
    <cellStyle name="40% - Accent2 7 3 7" xfId="18327"/>
    <cellStyle name="40% - Accent2 7 3_Exh G" xfId="2908"/>
    <cellStyle name="40% - Accent2 7 4" xfId="955"/>
    <cellStyle name="40% - Accent2 7 4 2" xfId="1876"/>
    <cellStyle name="40% - Accent2 7 4 2 2" xfId="5394"/>
    <cellStyle name="40% - Accent2 7 4 2 2 2" xfId="8985"/>
    <cellStyle name="40% - Accent2 7 4 2 2 2 2" xfId="16956"/>
    <cellStyle name="40% - Accent2 7 4 2 2 2 3" xfId="24902"/>
    <cellStyle name="40% - Accent2 7 4 2 2 3" xfId="13418"/>
    <cellStyle name="40% - Accent2 7 4 2 2 4" xfId="21373"/>
    <cellStyle name="40% - Accent2 7 4 2 3" xfId="7226"/>
    <cellStyle name="40% - Accent2 7 4 2 3 2" xfId="15198"/>
    <cellStyle name="40% - Accent2 7 4 2 3 3" xfId="23145"/>
    <cellStyle name="40% - Accent2 7 4 2 4" xfId="11662"/>
    <cellStyle name="40% - Accent2 7 4 2 5" xfId="19617"/>
    <cellStyle name="40% - Accent2 7 4 2_Exh G" xfId="2911"/>
    <cellStyle name="40% - Accent2 7 4 3" xfId="4515"/>
    <cellStyle name="40% - Accent2 7 4 3 2" xfId="8107"/>
    <cellStyle name="40% - Accent2 7 4 3 2 2" xfId="16078"/>
    <cellStyle name="40% - Accent2 7 4 3 2 3" xfId="24024"/>
    <cellStyle name="40% - Accent2 7 4 3 3" xfId="12540"/>
    <cellStyle name="40% - Accent2 7 4 3 4" xfId="20495"/>
    <cellStyle name="40% - Accent2 7 4 4" xfId="6345"/>
    <cellStyle name="40% - Accent2 7 4 4 2" xfId="14320"/>
    <cellStyle name="40% - Accent2 7 4 4 3" xfId="22267"/>
    <cellStyle name="40% - Accent2 7 4 5" xfId="9888"/>
    <cellStyle name="40% - Accent2 7 4 5 2" xfId="17846"/>
    <cellStyle name="40% - Accent2 7 4 5 3" xfId="25790"/>
    <cellStyle name="40% - Accent2 7 4 6" xfId="10784"/>
    <cellStyle name="40% - Accent2 7 4 7" xfId="18739"/>
    <cellStyle name="40% - Accent2 7 4_Exh G" xfId="2910"/>
    <cellStyle name="40% - Accent2 7 5" xfId="1449"/>
    <cellStyle name="40% - Accent2 7 5 2" xfId="4979"/>
    <cellStyle name="40% - Accent2 7 5 2 2" xfId="8570"/>
    <cellStyle name="40% - Accent2 7 5 2 2 2" xfId="16541"/>
    <cellStyle name="40% - Accent2 7 5 2 2 3" xfId="24487"/>
    <cellStyle name="40% - Accent2 7 5 2 3" xfId="13003"/>
    <cellStyle name="40% - Accent2 7 5 2 4" xfId="20958"/>
    <cellStyle name="40% - Accent2 7 5 3" xfId="6811"/>
    <cellStyle name="40% - Accent2 7 5 3 2" xfId="14783"/>
    <cellStyle name="40% - Accent2 7 5 3 3" xfId="22730"/>
    <cellStyle name="40% - Accent2 7 5 4" xfId="11247"/>
    <cellStyle name="40% - Accent2 7 5 5" xfId="19202"/>
    <cellStyle name="40% - Accent2 7 5_Exh G" xfId="2912"/>
    <cellStyle name="40% - Accent2 7 6" xfId="4100"/>
    <cellStyle name="40% - Accent2 7 6 2" xfId="7692"/>
    <cellStyle name="40% - Accent2 7 6 2 2" xfId="15663"/>
    <cellStyle name="40% - Accent2 7 6 2 3" xfId="23609"/>
    <cellStyle name="40% - Accent2 7 6 3" xfId="12125"/>
    <cellStyle name="40% - Accent2 7 6 4" xfId="20080"/>
    <cellStyle name="40% - Accent2 7 7" xfId="5920"/>
    <cellStyle name="40% - Accent2 7 7 2" xfId="13904"/>
    <cellStyle name="40% - Accent2 7 7 3" xfId="21852"/>
    <cellStyle name="40% - Accent2 7 8" xfId="9473"/>
    <cellStyle name="40% - Accent2 7 8 2" xfId="17431"/>
    <cellStyle name="40% - Accent2 7 8 3" xfId="25375"/>
    <cellStyle name="40% - Accent2 7 9" xfId="10369"/>
    <cellStyle name="40% - Accent2 7_Exh G" xfId="2903"/>
    <cellStyle name="40% - Accent2 8" xfId="425"/>
    <cellStyle name="40% - Accent2 8 10" xfId="18328"/>
    <cellStyle name="40% - Accent2 8 2" xfId="426"/>
    <cellStyle name="40% - Accent2 8 2 2" xfId="427"/>
    <cellStyle name="40% - Accent2 8 2 2 2" xfId="1455"/>
    <cellStyle name="40% - Accent2 8 2 2 2 2" xfId="4985"/>
    <cellStyle name="40% - Accent2 8 2 2 2 2 2" xfId="8576"/>
    <cellStyle name="40% - Accent2 8 2 2 2 2 2 2" xfId="16547"/>
    <cellStyle name="40% - Accent2 8 2 2 2 2 2 3" xfId="24493"/>
    <cellStyle name="40% - Accent2 8 2 2 2 2 3" xfId="13009"/>
    <cellStyle name="40% - Accent2 8 2 2 2 2 4" xfId="20964"/>
    <cellStyle name="40% - Accent2 8 2 2 2 3" xfId="6817"/>
    <cellStyle name="40% - Accent2 8 2 2 2 3 2" xfId="14789"/>
    <cellStyle name="40% - Accent2 8 2 2 2 3 3" xfId="22736"/>
    <cellStyle name="40% - Accent2 8 2 2 2 4" xfId="11253"/>
    <cellStyle name="40% - Accent2 8 2 2 2 5" xfId="19208"/>
    <cellStyle name="40% - Accent2 8 2 2 2_Exh G" xfId="2916"/>
    <cellStyle name="40% - Accent2 8 2 2 3" xfId="4106"/>
    <cellStyle name="40% - Accent2 8 2 2 3 2" xfId="7698"/>
    <cellStyle name="40% - Accent2 8 2 2 3 2 2" xfId="15669"/>
    <cellStyle name="40% - Accent2 8 2 2 3 2 3" xfId="23615"/>
    <cellStyle name="40% - Accent2 8 2 2 3 3" xfId="12131"/>
    <cellStyle name="40% - Accent2 8 2 2 3 4" xfId="20086"/>
    <cellStyle name="40% - Accent2 8 2 2 4" xfId="5926"/>
    <cellStyle name="40% - Accent2 8 2 2 4 2" xfId="13910"/>
    <cellStyle name="40% - Accent2 8 2 2 4 3" xfId="21858"/>
    <cellStyle name="40% - Accent2 8 2 2 5" xfId="9479"/>
    <cellStyle name="40% - Accent2 8 2 2 5 2" xfId="17437"/>
    <cellStyle name="40% - Accent2 8 2 2 5 3" xfId="25381"/>
    <cellStyle name="40% - Accent2 8 2 2 6" xfId="10375"/>
    <cellStyle name="40% - Accent2 8 2 2 7" xfId="18330"/>
    <cellStyle name="40% - Accent2 8 2 2_Exh G" xfId="2915"/>
    <cellStyle name="40% - Accent2 8 2 3" xfId="1454"/>
    <cellStyle name="40% - Accent2 8 2 3 2" xfId="4984"/>
    <cellStyle name="40% - Accent2 8 2 3 2 2" xfId="8575"/>
    <cellStyle name="40% - Accent2 8 2 3 2 2 2" xfId="16546"/>
    <cellStyle name="40% - Accent2 8 2 3 2 2 3" xfId="24492"/>
    <cellStyle name="40% - Accent2 8 2 3 2 3" xfId="13008"/>
    <cellStyle name="40% - Accent2 8 2 3 2 4" xfId="20963"/>
    <cellStyle name="40% - Accent2 8 2 3 3" xfId="6816"/>
    <cellStyle name="40% - Accent2 8 2 3 3 2" xfId="14788"/>
    <cellStyle name="40% - Accent2 8 2 3 3 3" xfId="22735"/>
    <cellStyle name="40% - Accent2 8 2 3 4" xfId="11252"/>
    <cellStyle name="40% - Accent2 8 2 3 5" xfId="19207"/>
    <cellStyle name="40% - Accent2 8 2 3_Exh G" xfId="2917"/>
    <cellStyle name="40% - Accent2 8 2 4" xfId="4105"/>
    <cellStyle name="40% - Accent2 8 2 4 2" xfId="7697"/>
    <cellStyle name="40% - Accent2 8 2 4 2 2" xfId="15668"/>
    <cellStyle name="40% - Accent2 8 2 4 2 3" xfId="23614"/>
    <cellStyle name="40% - Accent2 8 2 4 3" xfId="12130"/>
    <cellStyle name="40% - Accent2 8 2 4 4" xfId="20085"/>
    <cellStyle name="40% - Accent2 8 2 5" xfId="5925"/>
    <cellStyle name="40% - Accent2 8 2 5 2" xfId="13909"/>
    <cellStyle name="40% - Accent2 8 2 5 3" xfId="21857"/>
    <cellStyle name="40% - Accent2 8 2 6" xfId="9478"/>
    <cellStyle name="40% - Accent2 8 2 6 2" xfId="17436"/>
    <cellStyle name="40% - Accent2 8 2 6 3" xfId="25380"/>
    <cellStyle name="40% - Accent2 8 2 7" xfId="10374"/>
    <cellStyle name="40% - Accent2 8 2 8" xfId="18329"/>
    <cellStyle name="40% - Accent2 8 2_Exh G" xfId="2914"/>
    <cellStyle name="40% - Accent2 8 3" xfId="428"/>
    <cellStyle name="40% - Accent2 8 3 2" xfId="1456"/>
    <cellStyle name="40% - Accent2 8 3 2 2" xfId="4986"/>
    <cellStyle name="40% - Accent2 8 3 2 2 2" xfId="8577"/>
    <cellStyle name="40% - Accent2 8 3 2 2 2 2" xfId="16548"/>
    <cellStyle name="40% - Accent2 8 3 2 2 2 3" xfId="24494"/>
    <cellStyle name="40% - Accent2 8 3 2 2 3" xfId="13010"/>
    <cellStyle name="40% - Accent2 8 3 2 2 4" xfId="20965"/>
    <cellStyle name="40% - Accent2 8 3 2 3" xfId="6818"/>
    <cellStyle name="40% - Accent2 8 3 2 3 2" xfId="14790"/>
    <cellStyle name="40% - Accent2 8 3 2 3 3" xfId="22737"/>
    <cellStyle name="40% - Accent2 8 3 2 4" xfId="11254"/>
    <cellStyle name="40% - Accent2 8 3 2 5" xfId="19209"/>
    <cellStyle name="40% - Accent2 8 3 2_Exh G" xfId="2919"/>
    <cellStyle name="40% - Accent2 8 3 3" xfId="4107"/>
    <cellStyle name="40% - Accent2 8 3 3 2" xfId="7699"/>
    <cellStyle name="40% - Accent2 8 3 3 2 2" xfId="15670"/>
    <cellStyle name="40% - Accent2 8 3 3 2 3" xfId="23616"/>
    <cellStyle name="40% - Accent2 8 3 3 3" xfId="12132"/>
    <cellStyle name="40% - Accent2 8 3 3 4" xfId="20087"/>
    <cellStyle name="40% - Accent2 8 3 4" xfId="5927"/>
    <cellStyle name="40% - Accent2 8 3 4 2" xfId="13911"/>
    <cellStyle name="40% - Accent2 8 3 4 3" xfId="21859"/>
    <cellStyle name="40% - Accent2 8 3 5" xfId="9480"/>
    <cellStyle name="40% - Accent2 8 3 5 2" xfId="17438"/>
    <cellStyle name="40% - Accent2 8 3 5 3" xfId="25382"/>
    <cellStyle name="40% - Accent2 8 3 6" xfId="10376"/>
    <cellStyle name="40% - Accent2 8 3 7" xfId="18331"/>
    <cellStyle name="40% - Accent2 8 3_Exh G" xfId="2918"/>
    <cellStyle name="40% - Accent2 8 4" xfId="956"/>
    <cellStyle name="40% - Accent2 8 4 2" xfId="1877"/>
    <cellStyle name="40% - Accent2 8 4 2 2" xfId="5395"/>
    <cellStyle name="40% - Accent2 8 4 2 2 2" xfId="8986"/>
    <cellStyle name="40% - Accent2 8 4 2 2 2 2" xfId="16957"/>
    <cellStyle name="40% - Accent2 8 4 2 2 2 3" xfId="24903"/>
    <cellStyle name="40% - Accent2 8 4 2 2 3" xfId="13419"/>
    <cellStyle name="40% - Accent2 8 4 2 2 4" xfId="21374"/>
    <cellStyle name="40% - Accent2 8 4 2 3" xfId="7227"/>
    <cellStyle name="40% - Accent2 8 4 2 3 2" xfId="15199"/>
    <cellStyle name="40% - Accent2 8 4 2 3 3" xfId="23146"/>
    <cellStyle name="40% - Accent2 8 4 2 4" xfId="11663"/>
    <cellStyle name="40% - Accent2 8 4 2 5" xfId="19618"/>
    <cellStyle name="40% - Accent2 8 4 2_Exh G" xfId="2921"/>
    <cellStyle name="40% - Accent2 8 4 3" xfId="4516"/>
    <cellStyle name="40% - Accent2 8 4 3 2" xfId="8108"/>
    <cellStyle name="40% - Accent2 8 4 3 2 2" xfId="16079"/>
    <cellStyle name="40% - Accent2 8 4 3 2 3" xfId="24025"/>
    <cellStyle name="40% - Accent2 8 4 3 3" xfId="12541"/>
    <cellStyle name="40% - Accent2 8 4 3 4" xfId="20496"/>
    <cellStyle name="40% - Accent2 8 4 4" xfId="6346"/>
    <cellStyle name="40% - Accent2 8 4 4 2" xfId="14321"/>
    <cellStyle name="40% - Accent2 8 4 4 3" xfId="22268"/>
    <cellStyle name="40% - Accent2 8 4 5" xfId="9889"/>
    <cellStyle name="40% - Accent2 8 4 5 2" xfId="17847"/>
    <cellStyle name="40% - Accent2 8 4 5 3" xfId="25791"/>
    <cellStyle name="40% - Accent2 8 4 6" xfId="10785"/>
    <cellStyle name="40% - Accent2 8 4 7" xfId="18740"/>
    <cellStyle name="40% - Accent2 8 4_Exh G" xfId="2920"/>
    <cellStyle name="40% - Accent2 8 5" xfId="1453"/>
    <cellStyle name="40% - Accent2 8 5 2" xfId="4983"/>
    <cellStyle name="40% - Accent2 8 5 2 2" xfId="8574"/>
    <cellStyle name="40% - Accent2 8 5 2 2 2" xfId="16545"/>
    <cellStyle name="40% - Accent2 8 5 2 2 3" xfId="24491"/>
    <cellStyle name="40% - Accent2 8 5 2 3" xfId="13007"/>
    <cellStyle name="40% - Accent2 8 5 2 4" xfId="20962"/>
    <cellStyle name="40% - Accent2 8 5 3" xfId="6815"/>
    <cellStyle name="40% - Accent2 8 5 3 2" xfId="14787"/>
    <cellStyle name="40% - Accent2 8 5 3 3" xfId="22734"/>
    <cellStyle name="40% - Accent2 8 5 4" xfId="11251"/>
    <cellStyle name="40% - Accent2 8 5 5" xfId="19206"/>
    <cellStyle name="40% - Accent2 8 5_Exh G" xfId="2922"/>
    <cellStyle name="40% - Accent2 8 6" xfId="4104"/>
    <cellStyle name="40% - Accent2 8 6 2" xfId="7696"/>
    <cellStyle name="40% - Accent2 8 6 2 2" xfId="15667"/>
    <cellStyle name="40% - Accent2 8 6 2 3" xfId="23613"/>
    <cellStyle name="40% - Accent2 8 6 3" xfId="12129"/>
    <cellStyle name="40% - Accent2 8 6 4" xfId="20084"/>
    <cellStyle name="40% - Accent2 8 7" xfId="5924"/>
    <cellStyle name="40% - Accent2 8 7 2" xfId="13908"/>
    <cellStyle name="40% - Accent2 8 7 3" xfId="21856"/>
    <cellStyle name="40% - Accent2 8 8" xfId="9477"/>
    <cellStyle name="40% - Accent2 8 8 2" xfId="17435"/>
    <cellStyle name="40% - Accent2 8 8 3" xfId="25379"/>
    <cellStyle name="40% - Accent2 8 9" xfId="10373"/>
    <cellStyle name="40% - Accent2 8_Exh G" xfId="2913"/>
    <cellStyle name="40% - Accent2 9" xfId="429"/>
    <cellStyle name="40% - Accent2 9 10" xfId="18332"/>
    <cellStyle name="40% - Accent2 9 2" xfId="430"/>
    <cellStyle name="40% - Accent2 9 2 2" xfId="431"/>
    <cellStyle name="40% - Accent2 9 2 2 2" xfId="1459"/>
    <cellStyle name="40% - Accent2 9 2 2 2 2" xfId="4989"/>
    <cellStyle name="40% - Accent2 9 2 2 2 2 2" xfId="8580"/>
    <cellStyle name="40% - Accent2 9 2 2 2 2 2 2" xfId="16551"/>
    <cellStyle name="40% - Accent2 9 2 2 2 2 2 3" xfId="24497"/>
    <cellStyle name="40% - Accent2 9 2 2 2 2 3" xfId="13013"/>
    <cellStyle name="40% - Accent2 9 2 2 2 2 4" xfId="20968"/>
    <cellStyle name="40% - Accent2 9 2 2 2 3" xfId="6821"/>
    <cellStyle name="40% - Accent2 9 2 2 2 3 2" xfId="14793"/>
    <cellStyle name="40% - Accent2 9 2 2 2 3 3" xfId="22740"/>
    <cellStyle name="40% - Accent2 9 2 2 2 4" xfId="11257"/>
    <cellStyle name="40% - Accent2 9 2 2 2 5" xfId="19212"/>
    <cellStyle name="40% - Accent2 9 2 2 2_Exh G" xfId="2926"/>
    <cellStyle name="40% - Accent2 9 2 2 3" xfId="4110"/>
    <cellStyle name="40% - Accent2 9 2 2 3 2" xfId="7702"/>
    <cellStyle name="40% - Accent2 9 2 2 3 2 2" xfId="15673"/>
    <cellStyle name="40% - Accent2 9 2 2 3 2 3" xfId="23619"/>
    <cellStyle name="40% - Accent2 9 2 2 3 3" xfId="12135"/>
    <cellStyle name="40% - Accent2 9 2 2 3 4" xfId="20090"/>
    <cellStyle name="40% - Accent2 9 2 2 4" xfId="5930"/>
    <cellStyle name="40% - Accent2 9 2 2 4 2" xfId="13914"/>
    <cellStyle name="40% - Accent2 9 2 2 4 3" xfId="21862"/>
    <cellStyle name="40% - Accent2 9 2 2 5" xfId="9483"/>
    <cellStyle name="40% - Accent2 9 2 2 5 2" xfId="17441"/>
    <cellStyle name="40% - Accent2 9 2 2 5 3" xfId="25385"/>
    <cellStyle name="40% - Accent2 9 2 2 6" xfId="10379"/>
    <cellStyle name="40% - Accent2 9 2 2 7" xfId="18334"/>
    <cellStyle name="40% - Accent2 9 2 2_Exh G" xfId="2925"/>
    <cellStyle name="40% - Accent2 9 2 3" xfId="1458"/>
    <cellStyle name="40% - Accent2 9 2 3 2" xfId="4988"/>
    <cellStyle name="40% - Accent2 9 2 3 2 2" xfId="8579"/>
    <cellStyle name="40% - Accent2 9 2 3 2 2 2" xfId="16550"/>
    <cellStyle name="40% - Accent2 9 2 3 2 2 3" xfId="24496"/>
    <cellStyle name="40% - Accent2 9 2 3 2 3" xfId="13012"/>
    <cellStyle name="40% - Accent2 9 2 3 2 4" xfId="20967"/>
    <cellStyle name="40% - Accent2 9 2 3 3" xfId="6820"/>
    <cellStyle name="40% - Accent2 9 2 3 3 2" xfId="14792"/>
    <cellStyle name="40% - Accent2 9 2 3 3 3" xfId="22739"/>
    <cellStyle name="40% - Accent2 9 2 3 4" xfId="11256"/>
    <cellStyle name="40% - Accent2 9 2 3 5" xfId="19211"/>
    <cellStyle name="40% - Accent2 9 2 3_Exh G" xfId="2927"/>
    <cellStyle name="40% - Accent2 9 2 4" xfId="4109"/>
    <cellStyle name="40% - Accent2 9 2 4 2" xfId="7701"/>
    <cellStyle name="40% - Accent2 9 2 4 2 2" xfId="15672"/>
    <cellStyle name="40% - Accent2 9 2 4 2 3" xfId="23618"/>
    <cellStyle name="40% - Accent2 9 2 4 3" xfId="12134"/>
    <cellStyle name="40% - Accent2 9 2 4 4" xfId="20089"/>
    <cellStyle name="40% - Accent2 9 2 5" xfId="5929"/>
    <cellStyle name="40% - Accent2 9 2 5 2" xfId="13913"/>
    <cellStyle name="40% - Accent2 9 2 5 3" xfId="21861"/>
    <cellStyle name="40% - Accent2 9 2 6" xfId="9482"/>
    <cellStyle name="40% - Accent2 9 2 6 2" xfId="17440"/>
    <cellStyle name="40% - Accent2 9 2 6 3" xfId="25384"/>
    <cellStyle name="40% - Accent2 9 2 7" xfId="10378"/>
    <cellStyle name="40% - Accent2 9 2 8" xfId="18333"/>
    <cellStyle name="40% - Accent2 9 2_Exh G" xfId="2924"/>
    <cellStyle name="40% - Accent2 9 3" xfId="432"/>
    <cellStyle name="40% - Accent2 9 3 2" xfId="1460"/>
    <cellStyle name="40% - Accent2 9 3 2 2" xfId="4990"/>
    <cellStyle name="40% - Accent2 9 3 2 2 2" xfId="8581"/>
    <cellStyle name="40% - Accent2 9 3 2 2 2 2" xfId="16552"/>
    <cellStyle name="40% - Accent2 9 3 2 2 2 3" xfId="24498"/>
    <cellStyle name="40% - Accent2 9 3 2 2 3" xfId="13014"/>
    <cellStyle name="40% - Accent2 9 3 2 2 4" xfId="20969"/>
    <cellStyle name="40% - Accent2 9 3 2 3" xfId="6822"/>
    <cellStyle name="40% - Accent2 9 3 2 3 2" xfId="14794"/>
    <cellStyle name="40% - Accent2 9 3 2 3 3" xfId="22741"/>
    <cellStyle name="40% - Accent2 9 3 2 4" xfId="11258"/>
    <cellStyle name="40% - Accent2 9 3 2 5" xfId="19213"/>
    <cellStyle name="40% - Accent2 9 3 2_Exh G" xfId="2929"/>
    <cellStyle name="40% - Accent2 9 3 3" xfId="4111"/>
    <cellStyle name="40% - Accent2 9 3 3 2" xfId="7703"/>
    <cellStyle name="40% - Accent2 9 3 3 2 2" xfId="15674"/>
    <cellStyle name="40% - Accent2 9 3 3 2 3" xfId="23620"/>
    <cellStyle name="40% - Accent2 9 3 3 3" xfId="12136"/>
    <cellStyle name="40% - Accent2 9 3 3 4" xfId="20091"/>
    <cellStyle name="40% - Accent2 9 3 4" xfId="5931"/>
    <cellStyle name="40% - Accent2 9 3 4 2" xfId="13915"/>
    <cellStyle name="40% - Accent2 9 3 4 3" xfId="21863"/>
    <cellStyle name="40% - Accent2 9 3 5" xfId="9484"/>
    <cellStyle name="40% - Accent2 9 3 5 2" xfId="17442"/>
    <cellStyle name="40% - Accent2 9 3 5 3" xfId="25386"/>
    <cellStyle name="40% - Accent2 9 3 6" xfId="10380"/>
    <cellStyle name="40% - Accent2 9 3 7" xfId="18335"/>
    <cellStyle name="40% - Accent2 9 3_Exh G" xfId="2928"/>
    <cellStyle name="40% - Accent2 9 4" xfId="957"/>
    <cellStyle name="40% - Accent2 9 4 2" xfId="1878"/>
    <cellStyle name="40% - Accent2 9 4 2 2" xfId="5396"/>
    <cellStyle name="40% - Accent2 9 4 2 2 2" xfId="8987"/>
    <cellStyle name="40% - Accent2 9 4 2 2 2 2" xfId="16958"/>
    <cellStyle name="40% - Accent2 9 4 2 2 2 3" xfId="24904"/>
    <cellStyle name="40% - Accent2 9 4 2 2 3" xfId="13420"/>
    <cellStyle name="40% - Accent2 9 4 2 2 4" xfId="21375"/>
    <cellStyle name="40% - Accent2 9 4 2 3" xfId="7228"/>
    <cellStyle name="40% - Accent2 9 4 2 3 2" xfId="15200"/>
    <cellStyle name="40% - Accent2 9 4 2 3 3" xfId="23147"/>
    <cellStyle name="40% - Accent2 9 4 2 4" xfId="11664"/>
    <cellStyle name="40% - Accent2 9 4 2 5" xfId="19619"/>
    <cellStyle name="40% - Accent2 9 4 2_Exh G" xfId="2931"/>
    <cellStyle name="40% - Accent2 9 4 3" xfId="4517"/>
    <cellStyle name="40% - Accent2 9 4 3 2" xfId="8109"/>
    <cellStyle name="40% - Accent2 9 4 3 2 2" xfId="16080"/>
    <cellStyle name="40% - Accent2 9 4 3 2 3" xfId="24026"/>
    <cellStyle name="40% - Accent2 9 4 3 3" xfId="12542"/>
    <cellStyle name="40% - Accent2 9 4 3 4" xfId="20497"/>
    <cellStyle name="40% - Accent2 9 4 4" xfId="6347"/>
    <cellStyle name="40% - Accent2 9 4 4 2" xfId="14322"/>
    <cellStyle name="40% - Accent2 9 4 4 3" xfId="22269"/>
    <cellStyle name="40% - Accent2 9 4 5" xfId="9890"/>
    <cellStyle name="40% - Accent2 9 4 5 2" xfId="17848"/>
    <cellStyle name="40% - Accent2 9 4 5 3" xfId="25792"/>
    <cellStyle name="40% - Accent2 9 4 6" xfId="10786"/>
    <cellStyle name="40% - Accent2 9 4 7" xfId="18741"/>
    <cellStyle name="40% - Accent2 9 4_Exh G" xfId="2930"/>
    <cellStyle name="40% - Accent2 9 5" xfId="1457"/>
    <cellStyle name="40% - Accent2 9 5 2" xfId="4987"/>
    <cellStyle name="40% - Accent2 9 5 2 2" xfId="8578"/>
    <cellStyle name="40% - Accent2 9 5 2 2 2" xfId="16549"/>
    <cellStyle name="40% - Accent2 9 5 2 2 3" xfId="24495"/>
    <cellStyle name="40% - Accent2 9 5 2 3" xfId="13011"/>
    <cellStyle name="40% - Accent2 9 5 2 4" xfId="20966"/>
    <cellStyle name="40% - Accent2 9 5 3" xfId="6819"/>
    <cellStyle name="40% - Accent2 9 5 3 2" xfId="14791"/>
    <cellStyle name="40% - Accent2 9 5 3 3" xfId="22738"/>
    <cellStyle name="40% - Accent2 9 5 4" xfId="11255"/>
    <cellStyle name="40% - Accent2 9 5 5" xfId="19210"/>
    <cellStyle name="40% - Accent2 9 5_Exh G" xfId="2932"/>
    <cellStyle name="40% - Accent2 9 6" xfId="4108"/>
    <cellStyle name="40% - Accent2 9 6 2" xfId="7700"/>
    <cellStyle name="40% - Accent2 9 6 2 2" xfId="15671"/>
    <cellStyle name="40% - Accent2 9 6 2 3" xfId="23617"/>
    <cellStyle name="40% - Accent2 9 6 3" xfId="12133"/>
    <cellStyle name="40% - Accent2 9 6 4" xfId="20088"/>
    <cellStyle name="40% - Accent2 9 7" xfId="5928"/>
    <cellStyle name="40% - Accent2 9 7 2" xfId="13912"/>
    <cellStyle name="40% - Accent2 9 7 3" xfId="21860"/>
    <cellStyle name="40% - Accent2 9 8" xfId="9481"/>
    <cellStyle name="40% - Accent2 9 8 2" xfId="17439"/>
    <cellStyle name="40% - Accent2 9 8 3" xfId="25383"/>
    <cellStyle name="40% - Accent2 9 9" xfId="10377"/>
    <cellStyle name="40% - Accent2 9_Exh G" xfId="2923"/>
    <cellStyle name="40% - Accent3 10" xfId="433"/>
    <cellStyle name="40% - Accent3 10 10" xfId="18336"/>
    <cellStyle name="40% - Accent3 10 2" xfId="434"/>
    <cellStyle name="40% - Accent3 10 2 2" xfId="435"/>
    <cellStyle name="40% - Accent3 10 2 2 2" xfId="1463"/>
    <cellStyle name="40% - Accent3 10 2 2 2 2" xfId="4993"/>
    <cellStyle name="40% - Accent3 10 2 2 2 2 2" xfId="8584"/>
    <cellStyle name="40% - Accent3 10 2 2 2 2 2 2" xfId="16555"/>
    <cellStyle name="40% - Accent3 10 2 2 2 2 2 3" xfId="24501"/>
    <cellStyle name="40% - Accent3 10 2 2 2 2 3" xfId="13017"/>
    <cellStyle name="40% - Accent3 10 2 2 2 2 4" xfId="20972"/>
    <cellStyle name="40% - Accent3 10 2 2 2 3" xfId="6825"/>
    <cellStyle name="40% - Accent3 10 2 2 2 3 2" xfId="14797"/>
    <cellStyle name="40% - Accent3 10 2 2 2 3 3" xfId="22744"/>
    <cellStyle name="40% - Accent3 10 2 2 2 4" xfId="11261"/>
    <cellStyle name="40% - Accent3 10 2 2 2 5" xfId="19216"/>
    <cellStyle name="40% - Accent3 10 2 2 2_Exh G" xfId="2936"/>
    <cellStyle name="40% - Accent3 10 2 2 3" xfId="4114"/>
    <cellStyle name="40% - Accent3 10 2 2 3 2" xfId="7706"/>
    <cellStyle name="40% - Accent3 10 2 2 3 2 2" xfId="15677"/>
    <cellStyle name="40% - Accent3 10 2 2 3 2 3" xfId="23623"/>
    <cellStyle name="40% - Accent3 10 2 2 3 3" xfId="12139"/>
    <cellStyle name="40% - Accent3 10 2 2 3 4" xfId="20094"/>
    <cellStyle name="40% - Accent3 10 2 2 4" xfId="5934"/>
    <cellStyle name="40% - Accent3 10 2 2 4 2" xfId="13918"/>
    <cellStyle name="40% - Accent3 10 2 2 4 3" xfId="21866"/>
    <cellStyle name="40% - Accent3 10 2 2 5" xfId="9487"/>
    <cellStyle name="40% - Accent3 10 2 2 5 2" xfId="17445"/>
    <cellStyle name="40% - Accent3 10 2 2 5 3" xfId="25389"/>
    <cellStyle name="40% - Accent3 10 2 2 6" xfId="10383"/>
    <cellStyle name="40% - Accent3 10 2 2 7" xfId="18338"/>
    <cellStyle name="40% - Accent3 10 2 2_Exh G" xfId="2935"/>
    <cellStyle name="40% - Accent3 10 2 3" xfId="1462"/>
    <cellStyle name="40% - Accent3 10 2 3 2" xfId="4992"/>
    <cellStyle name="40% - Accent3 10 2 3 2 2" xfId="8583"/>
    <cellStyle name="40% - Accent3 10 2 3 2 2 2" xfId="16554"/>
    <cellStyle name="40% - Accent3 10 2 3 2 2 3" xfId="24500"/>
    <cellStyle name="40% - Accent3 10 2 3 2 3" xfId="13016"/>
    <cellStyle name="40% - Accent3 10 2 3 2 4" xfId="20971"/>
    <cellStyle name="40% - Accent3 10 2 3 3" xfId="6824"/>
    <cellStyle name="40% - Accent3 10 2 3 3 2" xfId="14796"/>
    <cellStyle name="40% - Accent3 10 2 3 3 3" xfId="22743"/>
    <cellStyle name="40% - Accent3 10 2 3 4" xfId="11260"/>
    <cellStyle name="40% - Accent3 10 2 3 5" xfId="19215"/>
    <cellStyle name="40% - Accent3 10 2 3_Exh G" xfId="2937"/>
    <cellStyle name="40% - Accent3 10 2 4" xfId="4113"/>
    <cellStyle name="40% - Accent3 10 2 4 2" xfId="7705"/>
    <cellStyle name="40% - Accent3 10 2 4 2 2" xfId="15676"/>
    <cellStyle name="40% - Accent3 10 2 4 2 3" xfId="23622"/>
    <cellStyle name="40% - Accent3 10 2 4 3" xfId="12138"/>
    <cellStyle name="40% - Accent3 10 2 4 4" xfId="20093"/>
    <cellStyle name="40% - Accent3 10 2 5" xfId="5933"/>
    <cellStyle name="40% - Accent3 10 2 5 2" xfId="13917"/>
    <cellStyle name="40% - Accent3 10 2 5 3" xfId="21865"/>
    <cellStyle name="40% - Accent3 10 2 6" xfId="9486"/>
    <cellStyle name="40% - Accent3 10 2 6 2" xfId="17444"/>
    <cellStyle name="40% - Accent3 10 2 6 3" xfId="25388"/>
    <cellStyle name="40% - Accent3 10 2 7" xfId="10382"/>
    <cellStyle name="40% - Accent3 10 2 8" xfId="18337"/>
    <cellStyle name="40% - Accent3 10 2_Exh G" xfId="2934"/>
    <cellStyle name="40% - Accent3 10 3" xfId="436"/>
    <cellStyle name="40% - Accent3 10 3 2" xfId="1464"/>
    <cellStyle name="40% - Accent3 10 3 2 2" xfId="4994"/>
    <cellStyle name="40% - Accent3 10 3 2 2 2" xfId="8585"/>
    <cellStyle name="40% - Accent3 10 3 2 2 2 2" xfId="16556"/>
    <cellStyle name="40% - Accent3 10 3 2 2 2 3" xfId="24502"/>
    <cellStyle name="40% - Accent3 10 3 2 2 3" xfId="13018"/>
    <cellStyle name="40% - Accent3 10 3 2 2 4" xfId="20973"/>
    <cellStyle name="40% - Accent3 10 3 2 3" xfId="6826"/>
    <cellStyle name="40% - Accent3 10 3 2 3 2" xfId="14798"/>
    <cellStyle name="40% - Accent3 10 3 2 3 3" xfId="22745"/>
    <cellStyle name="40% - Accent3 10 3 2 4" xfId="11262"/>
    <cellStyle name="40% - Accent3 10 3 2 5" xfId="19217"/>
    <cellStyle name="40% - Accent3 10 3 2_Exh G" xfId="2939"/>
    <cellStyle name="40% - Accent3 10 3 3" xfId="4115"/>
    <cellStyle name="40% - Accent3 10 3 3 2" xfId="7707"/>
    <cellStyle name="40% - Accent3 10 3 3 2 2" xfId="15678"/>
    <cellStyle name="40% - Accent3 10 3 3 2 3" xfId="23624"/>
    <cellStyle name="40% - Accent3 10 3 3 3" xfId="12140"/>
    <cellStyle name="40% - Accent3 10 3 3 4" xfId="20095"/>
    <cellStyle name="40% - Accent3 10 3 4" xfId="5935"/>
    <cellStyle name="40% - Accent3 10 3 4 2" xfId="13919"/>
    <cellStyle name="40% - Accent3 10 3 4 3" xfId="21867"/>
    <cellStyle name="40% - Accent3 10 3 5" xfId="9488"/>
    <cellStyle name="40% - Accent3 10 3 5 2" xfId="17446"/>
    <cellStyle name="40% - Accent3 10 3 5 3" xfId="25390"/>
    <cellStyle name="40% - Accent3 10 3 6" xfId="10384"/>
    <cellStyle name="40% - Accent3 10 3 7" xfId="18339"/>
    <cellStyle name="40% - Accent3 10 3_Exh G" xfId="2938"/>
    <cellStyle name="40% - Accent3 10 4" xfId="958"/>
    <cellStyle name="40% - Accent3 10 5" xfId="1461"/>
    <cellStyle name="40% - Accent3 10 5 2" xfId="4991"/>
    <cellStyle name="40% - Accent3 10 5 2 2" xfId="8582"/>
    <cellStyle name="40% - Accent3 10 5 2 2 2" xfId="16553"/>
    <cellStyle name="40% - Accent3 10 5 2 2 3" xfId="24499"/>
    <cellStyle name="40% - Accent3 10 5 2 3" xfId="13015"/>
    <cellStyle name="40% - Accent3 10 5 2 4" xfId="20970"/>
    <cellStyle name="40% - Accent3 10 5 3" xfId="6823"/>
    <cellStyle name="40% - Accent3 10 5 3 2" xfId="14795"/>
    <cellStyle name="40% - Accent3 10 5 3 3" xfId="22742"/>
    <cellStyle name="40% - Accent3 10 5 4" xfId="11259"/>
    <cellStyle name="40% - Accent3 10 5 5" xfId="19214"/>
    <cellStyle name="40% - Accent3 10 5_Exh G" xfId="2940"/>
    <cellStyle name="40% - Accent3 10 6" xfId="4112"/>
    <cellStyle name="40% - Accent3 10 6 2" xfId="7704"/>
    <cellStyle name="40% - Accent3 10 6 2 2" xfId="15675"/>
    <cellStyle name="40% - Accent3 10 6 2 3" xfId="23621"/>
    <cellStyle name="40% - Accent3 10 6 3" xfId="12137"/>
    <cellStyle name="40% - Accent3 10 6 4" xfId="20092"/>
    <cellStyle name="40% - Accent3 10 7" xfId="5932"/>
    <cellStyle name="40% - Accent3 10 7 2" xfId="13916"/>
    <cellStyle name="40% - Accent3 10 7 3" xfId="21864"/>
    <cellStyle name="40% - Accent3 10 8" xfId="9485"/>
    <cellStyle name="40% - Accent3 10 8 2" xfId="17443"/>
    <cellStyle name="40% - Accent3 10 8 3" xfId="25387"/>
    <cellStyle name="40% - Accent3 10 9" xfId="10381"/>
    <cellStyle name="40% - Accent3 10_Exh G" xfId="2933"/>
    <cellStyle name="40% - Accent3 11" xfId="437"/>
    <cellStyle name="40% - Accent3 11 2" xfId="438"/>
    <cellStyle name="40% - Accent3 11 2 2" xfId="439"/>
    <cellStyle name="40% - Accent3 11 2 2 2" xfId="1467"/>
    <cellStyle name="40% - Accent3 11 2 2 2 2" xfId="4997"/>
    <cellStyle name="40% - Accent3 11 2 2 2 2 2" xfId="8588"/>
    <cellStyle name="40% - Accent3 11 2 2 2 2 2 2" xfId="16559"/>
    <cellStyle name="40% - Accent3 11 2 2 2 2 2 3" xfId="24505"/>
    <cellStyle name="40% - Accent3 11 2 2 2 2 3" xfId="13021"/>
    <cellStyle name="40% - Accent3 11 2 2 2 2 4" xfId="20976"/>
    <cellStyle name="40% - Accent3 11 2 2 2 3" xfId="6829"/>
    <cellStyle name="40% - Accent3 11 2 2 2 3 2" xfId="14801"/>
    <cellStyle name="40% - Accent3 11 2 2 2 3 3" xfId="22748"/>
    <cellStyle name="40% - Accent3 11 2 2 2 4" xfId="11265"/>
    <cellStyle name="40% - Accent3 11 2 2 2 5" xfId="19220"/>
    <cellStyle name="40% - Accent3 11 2 2 2_Exh G" xfId="2944"/>
    <cellStyle name="40% - Accent3 11 2 2 3" xfId="4118"/>
    <cellStyle name="40% - Accent3 11 2 2 3 2" xfId="7710"/>
    <cellStyle name="40% - Accent3 11 2 2 3 2 2" xfId="15681"/>
    <cellStyle name="40% - Accent3 11 2 2 3 2 3" xfId="23627"/>
    <cellStyle name="40% - Accent3 11 2 2 3 3" xfId="12143"/>
    <cellStyle name="40% - Accent3 11 2 2 3 4" xfId="20098"/>
    <cellStyle name="40% - Accent3 11 2 2 4" xfId="5938"/>
    <cellStyle name="40% - Accent3 11 2 2 4 2" xfId="13922"/>
    <cellStyle name="40% - Accent3 11 2 2 4 3" xfId="21870"/>
    <cellStyle name="40% - Accent3 11 2 2 5" xfId="9491"/>
    <cellStyle name="40% - Accent3 11 2 2 5 2" xfId="17449"/>
    <cellStyle name="40% - Accent3 11 2 2 5 3" xfId="25393"/>
    <cellStyle name="40% - Accent3 11 2 2 6" xfId="10387"/>
    <cellStyle name="40% - Accent3 11 2 2 7" xfId="18342"/>
    <cellStyle name="40% - Accent3 11 2 2_Exh G" xfId="2943"/>
    <cellStyle name="40% - Accent3 11 2 3" xfId="1466"/>
    <cellStyle name="40% - Accent3 11 2 3 2" xfId="4996"/>
    <cellStyle name="40% - Accent3 11 2 3 2 2" xfId="8587"/>
    <cellStyle name="40% - Accent3 11 2 3 2 2 2" xfId="16558"/>
    <cellStyle name="40% - Accent3 11 2 3 2 2 3" xfId="24504"/>
    <cellStyle name="40% - Accent3 11 2 3 2 3" xfId="13020"/>
    <cellStyle name="40% - Accent3 11 2 3 2 4" xfId="20975"/>
    <cellStyle name="40% - Accent3 11 2 3 3" xfId="6828"/>
    <cellStyle name="40% - Accent3 11 2 3 3 2" xfId="14800"/>
    <cellStyle name="40% - Accent3 11 2 3 3 3" xfId="22747"/>
    <cellStyle name="40% - Accent3 11 2 3 4" xfId="11264"/>
    <cellStyle name="40% - Accent3 11 2 3 5" xfId="19219"/>
    <cellStyle name="40% - Accent3 11 2 3_Exh G" xfId="2945"/>
    <cellStyle name="40% - Accent3 11 2 4" xfId="4117"/>
    <cellStyle name="40% - Accent3 11 2 4 2" xfId="7709"/>
    <cellStyle name="40% - Accent3 11 2 4 2 2" xfId="15680"/>
    <cellStyle name="40% - Accent3 11 2 4 2 3" xfId="23626"/>
    <cellStyle name="40% - Accent3 11 2 4 3" xfId="12142"/>
    <cellStyle name="40% - Accent3 11 2 4 4" xfId="20097"/>
    <cellStyle name="40% - Accent3 11 2 5" xfId="5937"/>
    <cellStyle name="40% - Accent3 11 2 5 2" xfId="13921"/>
    <cellStyle name="40% - Accent3 11 2 5 3" xfId="21869"/>
    <cellStyle name="40% - Accent3 11 2 6" xfId="9490"/>
    <cellStyle name="40% - Accent3 11 2 6 2" xfId="17448"/>
    <cellStyle name="40% - Accent3 11 2 6 3" xfId="25392"/>
    <cellStyle name="40% - Accent3 11 2 7" xfId="10386"/>
    <cellStyle name="40% - Accent3 11 2 8" xfId="18341"/>
    <cellStyle name="40% - Accent3 11 2_Exh G" xfId="2942"/>
    <cellStyle name="40% - Accent3 11 3" xfId="440"/>
    <cellStyle name="40% - Accent3 11 3 2" xfId="1468"/>
    <cellStyle name="40% - Accent3 11 3 2 2" xfId="4998"/>
    <cellStyle name="40% - Accent3 11 3 2 2 2" xfId="8589"/>
    <cellStyle name="40% - Accent3 11 3 2 2 2 2" xfId="16560"/>
    <cellStyle name="40% - Accent3 11 3 2 2 2 3" xfId="24506"/>
    <cellStyle name="40% - Accent3 11 3 2 2 3" xfId="13022"/>
    <cellStyle name="40% - Accent3 11 3 2 2 4" xfId="20977"/>
    <cellStyle name="40% - Accent3 11 3 2 3" xfId="6830"/>
    <cellStyle name="40% - Accent3 11 3 2 3 2" xfId="14802"/>
    <cellStyle name="40% - Accent3 11 3 2 3 3" xfId="22749"/>
    <cellStyle name="40% - Accent3 11 3 2 4" xfId="11266"/>
    <cellStyle name="40% - Accent3 11 3 2 5" xfId="19221"/>
    <cellStyle name="40% - Accent3 11 3 2_Exh G" xfId="2947"/>
    <cellStyle name="40% - Accent3 11 3 3" xfId="4119"/>
    <cellStyle name="40% - Accent3 11 3 3 2" xfId="7711"/>
    <cellStyle name="40% - Accent3 11 3 3 2 2" xfId="15682"/>
    <cellStyle name="40% - Accent3 11 3 3 2 3" xfId="23628"/>
    <cellStyle name="40% - Accent3 11 3 3 3" xfId="12144"/>
    <cellStyle name="40% - Accent3 11 3 3 4" xfId="20099"/>
    <cellStyle name="40% - Accent3 11 3 4" xfId="5939"/>
    <cellStyle name="40% - Accent3 11 3 4 2" xfId="13923"/>
    <cellStyle name="40% - Accent3 11 3 4 3" xfId="21871"/>
    <cellStyle name="40% - Accent3 11 3 5" xfId="9492"/>
    <cellStyle name="40% - Accent3 11 3 5 2" xfId="17450"/>
    <cellStyle name="40% - Accent3 11 3 5 3" xfId="25394"/>
    <cellStyle name="40% - Accent3 11 3 6" xfId="10388"/>
    <cellStyle name="40% - Accent3 11 3 7" xfId="18343"/>
    <cellStyle name="40% - Accent3 11 3_Exh G" xfId="2946"/>
    <cellStyle name="40% - Accent3 11 4" xfId="1465"/>
    <cellStyle name="40% - Accent3 11 4 2" xfId="4995"/>
    <cellStyle name="40% - Accent3 11 4 2 2" xfId="8586"/>
    <cellStyle name="40% - Accent3 11 4 2 2 2" xfId="16557"/>
    <cellStyle name="40% - Accent3 11 4 2 2 3" xfId="24503"/>
    <cellStyle name="40% - Accent3 11 4 2 3" xfId="13019"/>
    <cellStyle name="40% - Accent3 11 4 2 4" xfId="20974"/>
    <cellStyle name="40% - Accent3 11 4 3" xfId="6827"/>
    <cellStyle name="40% - Accent3 11 4 3 2" xfId="14799"/>
    <cellStyle name="40% - Accent3 11 4 3 3" xfId="22746"/>
    <cellStyle name="40% - Accent3 11 4 4" xfId="11263"/>
    <cellStyle name="40% - Accent3 11 4 5" xfId="19218"/>
    <cellStyle name="40% - Accent3 11 4_Exh G" xfId="2948"/>
    <cellStyle name="40% - Accent3 11 5" xfId="4116"/>
    <cellStyle name="40% - Accent3 11 5 2" xfId="7708"/>
    <cellStyle name="40% - Accent3 11 5 2 2" xfId="15679"/>
    <cellStyle name="40% - Accent3 11 5 2 3" xfId="23625"/>
    <cellStyle name="40% - Accent3 11 5 3" xfId="12141"/>
    <cellStyle name="40% - Accent3 11 5 4" xfId="20096"/>
    <cellStyle name="40% - Accent3 11 6" xfId="5936"/>
    <cellStyle name="40% - Accent3 11 6 2" xfId="13920"/>
    <cellStyle name="40% - Accent3 11 6 3" xfId="21868"/>
    <cellStyle name="40% - Accent3 11 7" xfId="9489"/>
    <cellStyle name="40% - Accent3 11 7 2" xfId="17447"/>
    <cellStyle name="40% - Accent3 11 7 3" xfId="25391"/>
    <cellStyle name="40% - Accent3 11 8" xfId="10385"/>
    <cellStyle name="40% - Accent3 11 9" xfId="18340"/>
    <cellStyle name="40% - Accent3 11_Exh G" xfId="2941"/>
    <cellStyle name="40% - Accent3 12" xfId="441"/>
    <cellStyle name="40% - Accent3 12 2" xfId="442"/>
    <cellStyle name="40% - Accent3 12 2 2" xfId="443"/>
    <cellStyle name="40% - Accent3 12 2 2 2" xfId="1471"/>
    <cellStyle name="40% - Accent3 12 2 2 2 2" xfId="5001"/>
    <cellStyle name="40% - Accent3 12 2 2 2 2 2" xfId="8592"/>
    <cellStyle name="40% - Accent3 12 2 2 2 2 2 2" xfId="16563"/>
    <cellStyle name="40% - Accent3 12 2 2 2 2 2 3" xfId="24509"/>
    <cellStyle name="40% - Accent3 12 2 2 2 2 3" xfId="13025"/>
    <cellStyle name="40% - Accent3 12 2 2 2 2 4" xfId="20980"/>
    <cellStyle name="40% - Accent3 12 2 2 2 3" xfId="6833"/>
    <cellStyle name="40% - Accent3 12 2 2 2 3 2" xfId="14805"/>
    <cellStyle name="40% - Accent3 12 2 2 2 3 3" xfId="22752"/>
    <cellStyle name="40% - Accent3 12 2 2 2 4" xfId="11269"/>
    <cellStyle name="40% - Accent3 12 2 2 2 5" xfId="19224"/>
    <cellStyle name="40% - Accent3 12 2 2 2_Exh G" xfId="2952"/>
    <cellStyle name="40% - Accent3 12 2 2 3" xfId="4122"/>
    <cellStyle name="40% - Accent3 12 2 2 3 2" xfId="7714"/>
    <cellStyle name="40% - Accent3 12 2 2 3 2 2" xfId="15685"/>
    <cellStyle name="40% - Accent3 12 2 2 3 2 3" xfId="23631"/>
    <cellStyle name="40% - Accent3 12 2 2 3 3" xfId="12147"/>
    <cellStyle name="40% - Accent3 12 2 2 3 4" xfId="20102"/>
    <cellStyle name="40% - Accent3 12 2 2 4" xfId="5942"/>
    <cellStyle name="40% - Accent3 12 2 2 4 2" xfId="13926"/>
    <cellStyle name="40% - Accent3 12 2 2 4 3" xfId="21874"/>
    <cellStyle name="40% - Accent3 12 2 2 5" xfId="9495"/>
    <cellStyle name="40% - Accent3 12 2 2 5 2" xfId="17453"/>
    <cellStyle name="40% - Accent3 12 2 2 5 3" xfId="25397"/>
    <cellStyle name="40% - Accent3 12 2 2 6" xfId="10391"/>
    <cellStyle name="40% - Accent3 12 2 2 7" xfId="18346"/>
    <cellStyle name="40% - Accent3 12 2 2_Exh G" xfId="2951"/>
    <cellStyle name="40% - Accent3 12 2 3" xfId="1470"/>
    <cellStyle name="40% - Accent3 12 2 3 2" xfId="5000"/>
    <cellStyle name="40% - Accent3 12 2 3 2 2" xfId="8591"/>
    <cellStyle name="40% - Accent3 12 2 3 2 2 2" xfId="16562"/>
    <cellStyle name="40% - Accent3 12 2 3 2 2 3" xfId="24508"/>
    <cellStyle name="40% - Accent3 12 2 3 2 3" xfId="13024"/>
    <cellStyle name="40% - Accent3 12 2 3 2 4" xfId="20979"/>
    <cellStyle name="40% - Accent3 12 2 3 3" xfId="6832"/>
    <cellStyle name="40% - Accent3 12 2 3 3 2" xfId="14804"/>
    <cellStyle name="40% - Accent3 12 2 3 3 3" xfId="22751"/>
    <cellStyle name="40% - Accent3 12 2 3 4" xfId="11268"/>
    <cellStyle name="40% - Accent3 12 2 3 5" xfId="19223"/>
    <cellStyle name="40% - Accent3 12 2 3_Exh G" xfId="2953"/>
    <cellStyle name="40% - Accent3 12 2 4" xfId="4121"/>
    <cellStyle name="40% - Accent3 12 2 4 2" xfId="7713"/>
    <cellStyle name="40% - Accent3 12 2 4 2 2" xfId="15684"/>
    <cellStyle name="40% - Accent3 12 2 4 2 3" xfId="23630"/>
    <cellStyle name="40% - Accent3 12 2 4 3" xfId="12146"/>
    <cellStyle name="40% - Accent3 12 2 4 4" xfId="20101"/>
    <cellStyle name="40% - Accent3 12 2 5" xfId="5941"/>
    <cellStyle name="40% - Accent3 12 2 5 2" xfId="13925"/>
    <cellStyle name="40% - Accent3 12 2 5 3" xfId="21873"/>
    <cellStyle name="40% - Accent3 12 2 6" xfId="9494"/>
    <cellStyle name="40% - Accent3 12 2 6 2" xfId="17452"/>
    <cellStyle name="40% - Accent3 12 2 6 3" xfId="25396"/>
    <cellStyle name="40% - Accent3 12 2 7" xfId="10390"/>
    <cellStyle name="40% - Accent3 12 2 8" xfId="18345"/>
    <cellStyle name="40% - Accent3 12 2_Exh G" xfId="2950"/>
    <cellStyle name="40% - Accent3 12 3" xfId="444"/>
    <cellStyle name="40% - Accent3 12 3 2" xfId="1472"/>
    <cellStyle name="40% - Accent3 12 3 2 2" xfId="5002"/>
    <cellStyle name="40% - Accent3 12 3 2 2 2" xfId="8593"/>
    <cellStyle name="40% - Accent3 12 3 2 2 2 2" xfId="16564"/>
    <cellStyle name="40% - Accent3 12 3 2 2 2 3" xfId="24510"/>
    <cellStyle name="40% - Accent3 12 3 2 2 3" xfId="13026"/>
    <cellStyle name="40% - Accent3 12 3 2 2 4" xfId="20981"/>
    <cellStyle name="40% - Accent3 12 3 2 3" xfId="6834"/>
    <cellStyle name="40% - Accent3 12 3 2 3 2" xfId="14806"/>
    <cellStyle name="40% - Accent3 12 3 2 3 3" xfId="22753"/>
    <cellStyle name="40% - Accent3 12 3 2 4" xfId="11270"/>
    <cellStyle name="40% - Accent3 12 3 2 5" xfId="19225"/>
    <cellStyle name="40% - Accent3 12 3 2_Exh G" xfId="2955"/>
    <cellStyle name="40% - Accent3 12 3 3" xfId="4123"/>
    <cellStyle name="40% - Accent3 12 3 3 2" xfId="7715"/>
    <cellStyle name="40% - Accent3 12 3 3 2 2" xfId="15686"/>
    <cellStyle name="40% - Accent3 12 3 3 2 3" xfId="23632"/>
    <cellStyle name="40% - Accent3 12 3 3 3" xfId="12148"/>
    <cellStyle name="40% - Accent3 12 3 3 4" xfId="20103"/>
    <cellStyle name="40% - Accent3 12 3 4" xfId="5943"/>
    <cellStyle name="40% - Accent3 12 3 4 2" xfId="13927"/>
    <cellStyle name="40% - Accent3 12 3 4 3" xfId="21875"/>
    <cellStyle name="40% - Accent3 12 3 5" xfId="9496"/>
    <cellStyle name="40% - Accent3 12 3 5 2" xfId="17454"/>
    <cellStyle name="40% - Accent3 12 3 5 3" xfId="25398"/>
    <cellStyle name="40% - Accent3 12 3 6" xfId="10392"/>
    <cellStyle name="40% - Accent3 12 3 7" xfId="18347"/>
    <cellStyle name="40% - Accent3 12 3_Exh G" xfId="2954"/>
    <cellStyle name="40% - Accent3 12 4" xfId="1469"/>
    <cellStyle name="40% - Accent3 12 4 2" xfId="4999"/>
    <cellStyle name="40% - Accent3 12 4 2 2" xfId="8590"/>
    <cellStyle name="40% - Accent3 12 4 2 2 2" xfId="16561"/>
    <cellStyle name="40% - Accent3 12 4 2 2 3" xfId="24507"/>
    <cellStyle name="40% - Accent3 12 4 2 3" xfId="13023"/>
    <cellStyle name="40% - Accent3 12 4 2 4" xfId="20978"/>
    <cellStyle name="40% - Accent3 12 4 3" xfId="6831"/>
    <cellStyle name="40% - Accent3 12 4 3 2" xfId="14803"/>
    <cellStyle name="40% - Accent3 12 4 3 3" xfId="22750"/>
    <cellStyle name="40% - Accent3 12 4 4" xfId="11267"/>
    <cellStyle name="40% - Accent3 12 4 5" xfId="19222"/>
    <cellStyle name="40% - Accent3 12 4_Exh G" xfId="2956"/>
    <cellStyle name="40% - Accent3 12 5" xfId="4120"/>
    <cellStyle name="40% - Accent3 12 5 2" xfId="7712"/>
    <cellStyle name="40% - Accent3 12 5 2 2" xfId="15683"/>
    <cellStyle name="40% - Accent3 12 5 2 3" xfId="23629"/>
    <cellStyle name="40% - Accent3 12 5 3" xfId="12145"/>
    <cellStyle name="40% - Accent3 12 5 4" xfId="20100"/>
    <cellStyle name="40% - Accent3 12 6" xfId="5940"/>
    <cellStyle name="40% - Accent3 12 6 2" xfId="13924"/>
    <cellStyle name="40% - Accent3 12 6 3" xfId="21872"/>
    <cellStyle name="40% - Accent3 12 7" xfId="9493"/>
    <cellStyle name="40% - Accent3 12 7 2" xfId="17451"/>
    <cellStyle name="40% - Accent3 12 7 3" xfId="25395"/>
    <cellStyle name="40% - Accent3 12 8" xfId="10389"/>
    <cellStyle name="40% - Accent3 12 9" xfId="18344"/>
    <cellStyle name="40% - Accent3 12_Exh G" xfId="2949"/>
    <cellStyle name="40% - Accent3 13" xfId="445"/>
    <cellStyle name="40% - Accent3 13 2" xfId="446"/>
    <cellStyle name="40% - Accent3 13 2 2" xfId="447"/>
    <cellStyle name="40% - Accent3 13 2 2 2" xfId="1475"/>
    <cellStyle name="40% - Accent3 13 2 2 2 2" xfId="5005"/>
    <cellStyle name="40% - Accent3 13 2 2 2 2 2" xfId="8596"/>
    <cellStyle name="40% - Accent3 13 2 2 2 2 2 2" xfId="16567"/>
    <cellStyle name="40% - Accent3 13 2 2 2 2 2 3" xfId="24513"/>
    <cellStyle name="40% - Accent3 13 2 2 2 2 3" xfId="13029"/>
    <cellStyle name="40% - Accent3 13 2 2 2 2 4" xfId="20984"/>
    <cellStyle name="40% - Accent3 13 2 2 2 3" xfId="6837"/>
    <cellStyle name="40% - Accent3 13 2 2 2 3 2" xfId="14809"/>
    <cellStyle name="40% - Accent3 13 2 2 2 3 3" xfId="22756"/>
    <cellStyle name="40% - Accent3 13 2 2 2 4" xfId="11273"/>
    <cellStyle name="40% - Accent3 13 2 2 2 5" xfId="19228"/>
    <cellStyle name="40% - Accent3 13 2 2 2_Exh G" xfId="2960"/>
    <cellStyle name="40% - Accent3 13 2 2 3" xfId="4126"/>
    <cellStyle name="40% - Accent3 13 2 2 3 2" xfId="7718"/>
    <cellStyle name="40% - Accent3 13 2 2 3 2 2" xfId="15689"/>
    <cellStyle name="40% - Accent3 13 2 2 3 2 3" xfId="23635"/>
    <cellStyle name="40% - Accent3 13 2 2 3 3" xfId="12151"/>
    <cellStyle name="40% - Accent3 13 2 2 3 4" xfId="20106"/>
    <cellStyle name="40% - Accent3 13 2 2 4" xfId="5946"/>
    <cellStyle name="40% - Accent3 13 2 2 4 2" xfId="13930"/>
    <cellStyle name="40% - Accent3 13 2 2 4 3" xfId="21878"/>
    <cellStyle name="40% - Accent3 13 2 2 5" xfId="9499"/>
    <cellStyle name="40% - Accent3 13 2 2 5 2" xfId="17457"/>
    <cellStyle name="40% - Accent3 13 2 2 5 3" xfId="25401"/>
    <cellStyle name="40% - Accent3 13 2 2 6" xfId="10395"/>
    <cellStyle name="40% - Accent3 13 2 2 7" xfId="18350"/>
    <cellStyle name="40% - Accent3 13 2 2_Exh G" xfId="2959"/>
    <cellStyle name="40% - Accent3 13 2 3" xfId="1474"/>
    <cellStyle name="40% - Accent3 13 2 3 2" xfId="5004"/>
    <cellStyle name="40% - Accent3 13 2 3 2 2" xfId="8595"/>
    <cellStyle name="40% - Accent3 13 2 3 2 2 2" xfId="16566"/>
    <cellStyle name="40% - Accent3 13 2 3 2 2 3" xfId="24512"/>
    <cellStyle name="40% - Accent3 13 2 3 2 3" xfId="13028"/>
    <cellStyle name="40% - Accent3 13 2 3 2 4" xfId="20983"/>
    <cellStyle name="40% - Accent3 13 2 3 3" xfId="6836"/>
    <cellStyle name="40% - Accent3 13 2 3 3 2" xfId="14808"/>
    <cellStyle name="40% - Accent3 13 2 3 3 3" xfId="22755"/>
    <cellStyle name="40% - Accent3 13 2 3 4" xfId="11272"/>
    <cellStyle name="40% - Accent3 13 2 3 5" xfId="19227"/>
    <cellStyle name="40% - Accent3 13 2 3_Exh G" xfId="2961"/>
    <cellStyle name="40% - Accent3 13 2 4" xfId="4125"/>
    <cellStyle name="40% - Accent3 13 2 4 2" xfId="7717"/>
    <cellStyle name="40% - Accent3 13 2 4 2 2" xfId="15688"/>
    <cellStyle name="40% - Accent3 13 2 4 2 3" xfId="23634"/>
    <cellStyle name="40% - Accent3 13 2 4 3" xfId="12150"/>
    <cellStyle name="40% - Accent3 13 2 4 4" xfId="20105"/>
    <cellStyle name="40% - Accent3 13 2 5" xfId="5945"/>
    <cellStyle name="40% - Accent3 13 2 5 2" xfId="13929"/>
    <cellStyle name="40% - Accent3 13 2 5 3" xfId="21877"/>
    <cellStyle name="40% - Accent3 13 2 6" xfId="9498"/>
    <cellStyle name="40% - Accent3 13 2 6 2" xfId="17456"/>
    <cellStyle name="40% - Accent3 13 2 6 3" xfId="25400"/>
    <cellStyle name="40% - Accent3 13 2 7" xfId="10394"/>
    <cellStyle name="40% - Accent3 13 2 8" xfId="18349"/>
    <cellStyle name="40% - Accent3 13 2_Exh G" xfId="2958"/>
    <cellStyle name="40% - Accent3 13 3" xfId="448"/>
    <cellStyle name="40% - Accent3 13 3 2" xfId="1476"/>
    <cellStyle name="40% - Accent3 13 3 2 2" xfId="5006"/>
    <cellStyle name="40% - Accent3 13 3 2 2 2" xfId="8597"/>
    <cellStyle name="40% - Accent3 13 3 2 2 2 2" xfId="16568"/>
    <cellStyle name="40% - Accent3 13 3 2 2 2 3" xfId="24514"/>
    <cellStyle name="40% - Accent3 13 3 2 2 3" xfId="13030"/>
    <cellStyle name="40% - Accent3 13 3 2 2 4" xfId="20985"/>
    <cellStyle name="40% - Accent3 13 3 2 3" xfId="6838"/>
    <cellStyle name="40% - Accent3 13 3 2 3 2" xfId="14810"/>
    <cellStyle name="40% - Accent3 13 3 2 3 3" xfId="22757"/>
    <cellStyle name="40% - Accent3 13 3 2 4" xfId="11274"/>
    <cellStyle name="40% - Accent3 13 3 2 5" xfId="19229"/>
    <cellStyle name="40% - Accent3 13 3 2_Exh G" xfId="2963"/>
    <cellStyle name="40% - Accent3 13 3 3" xfId="4127"/>
    <cellStyle name="40% - Accent3 13 3 3 2" xfId="7719"/>
    <cellStyle name="40% - Accent3 13 3 3 2 2" xfId="15690"/>
    <cellStyle name="40% - Accent3 13 3 3 2 3" xfId="23636"/>
    <cellStyle name="40% - Accent3 13 3 3 3" xfId="12152"/>
    <cellStyle name="40% - Accent3 13 3 3 4" xfId="20107"/>
    <cellStyle name="40% - Accent3 13 3 4" xfId="5947"/>
    <cellStyle name="40% - Accent3 13 3 4 2" xfId="13931"/>
    <cellStyle name="40% - Accent3 13 3 4 3" xfId="21879"/>
    <cellStyle name="40% - Accent3 13 3 5" xfId="9500"/>
    <cellStyle name="40% - Accent3 13 3 5 2" xfId="17458"/>
    <cellStyle name="40% - Accent3 13 3 5 3" xfId="25402"/>
    <cellStyle name="40% - Accent3 13 3 6" xfId="10396"/>
    <cellStyle name="40% - Accent3 13 3 7" xfId="18351"/>
    <cellStyle name="40% - Accent3 13 3_Exh G" xfId="2962"/>
    <cellStyle name="40% - Accent3 13 4" xfId="1473"/>
    <cellStyle name="40% - Accent3 13 4 2" xfId="5003"/>
    <cellStyle name="40% - Accent3 13 4 2 2" xfId="8594"/>
    <cellStyle name="40% - Accent3 13 4 2 2 2" xfId="16565"/>
    <cellStyle name="40% - Accent3 13 4 2 2 3" xfId="24511"/>
    <cellStyle name="40% - Accent3 13 4 2 3" xfId="13027"/>
    <cellStyle name="40% - Accent3 13 4 2 4" xfId="20982"/>
    <cellStyle name="40% - Accent3 13 4 3" xfId="6835"/>
    <cellStyle name="40% - Accent3 13 4 3 2" xfId="14807"/>
    <cellStyle name="40% - Accent3 13 4 3 3" xfId="22754"/>
    <cellStyle name="40% - Accent3 13 4 4" xfId="11271"/>
    <cellStyle name="40% - Accent3 13 4 5" xfId="19226"/>
    <cellStyle name="40% - Accent3 13 4_Exh G" xfId="2964"/>
    <cellStyle name="40% - Accent3 13 5" xfId="4124"/>
    <cellStyle name="40% - Accent3 13 5 2" xfId="7716"/>
    <cellStyle name="40% - Accent3 13 5 2 2" xfId="15687"/>
    <cellStyle name="40% - Accent3 13 5 2 3" xfId="23633"/>
    <cellStyle name="40% - Accent3 13 5 3" xfId="12149"/>
    <cellStyle name="40% - Accent3 13 5 4" xfId="20104"/>
    <cellStyle name="40% - Accent3 13 6" xfId="5944"/>
    <cellStyle name="40% - Accent3 13 6 2" xfId="13928"/>
    <cellStyle name="40% - Accent3 13 6 3" xfId="21876"/>
    <cellStyle name="40% - Accent3 13 7" xfId="9497"/>
    <cellStyle name="40% - Accent3 13 7 2" xfId="17455"/>
    <cellStyle name="40% - Accent3 13 7 3" xfId="25399"/>
    <cellStyle name="40% - Accent3 13 8" xfId="10393"/>
    <cellStyle name="40% - Accent3 13 9" xfId="18348"/>
    <cellStyle name="40% - Accent3 13_Exh G" xfId="2957"/>
    <cellStyle name="40% - Accent3 14" xfId="449"/>
    <cellStyle name="40% - Accent3 14 2" xfId="450"/>
    <cellStyle name="40% - Accent3 14 2 2" xfId="1478"/>
    <cellStyle name="40% - Accent3 14 2 2 2" xfId="5008"/>
    <cellStyle name="40% - Accent3 14 2 2 2 2" xfId="8599"/>
    <cellStyle name="40% - Accent3 14 2 2 2 2 2" xfId="16570"/>
    <cellStyle name="40% - Accent3 14 2 2 2 2 3" xfId="24516"/>
    <cellStyle name="40% - Accent3 14 2 2 2 3" xfId="13032"/>
    <cellStyle name="40% - Accent3 14 2 2 2 4" xfId="20987"/>
    <cellStyle name="40% - Accent3 14 2 2 3" xfId="6840"/>
    <cellStyle name="40% - Accent3 14 2 2 3 2" xfId="14812"/>
    <cellStyle name="40% - Accent3 14 2 2 3 3" xfId="22759"/>
    <cellStyle name="40% - Accent3 14 2 2 4" xfId="11276"/>
    <cellStyle name="40% - Accent3 14 2 2 5" xfId="19231"/>
    <cellStyle name="40% - Accent3 14 2 2_Exh G" xfId="2967"/>
    <cellStyle name="40% - Accent3 14 2 3" xfId="4129"/>
    <cellStyle name="40% - Accent3 14 2 3 2" xfId="7721"/>
    <cellStyle name="40% - Accent3 14 2 3 2 2" xfId="15692"/>
    <cellStyle name="40% - Accent3 14 2 3 2 3" xfId="23638"/>
    <cellStyle name="40% - Accent3 14 2 3 3" xfId="12154"/>
    <cellStyle name="40% - Accent3 14 2 3 4" xfId="20109"/>
    <cellStyle name="40% - Accent3 14 2 4" xfId="5949"/>
    <cellStyle name="40% - Accent3 14 2 4 2" xfId="13933"/>
    <cellStyle name="40% - Accent3 14 2 4 3" xfId="21881"/>
    <cellStyle name="40% - Accent3 14 2 5" xfId="9502"/>
    <cellStyle name="40% - Accent3 14 2 5 2" xfId="17460"/>
    <cellStyle name="40% - Accent3 14 2 5 3" xfId="25404"/>
    <cellStyle name="40% - Accent3 14 2 6" xfId="10398"/>
    <cellStyle name="40% - Accent3 14 2 7" xfId="18353"/>
    <cellStyle name="40% - Accent3 14 2_Exh G" xfId="2966"/>
    <cellStyle name="40% - Accent3 14 3" xfId="1477"/>
    <cellStyle name="40% - Accent3 14 3 2" xfId="5007"/>
    <cellStyle name="40% - Accent3 14 3 2 2" xfId="8598"/>
    <cellStyle name="40% - Accent3 14 3 2 2 2" xfId="16569"/>
    <cellStyle name="40% - Accent3 14 3 2 2 3" xfId="24515"/>
    <cellStyle name="40% - Accent3 14 3 2 3" xfId="13031"/>
    <cellStyle name="40% - Accent3 14 3 2 4" xfId="20986"/>
    <cellStyle name="40% - Accent3 14 3 3" xfId="6839"/>
    <cellStyle name="40% - Accent3 14 3 3 2" xfId="14811"/>
    <cellStyle name="40% - Accent3 14 3 3 3" xfId="22758"/>
    <cellStyle name="40% - Accent3 14 3 4" xfId="11275"/>
    <cellStyle name="40% - Accent3 14 3 5" xfId="19230"/>
    <cellStyle name="40% - Accent3 14 3_Exh G" xfId="2968"/>
    <cellStyle name="40% - Accent3 14 4" xfId="4128"/>
    <cellStyle name="40% - Accent3 14 4 2" xfId="7720"/>
    <cellStyle name="40% - Accent3 14 4 2 2" xfId="15691"/>
    <cellStyle name="40% - Accent3 14 4 2 3" xfId="23637"/>
    <cellStyle name="40% - Accent3 14 4 3" xfId="12153"/>
    <cellStyle name="40% - Accent3 14 4 4" xfId="20108"/>
    <cellStyle name="40% - Accent3 14 5" xfId="5948"/>
    <cellStyle name="40% - Accent3 14 5 2" xfId="13932"/>
    <cellStyle name="40% - Accent3 14 5 3" xfId="21880"/>
    <cellStyle name="40% - Accent3 14 6" xfId="9501"/>
    <cellStyle name="40% - Accent3 14 6 2" xfId="17459"/>
    <cellStyle name="40% - Accent3 14 6 3" xfId="25403"/>
    <cellStyle name="40% - Accent3 14 7" xfId="10397"/>
    <cellStyle name="40% - Accent3 14 8" xfId="18352"/>
    <cellStyle name="40% - Accent3 14_Exh G" xfId="2965"/>
    <cellStyle name="40% - Accent3 15" xfId="451"/>
    <cellStyle name="40% - Accent3 15 2" xfId="1479"/>
    <cellStyle name="40% - Accent3 15 2 2" xfId="5009"/>
    <cellStyle name="40% - Accent3 15 2 2 2" xfId="8600"/>
    <cellStyle name="40% - Accent3 15 2 2 2 2" xfId="16571"/>
    <cellStyle name="40% - Accent3 15 2 2 2 3" xfId="24517"/>
    <cellStyle name="40% - Accent3 15 2 2 3" xfId="13033"/>
    <cellStyle name="40% - Accent3 15 2 2 4" xfId="20988"/>
    <cellStyle name="40% - Accent3 15 2 3" xfId="6841"/>
    <cellStyle name="40% - Accent3 15 2 3 2" xfId="14813"/>
    <cellStyle name="40% - Accent3 15 2 3 3" xfId="22760"/>
    <cellStyle name="40% - Accent3 15 2 4" xfId="11277"/>
    <cellStyle name="40% - Accent3 15 2 5" xfId="19232"/>
    <cellStyle name="40% - Accent3 15 2_Exh G" xfId="2970"/>
    <cellStyle name="40% - Accent3 15 3" xfId="4130"/>
    <cellStyle name="40% - Accent3 15 3 2" xfId="7722"/>
    <cellStyle name="40% - Accent3 15 3 2 2" xfId="15693"/>
    <cellStyle name="40% - Accent3 15 3 2 3" xfId="23639"/>
    <cellStyle name="40% - Accent3 15 3 3" xfId="12155"/>
    <cellStyle name="40% - Accent3 15 3 4" xfId="20110"/>
    <cellStyle name="40% - Accent3 15 4" xfId="5950"/>
    <cellStyle name="40% - Accent3 15 4 2" xfId="13934"/>
    <cellStyle name="40% - Accent3 15 4 3" xfId="21882"/>
    <cellStyle name="40% - Accent3 15 5" xfId="9503"/>
    <cellStyle name="40% - Accent3 15 5 2" xfId="17461"/>
    <cellStyle name="40% - Accent3 15 5 3" xfId="25405"/>
    <cellStyle name="40% - Accent3 15 6" xfId="10399"/>
    <cellStyle name="40% - Accent3 15 7" xfId="18354"/>
    <cellStyle name="40% - Accent3 15_Exh G" xfId="2969"/>
    <cellStyle name="40% - Accent3 16" xfId="851"/>
    <cellStyle name="40% - Accent3 16 2" xfId="1790"/>
    <cellStyle name="40% - Accent3 16 2 2" xfId="5311"/>
    <cellStyle name="40% - Accent3 16 2 2 2" xfId="8902"/>
    <cellStyle name="40% - Accent3 16 2 2 2 2" xfId="16873"/>
    <cellStyle name="40% - Accent3 16 2 2 2 3" xfId="24819"/>
    <cellStyle name="40% - Accent3 16 2 2 3" xfId="13335"/>
    <cellStyle name="40% - Accent3 16 2 2 4" xfId="21290"/>
    <cellStyle name="40% - Accent3 16 2 3" xfId="7143"/>
    <cellStyle name="40% - Accent3 16 2 3 2" xfId="15115"/>
    <cellStyle name="40% - Accent3 16 2 3 3" xfId="23062"/>
    <cellStyle name="40% - Accent3 16 2 4" xfId="11579"/>
    <cellStyle name="40% - Accent3 16 2 5" xfId="19534"/>
    <cellStyle name="40% - Accent3 16 2_Exh G" xfId="2972"/>
    <cellStyle name="40% - Accent3 16 3" xfId="4432"/>
    <cellStyle name="40% - Accent3 16 3 2" xfId="8024"/>
    <cellStyle name="40% - Accent3 16 3 2 2" xfId="15995"/>
    <cellStyle name="40% - Accent3 16 3 2 3" xfId="23941"/>
    <cellStyle name="40% - Accent3 16 3 3" xfId="12457"/>
    <cellStyle name="40% - Accent3 16 3 4" xfId="20412"/>
    <cellStyle name="40% - Accent3 16 4" xfId="6262"/>
    <cellStyle name="40% - Accent3 16 4 2" xfId="14237"/>
    <cellStyle name="40% - Accent3 16 4 3" xfId="22184"/>
    <cellStyle name="40% - Accent3 16 5" xfId="9805"/>
    <cellStyle name="40% - Accent3 16 5 2" xfId="17763"/>
    <cellStyle name="40% - Accent3 16 5 3" xfId="25707"/>
    <cellStyle name="40% - Accent3 16 6" xfId="10701"/>
    <cellStyle name="40% - Accent3 16 7" xfId="18656"/>
    <cellStyle name="40% - Accent3 16_Exh G" xfId="2971"/>
    <cellStyle name="40% - Accent3 2" xfId="452"/>
    <cellStyle name="40% - Accent3 2 10" xfId="18355"/>
    <cellStyle name="40% - Accent3 2 2" xfId="453"/>
    <cellStyle name="40% - Accent3 2 2 2" xfId="454"/>
    <cellStyle name="40% - Accent3 2 2 2 2" xfId="1482"/>
    <cellStyle name="40% - Accent3 2 2 2 2 2" xfId="5012"/>
    <cellStyle name="40% - Accent3 2 2 2 2 2 2" xfId="8603"/>
    <cellStyle name="40% - Accent3 2 2 2 2 2 2 2" xfId="16574"/>
    <cellStyle name="40% - Accent3 2 2 2 2 2 2 3" xfId="24520"/>
    <cellStyle name="40% - Accent3 2 2 2 2 2 3" xfId="13036"/>
    <cellStyle name="40% - Accent3 2 2 2 2 2 4" xfId="20991"/>
    <cellStyle name="40% - Accent3 2 2 2 2 3" xfId="6844"/>
    <cellStyle name="40% - Accent3 2 2 2 2 3 2" xfId="14816"/>
    <cellStyle name="40% - Accent3 2 2 2 2 3 3" xfId="22763"/>
    <cellStyle name="40% - Accent3 2 2 2 2 4" xfId="11280"/>
    <cellStyle name="40% - Accent3 2 2 2 2 5" xfId="19235"/>
    <cellStyle name="40% - Accent3 2 2 2 2_Exh G" xfId="2976"/>
    <cellStyle name="40% - Accent3 2 2 2 3" xfId="4133"/>
    <cellStyle name="40% - Accent3 2 2 2 3 2" xfId="7725"/>
    <cellStyle name="40% - Accent3 2 2 2 3 2 2" xfId="15696"/>
    <cellStyle name="40% - Accent3 2 2 2 3 2 3" xfId="23642"/>
    <cellStyle name="40% - Accent3 2 2 2 3 3" xfId="12158"/>
    <cellStyle name="40% - Accent3 2 2 2 3 4" xfId="20113"/>
    <cellStyle name="40% - Accent3 2 2 2 4" xfId="5953"/>
    <cellStyle name="40% - Accent3 2 2 2 4 2" xfId="13937"/>
    <cellStyle name="40% - Accent3 2 2 2 4 3" xfId="21885"/>
    <cellStyle name="40% - Accent3 2 2 2 5" xfId="9506"/>
    <cellStyle name="40% - Accent3 2 2 2 5 2" xfId="17464"/>
    <cellStyle name="40% - Accent3 2 2 2 5 3" xfId="25408"/>
    <cellStyle name="40% - Accent3 2 2 2 6" xfId="10402"/>
    <cellStyle name="40% - Accent3 2 2 2 7" xfId="18357"/>
    <cellStyle name="40% - Accent3 2 2 2_Exh G" xfId="2975"/>
    <cellStyle name="40% - Accent3 2 2 3" xfId="960"/>
    <cellStyle name="40% - Accent3 2 2 3 2" xfId="1880"/>
    <cellStyle name="40% - Accent3 2 2 3 2 2" xfId="5398"/>
    <cellStyle name="40% - Accent3 2 2 3 2 2 2" xfId="8989"/>
    <cellStyle name="40% - Accent3 2 2 3 2 2 2 2" xfId="16960"/>
    <cellStyle name="40% - Accent3 2 2 3 2 2 2 3" xfId="24906"/>
    <cellStyle name="40% - Accent3 2 2 3 2 2 3" xfId="13422"/>
    <cellStyle name="40% - Accent3 2 2 3 2 2 4" xfId="21377"/>
    <cellStyle name="40% - Accent3 2 2 3 2 3" xfId="7230"/>
    <cellStyle name="40% - Accent3 2 2 3 2 3 2" xfId="15202"/>
    <cellStyle name="40% - Accent3 2 2 3 2 3 3" xfId="23149"/>
    <cellStyle name="40% - Accent3 2 2 3 2 4" xfId="11666"/>
    <cellStyle name="40% - Accent3 2 2 3 2 5" xfId="19621"/>
    <cellStyle name="40% - Accent3 2 2 3 2_Exh G" xfId="2978"/>
    <cellStyle name="40% - Accent3 2 2 3 3" xfId="4519"/>
    <cellStyle name="40% - Accent3 2 2 3 3 2" xfId="8111"/>
    <cellStyle name="40% - Accent3 2 2 3 3 2 2" xfId="16082"/>
    <cellStyle name="40% - Accent3 2 2 3 3 2 3" xfId="24028"/>
    <cellStyle name="40% - Accent3 2 2 3 3 3" xfId="12544"/>
    <cellStyle name="40% - Accent3 2 2 3 3 4" xfId="20499"/>
    <cellStyle name="40% - Accent3 2 2 3 4" xfId="6349"/>
    <cellStyle name="40% - Accent3 2 2 3 4 2" xfId="14324"/>
    <cellStyle name="40% - Accent3 2 2 3 4 3" xfId="22271"/>
    <cellStyle name="40% - Accent3 2 2 3 5" xfId="9892"/>
    <cellStyle name="40% - Accent3 2 2 3 5 2" xfId="17850"/>
    <cellStyle name="40% - Accent3 2 2 3 5 3" xfId="25794"/>
    <cellStyle name="40% - Accent3 2 2 3 6" xfId="10788"/>
    <cellStyle name="40% - Accent3 2 2 3 7" xfId="18743"/>
    <cellStyle name="40% - Accent3 2 2 3_Exh G" xfId="2977"/>
    <cellStyle name="40% - Accent3 2 2 4" xfId="1481"/>
    <cellStyle name="40% - Accent3 2 2 4 2" xfId="5011"/>
    <cellStyle name="40% - Accent3 2 2 4 2 2" xfId="8602"/>
    <cellStyle name="40% - Accent3 2 2 4 2 2 2" xfId="16573"/>
    <cellStyle name="40% - Accent3 2 2 4 2 2 3" xfId="24519"/>
    <cellStyle name="40% - Accent3 2 2 4 2 3" xfId="13035"/>
    <cellStyle name="40% - Accent3 2 2 4 2 4" xfId="20990"/>
    <cellStyle name="40% - Accent3 2 2 4 3" xfId="6843"/>
    <cellStyle name="40% - Accent3 2 2 4 3 2" xfId="14815"/>
    <cellStyle name="40% - Accent3 2 2 4 3 3" xfId="22762"/>
    <cellStyle name="40% - Accent3 2 2 4 4" xfId="11279"/>
    <cellStyle name="40% - Accent3 2 2 4 5" xfId="19234"/>
    <cellStyle name="40% - Accent3 2 2 4_Exh G" xfId="2979"/>
    <cellStyle name="40% - Accent3 2 2 5" xfId="4132"/>
    <cellStyle name="40% - Accent3 2 2 5 2" xfId="7724"/>
    <cellStyle name="40% - Accent3 2 2 5 2 2" xfId="15695"/>
    <cellStyle name="40% - Accent3 2 2 5 2 3" xfId="23641"/>
    <cellStyle name="40% - Accent3 2 2 5 3" xfId="12157"/>
    <cellStyle name="40% - Accent3 2 2 5 4" xfId="20112"/>
    <cellStyle name="40% - Accent3 2 2 6" xfId="5952"/>
    <cellStyle name="40% - Accent3 2 2 6 2" xfId="13936"/>
    <cellStyle name="40% - Accent3 2 2 6 3" xfId="21884"/>
    <cellStyle name="40% - Accent3 2 2 7" xfId="9505"/>
    <cellStyle name="40% - Accent3 2 2 7 2" xfId="17463"/>
    <cellStyle name="40% - Accent3 2 2 7 3" xfId="25407"/>
    <cellStyle name="40% - Accent3 2 2 8" xfId="10401"/>
    <cellStyle name="40% - Accent3 2 2 9" xfId="18356"/>
    <cellStyle name="40% - Accent3 2 2_Exh G" xfId="2974"/>
    <cellStyle name="40% - Accent3 2 3" xfId="455"/>
    <cellStyle name="40% - Accent3 2 3 2" xfId="1483"/>
    <cellStyle name="40% - Accent3 2 3 2 2" xfId="5013"/>
    <cellStyle name="40% - Accent3 2 3 2 2 2" xfId="8604"/>
    <cellStyle name="40% - Accent3 2 3 2 2 2 2" xfId="16575"/>
    <cellStyle name="40% - Accent3 2 3 2 2 2 3" xfId="24521"/>
    <cellStyle name="40% - Accent3 2 3 2 2 3" xfId="13037"/>
    <cellStyle name="40% - Accent3 2 3 2 2 4" xfId="20992"/>
    <cellStyle name="40% - Accent3 2 3 2 3" xfId="6845"/>
    <cellStyle name="40% - Accent3 2 3 2 3 2" xfId="14817"/>
    <cellStyle name="40% - Accent3 2 3 2 3 3" xfId="22764"/>
    <cellStyle name="40% - Accent3 2 3 2 4" xfId="11281"/>
    <cellStyle name="40% - Accent3 2 3 2 5" xfId="19236"/>
    <cellStyle name="40% - Accent3 2 3 2_Exh G" xfId="2981"/>
    <cellStyle name="40% - Accent3 2 3 3" xfId="4134"/>
    <cellStyle name="40% - Accent3 2 3 3 2" xfId="7726"/>
    <cellStyle name="40% - Accent3 2 3 3 2 2" xfId="15697"/>
    <cellStyle name="40% - Accent3 2 3 3 2 3" xfId="23643"/>
    <cellStyle name="40% - Accent3 2 3 3 3" xfId="12159"/>
    <cellStyle name="40% - Accent3 2 3 3 4" xfId="20114"/>
    <cellStyle name="40% - Accent3 2 3 4" xfId="5954"/>
    <cellStyle name="40% - Accent3 2 3 4 2" xfId="13938"/>
    <cellStyle name="40% - Accent3 2 3 4 3" xfId="21886"/>
    <cellStyle name="40% - Accent3 2 3 5" xfId="9507"/>
    <cellStyle name="40% - Accent3 2 3 5 2" xfId="17465"/>
    <cellStyle name="40% - Accent3 2 3 5 3" xfId="25409"/>
    <cellStyle name="40% - Accent3 2 3 6" xfId="10403"/>
    <cellStyle name="40% - Accent3 2 3 7" xfId="18358"/>
    <cellStyle name="40% - Accent3 2 3_Exh G" xfId="2980"/>
    <cellStyle name="40% - Accent3 2 4" xfId="959"/>
    <cellStyle name="40% - Accent3 2 4 2" xfId="1879"/>
    <cellStyle name="40% - Accent3 2 4 2 2" xfId="5397"/>
    <cellStyle name="40% - Accent3 2 4 2 2 2" xfId="8988"/>
    <cellStyle name="40% - Accent3 2 4 2 2 2 2" xfId="16959"/>
    <cellStyle name="40% - Accent3 2 4 2 2 2 3" xfId="24905"/>
    <cellStyle name="40% - Accent3 2 4 2 2 3" xfId="13421"/>
    <cellStyle name="40% - Accent3 2 4 2 2 4" xfId="21376"/>
    <cellStyle name="40% - Accent3 2 4 2 3" xfId="7229"/>
    <cellStyle name="40% - Accent3 2 4 2 3 2" xfId="15201"/>
    <cellStyle name="40% - Accent3 2 4 2 3 3" xfId="23148"/>
    <cellStyle name="40% - Accent3 2 4 2 4" xfId="11665"/>
    <cellStyle name="40% - Accent3 2 4 2 5" xfId="19620"/>
    <cellStyle name="40% - Accent3 2 4 2_Exh G" xfId="2983"/>
    <cellStyle name="40% - Accent3 2 4 3" xfId="4518"/>
    <cellStyle name="40% - Accent3 2 4 3 2" xfId="8110"/>
    <cellStyle name="40% - Accent3 2 4 3 2 2" xfId="16081"/>
    <cellStyle name="40% - Accent3 2 4 3 2 3" xfId="24027"/>
    <cellStyle name="40% - Accent3 2 4 3 3" xfId="12543"/>
    <cellStyle name="40% - Accent3 2 4 3 4" xfId="20498"/>
    <cellStyle name="40% - Accent3 2 4 4" xfId="6348"/>
    <cellStyle name="40% - Accent3 2 4 4 2" xfId="14323"/>
    <cellStyle name="40% - Accent3 2 4 4 3" xfId="22270"/>
    <cellStyle name="40% - Accent3 2 4 5" xfId="9891"/>
    <cellStyle name="40% - Accent3 2 4 5 2" xfId="17849"/>
    <cellStyle name="40% - Accent3 2 4 5 3" xfId="25793"/>
    <cellStyle name="40% - Accent3 2 4 6" xfId="10787"/>
    <cellStyle name="40% - Accent3 2 4 7" xfId="18742"/>
    <cellStyle name="40% - Accent3 2 4_Exh G" xfId="2982"/>
    <cellStyle name="40% - Accent3 2 5" xfId="1480"/>
    <cellStyle name="40% - Accent3 2 5 2" xfId="5010"/>
    <cellStyle name="40% - Accent3 2 5 2 2" xfId="8601"/>
    <cellStyle name="40% - Accent3 2 5 2 2 2" xfId="16572"/>
    <cellStyle name="40% - Accent3 2 5 2 2 3" xfId="24518"/>
    <cellStyle name="40% - Accent3 2 5 2 3" xfId="13034"/>
    <cellStyle name="40% - Accent3 2 5 2 4" xfId="20989"/>
    <cellStyle name="40% - Accent3 2 5 3" xfId="6842"/>
    <cellStyle name="40% - Accent3 2 5 3 2" xfId="14814"/>
    <cellStyle name="40% - Accent3 2 5 3 3" xfId="22761"/>
    <cellStyle name="40% - Accent3 2 5 4" xfId="11278"/>
    <cellStyle name="40% - Accent3 2 5 5" xfId="19233"/>
    <cellStyle name="40% - Accent3 2 5_Exh G" xfId="2984"/>
    <cellStyle name="40% - Accent3 2 6" xfId="4131"/>
    <cellStyle name="40% - Accent3 2 6 2" xfId="7723"/>
    <cellStyle name="40% - Accent3 2 6 2 2" xfId="15694"/>
    <cellStyle name="40% - Accent3 2 6 2 3" xfId="23640"/>
    <cellStyle name="40% - Accent3 2 6 3" xfId="12156"/>
    <cellStyle name="40% - Accent3 2 6 4" xfId="20111"/>
    <cellStyle name="40% - Accent3 2 7" xfId="5951"/>
    <cellStyle name="40% - Accent3 2 7 2" xfId="13935"/>
    <cellStyle name="40% - Accent3 2 7 3" xfId="21883"/>
    <cellStyle name="40% - Accent3 2 8" xfId="9504"/>
    <cellStyle name="40% - Accent3 2 8 2" xfId="17462"/>
    <cellStyle name="40% - Accent3 2 8 3" xfId="25406"/>
    <cellStyle name="40% - Accent3 2 9" xfId="10400"/>
    <cellStyle name="40% - Accent3 2_Exh G" xfId="2973"/>
    <cellStyle name="40% - Accent3 3" xfId="456"/>
    <cellStyle name="40% - Accent3 3 10" xfId="18359"/>
    <cellStyle name="40% - Accent3 3 2" xfId="457"/>
    <cellStyle name="40% - Accent3 3 2 2" xfId="458"/>
    <cellStyle name="40% - Accent3 3 2 2 2" xfId="1486"/>
    <cellStyle name="40% - Accent3 3 2 2 2 2" xfId="5016"/>
    <cellStyle name="40% - Accent3 3 2 2 2 2 2" xfId="8607"/>
    <cellStyle name="40% - Accent3 3 2 2 2 2 2 2" xfId="16578"/>
    <cellStyle name="40% - Accent3 3 2 2 2 2 2 3" xfId="24524"/>
    <cellStyle name="40% - Accent3 3 2 2 2 2 3" xfId="13040"/>
    <cellStyle name="40% - Accent3 3 2 2 2 2 4" xfId="20995"/>
    <cellStyle name="40% - Accent3 3 2 2 2 3" xfId="6848"/>
    <cellStyle name="40% - Accent3 3 2 2 2 3 2" xfId="14820"/>
    <cellStyle name="40% - Accent3 3 2 2 2 3 3" xfId="22767"/>
    <cellStyle name="40% - Accent3 3 2 2 2 4" xfId="11284"/>
    <cellStyle name="40% - Accent3 3 2 2 2 5" xfId="19239"/>
    <cellStyle name="40% - Accent3 3 2 2 2_Exh G" xfId="2988"/>
    <cellStyle name="40% - Accent3 3 2 2 3" xfId="4137"/>
    <cellStyle name="40% - Accent3 3 2 2 3 2" xfId="7729"/>
    <cellStyle name="40% - Accent3 3 2 2 3 2 2" xfId="15700"/>
    <cellStyle name="40% - Accent3 3 2 2 3 2 3" xfId="23646"/>
    <cellStyle name="40% - Accent3 3 2 2 3 3" xfId="12162"/>
    <cellStyle name="40% - Accent3 3 2 2 3 4" xfId="20117"/>
    <cellStyle name="40% - Accent3 3 2 2 4" xfId="5957"/>
    <cellStyle name="40% - Accent3 3 2 2 4 2" xfId="13941"/>
    <cellStyle name="40% - Accent3 3 2 2 4 3" xfId="21889"/>
    <cellStyle name="40% - Accent3 3 2 2 5" xfId="9510"/>
    <cellStyle name="40% - Accent3 3 2 2 5 2" xfId="17468"/>
    <cellStyle name="40% - Accent3 3 2 2 5 3" xfId="25412"/>
    <cellStyle name="40% - Accent3 3 2 2 6" xfId="10406"/>
    <cellStyle name="40% - Accent3 3 2 2 7" xfId="18361"/>
    <cellStyle name="40% - Accent3 3 2 2_Exh G" xfId="2987"/>
    <cellStyle name="40% - Accent3 3 2 3" xfId="962"/>
    <cellStyle name="40% - Accent3 3 2 3 2" xfId="1882"/>
    <cellStyle name="40% - Accent3 3 2 3 2 2" xfId="5400"/>
    <cellStyle name="40% - Accent3 3 2 3 2 2 2" xfId="8991"/>
    <cellStyle name="40% - Accent3 3 2 3 2 2 2 2" xfId="16962"/>
    <cellStyle name="40% - Accent3 3 2 3 2 2 2 3" xfId="24908"/>
    <cellStyle name="40% - Accent3 3 2 3 2 2 3" xfId="13424"/>
    <cellStyle name="40% - Accent3 3 2 3 2 2 4" xfId="21379"/>
    <cellStyle name="40% - Accent3 3 2 3 2 3" xfId="7232"/>
    <cellStyle name="40% - Accent3 3 2 3 2 3 2" xfId="15204"/>
    <cellStyle name="40% - Accent3 3 2 3 2 3 3" xfId="23151"/>
    <cellStyle name="40% - Accent3 3 2 3 2 4" xfId="11668"/>
    <cellStyle name="40% - Accent3 3 2 3 2 5" xfId="19623"/>
    <cellStyle name="40% - Accent3 3 2 3 2_Exh G" xfId="2990"/>
    <cellStyle name="40% - Accent3 3 2 3 3" xfId="4521"/>
    <cellStyle name="40% - Accent3 3 2 3 3 2" xfId="8113"/>
    <cellStyle name="40% - Accent3 3 2 3 3 2 2" xfId="16084"/>
    <cellStyle name="40% - Accent3 3 2 3 3 2 3" xfId="24030"/>
    <cellStyle name="40% - Accent3 3 2 3 3 3" xfId="12546"/>
    <cellStyle name="40% - Accent3 3 2 3 3 4" xfId="20501"/>
    <cellStyle name="40% - Accent3 3 2 3 4" xfId="6351"/>
    <cellStyle name="40% - Accent3 3 2 3 4 2" xfId="14326"/>
    <cellStyle name="40% - Accent3 3 2 3 4 3" xfId="22273"/>
    <cellStyle name="40% - Accent3 3 2 3 5" xfId="9894"/>
    <cellStyle name="40% - Accent3 3 2 3 5 2" xfId="17852"/>
    <cellStyle name="40% - Accent3 3 2 3 5 3" xfId="25796"/>
    <cellStyle name="40% - Accent3 3 2 3 6" xfId="10790"/>
    <cellStyle name="40% - Accent3 3 2 3 7" xfId="18745"/>
    <cellStyle name="40% - Accent3 3 2 3_Exh G" xfId="2989"/>
    <cellStyle name="40% - Accent3 3 2 4" xfId="1485"/>
    <cellStyle name="40% - Accent3 3 2 4 2" xfId="5015"/>
    <cellStyle name="40% - Accent3 3 2 4 2 2" xfId="8606"/>
    <cellStyle name="40% - Accent3 3 2 4 2 2 2" xfId="16577"/>
    <cellStyle name="40% - Accent3 3 2 4 2 2 3" xfId="24523"/>
    <cellStyle name="40% - Accent3 3 2 4 2 3" xfId="13039"/>
    <cellStyle name="40% - Accent3 3 2 4 2 4" xfId="20994"/>
    <cellStyle name="40% - Accent3 3 2 4 3" xfId="6847"/>
    <cellStyle name="40% - Accent3 3 2 4 3 2" xfId="14819"/>
    <cellStyle name="40% - Accent3 3 2 4 3 3" xfId="22766"/>
    <cellStyle name="40% - Accent3 3 2 4 4" xfId="11283"/>
    <cellStyle name="40% - Accent3 3 2 4 5" xfId="19238"/>
    <cellStyle name="40% - Accent3 3 2 4_Exh G" xfId="2991"/>
    <cellStyle name="40% - Accent3 3 2 5" xfId="4136"/>
    <cellStyle name="40% - Accent3 3 2 5 2" xfId="7728"/>
    <cellStyle name="40% - Accent3 3 2 5 2 2" xfId="15699"/>
    <cellStyle name="40% - Accent3 3 2 5 2 3" xfId="23645"/>
    <cellStyle name="40% - Accent3 3 2 5 3" xfId="12161"/>
    <cellStyle name="40% - Accent3 3 2 5 4" xfId="20116"/>
    <cellStyle name="40% - Accent3 3 2 6" xfId="5956"/>
    <cellStyle name="40% - Accent3 3 2 6 2" xfId="13940"/>
    <cellStyle name="40% - Accent3 3 2 6 3" xfId="21888"/>
    <cellStyle name="40% - Accent3 3 2 7" xfId="9509"/>
    <cellStyle name="40% - Accent3 3 2 7 2" xfId="17467"/>
    <cellStyle name="40% - Accent3 3 2 7 3" xfId="25411"/>
    <cellStyle name="40% - Accent3 3 2 8" xfId="10405"/>
    <cellStyle name="40% - Accent3 3 2 9" xfId="18360"/>
    <cellStyle name="40% - Accent3 3 2_Exh G" xfId="2986"/>
    <cellStyle name="40% - Accent3 3 3" xfId="459"/>
    <cellStyle name="40% - Accent3 3 3 2" xfId="1487"/>
    <cellStyle name="40% - Accent3 3 3 2 2" xfId="5017"/>
    <cellStyle name="40% - Accent3 3 3 2 2 2" xfId="8608"/>
    <cellStyle name="40% - Accent3 3 3 2 2 2 2" xfId="16579"/>
    <cellStyle name="40% - Accent3 3 3 2 2 2 3" xfId="24525"/>
    <cellStyle name="40% - Accent3 3 3 2 2 3" xfId="13041"/>
    <cellStyle name="40% - Accent3 3 3 2 2 4" xfId="20996"/>
    <cellStyle name="40% - Accent3 3 3 2 3" xfId="6849"/>
    <cellStyle name="40% - Accent3 3 3 2 3 2" xfId="14821"/>
    <cellStyle name="40% - Accent3 3 3 2 3 3" xfId="22768"/>
    <cellStyle name="40% - Accent3 3 3 2 4" xfId="11285"/>
    <cellStyle name="40% - Accent3 3 3 2 5" xfId="19240"/>
    <cellStyle name="40% - Accent3 3 3 2_Exh G" xfId="2993"/>
    <cellStyle name="40% - Accent3 3 3 3" xfId="4138"/>
    <cellStyle name="40% - Accent3 3 3 3 2" xfId="7730"/>
    <cellStyle name="40% - Accent3 3 3 3 2 2" xfId="15701"/>
    <cellStyle name="40% - Accent3 3 3 3 2 3" xfId="23647"/>
    <cellStyle name="40% - Accent3 3 3 3 3" xfId="12163"/>
    <cellStyle name="40% - Accent3 3 3 3 4" xfId="20118"/>
    <cellStyle name="40% - Accent3 3 3 4" xfId="5958"/>
    <cellStyle name="40% - Accent3 3 3 4 2" xfId="13942"/>
    <cellStyle name="40% - Accent3 3 3 4 3" xfId="21890"/>
    <cellStyle name="40% - Accent3 3 3 5" xfId="9511"/>
    <cellStyle name="40% - Accent3 3 3 5 2" xfId="17469"/>
    <cellStyle name="40% - Accent3 3 3 5 3" xfId="25413"/>
    <cellStyle name="40% - Accent3 3 3 6" xfId="10407"/>
    <cellStyle name="40% - Accent3 3 3 7" xfId="18362"/>
    <cellStyle name="40% - Accent3 3 3_Exh G" xfId="2992"/>
    <cellStyle name="40% - Accent3 3 4" xfId="961"/>
    <cellStyle name="40% - Accent3 3 4 2" xfId="1881"/>
    <cellStyle name="40% - Accent3 3 4 2 2" xfId="5399"/>
    <cellStyle name="40% - Accent3 3 4 2 2 2" xfId="8990"/>
    <cellStyle name="40% - Accent3 3 4 2 2 2 2" xfId="16961"/>
    <cellStyle name="40% - Accent3 3 4 2 2 2 3" xfId="24907"/>
    <cellStyle name="40% - Accent3 3 4 2 2 3" xfId="13423"/>
    <cellStyle name="40% - Accent3 3 4 2 2 4" xfId="21378"/>
    <cellStyle name="40% - Accent3 3 4 2 3" xfId="7231"/>
    <cellStyle name="40% - Accent3 3 4 2 3 2" xfId="15203"/>
    <cellStyle name="40% - Accent3 3 4 2 3 3" xfId="23150"/>
    <cellStyle name="40% - Accent3 3 4 2 4" xfId="11667"/>
    <cellStyle name="40% - Accent3 3 4 2 5" xfId="19622"/>
    <cellStyle name="40% - Accent3 3 4 2_Exh G" xfId="2995"/>
    <cellStyle name="40% - Accent3 3 4 3" xfId="4520"/>
    <cellStyle name="40% - Accent3 3 4 3 2" xfId="8112"/>
    <cellStyle name="40% - Accent3 3 4 3 2 2" xfId="16083"/>
    <cellStyle name="40% - Accent3 3 4 3 2 3" xfId="24029"/>
    <cellStyle name="40% - Accent3 3 4 3 3" xfId="12545"/>
    <cellStyle name="40% - Accent3 3 4 3 4" xfId="20500"/>
    <cellStyle name="40% - Accent3 3 4 4" xfId="6350"/>
    <cellStyle name="40% - Accent3 3 4 4 2" xfId="14325"/>
    <cellStyle name="40% - Accent3 3 4 4 3" xfId="22272"/>
    <cellStyle name="40% - Accent3 3 4 5" xfId="9893"/>
    <cellStyle name="40% - Accent3 3 4 5 2" xfId="17851"/>
    <cellStyle name="40% - Accent3 3 4 5 3" xfId="25795"/>
    <cellStyle name="40% - Accent3 3 4 6" xfId="10789"/>
    <cellStyle name="40% - Accent3 3 4 7" xfId="18744"/>
    <cellStyle name="40% - Accent3 3 4_Exh G" xfId="2994"/>
    <cellStyle name="40% - Accent3 3 5" xfId="1484"/>
    <cellStyle name="40% - Accent3 3 5 2" xfId="5014"/>
    <cellStyle name="40% - Accent3 3 5 2 2" xfId="8605"/>
    <cellStyle name="40% - Accent3 3 5 2 2 2" xfId="16576"/>
    <cellStyle name="40% - Accent3 3 5 2 2 3" xfId="24522"/>
    <cellStyle name="40% - Accent3 3 5 2 3" xfId="13038"/>
    <cellStyle name="40% - Accent3 3 5 2 4" xfId="20993"/>
    <cellStyle name="40% - Accent3 3 5 3" xfId="6846"/>
    <cellStyle name="40% - Accent3 3 5 3 2" xfId="14818"/>
    <cellStyle name="40% - Accent3 3 5 3 3" xfId="22765"/>
    <cellStyle name="40% - Accent3 3 5 4" xfId="11282"/>
    <cellStyle name="40% - Accent3 3 5 5" xfId="19237"/>
    <cellStyle name="40% - Accent3 3 5_Exh G" xfId="2996"/>
    <cellStyle name="40% - Accent3 3 6" xfId="4135"/>
    <cellStyle name="40% - Accent3 3 6 2" xfId="7727"/>
    <cellStyle name="40% - Accent3 3 6 2 2" xfId="15698"/>
    <cellStyle name="40% - Accent3 3 6 2 3" xfId="23644"/>
    <cellStyle name="40% - Accent3 3 6 3" xfId="12160"/>
    <cellStyle name="40% - Accent3 3 6 4" xfId="20115"/>
    <cellStyle name="40% - Accent3 3 7" xfId="5955"/>
    <cellStyle name="40% - Accent3 3 7 2" xfId="13939"/>
    <cellStyle name="40% - Accent3 3 7 3" xfId="21887"/>
    <cellStyle name="40% - Accent3 3 8" xfId="9508"/>
    <cellStyle name="40% - Accent3 3 8 2" xfId="17466"/>
    <cellStyle name="40% - Accent3 3 8 3" xfId="25410"/>
    <cellStyle name="40% - Accent3 3 9" xfId="10404"/>
    <cellStyle name="40% - Accent3 3_Exh G" xfId="2985"/>
    <cellStyle name="40% - Accent3 4" xfId="460"/>
    <cellStyle name="40% - Accent3 4 10" xfId="18363"/>
    <cellStyle name="40% - Accent3 4 2" xfId="461"/>
    <cellStyle name="40% - Accent3 4 2 2" xfId="462"/>
    <cellStyle name="40% - Accent3 4 2 2 2" xfId="1490"/>
    <cellStyle name="40% - Accent3 4 2 2 2 2" xfId="5020"/>
    <cellStyle name="40% - Accent3 4 2 2 2 2 2" xfId="8611"/>
    <cellStyle name="40% - Accent3 4 2 2 2 2 2 2" xfId="16582"/>
    <cellStyle name="40% - Accent3 4 2 2 2 2 2 3" xfId="24528"/>
    <cellStyle name="40% - Accent3 4 2 2 2 2 3" xfId="13044"/>
    <cellStyle name="40% - Accent3 4 2 2 2 2 4" xfId="20999"/>
    <cellStyle name="40% - Accent3 4 2 2 2 3" xfId="6852"/>
    <cellStyle name="40% - Accent3 4 2 2 2 3 2" xfId="14824"/>
    <cellStyle name="40% - Accent3 4 2 2 2 3 3" xfId="22771"/>
    <cellStyle name="40% - Accent3 4 2 2 2 4" xfId="11288"/>
    <cellStyle name="40% - Accent3 4 2 2 2 5" xfId="19243"/>
    <cellStyle name="40% - Accent3 4 2 2 2_Exh G" xfId="3000"/>
    <cellStyle name="40% - Accent3 4 2 2 3" xfId="4141"/>
    <cellStyle name="40% - Accent3 4 2 2 3 2" xfId="7733"/>
    <cellStyle name="40% - Accent3 4 2 2 3 2 2" xfId="15704"/>
    <cellStyle name="40% - Accent3 4 2 2 3 2 3" xfId="23650"/>
    <cellStyle name="40% - Accent3 4 2 2 3 3" xfId="12166"/>
    <cellStyle name="40% - Accent3 4 2 2 3 4" xfId="20121"/>
    <cellStyle name="40% - Accent3 4 2 2 4" xfId="5961"/>
    <cellStyle name="40% - Accent3 4 2 2 4 2" xfId="13945"/>
    <cellStyle name="40% - Accent3 4 2 2 4 3" xfId="21893"/>
    <cellStyle name="40% - Accent3 4 2 2 5" xfId="9514"/>
    <cellStyle name="40% - Accent3 4 2 2 5 2" xfId="17472"/>
    <cellStyle name="40% - Accent3 4 2 2 5 3" xfId="25416"/>
    <cellStyle name="40% - Accent3 4 2 2 6" xfId="10410"/>
    <cellStyle name="40% - Accent3 4 2 2 7" xfId="18365"/>
    <cellStyle name="40% - Accent3 4 2 2_Exh G" xfId="2999"/>
    <cellStyle name="40% - Accent3 4 2 3" xfId="964"/>
    <cellStyle name="40% - Accent3 4 2 3 2" xfId="1884"/>
    <cellStyle name="40% - Accent3 4 2 3 2 2" xfId="5402"/>
    <cellStyle name="40% - Accent3 4 2 3 2 2 2" xfId="8993"/>
    <cellStyle name="40% - Accent3 4 2 3 2 2 2 2" xfId="16964"/>
    <cellStyle name="40% - Accent3 4 2 3 2 2 2 3" xfId="24910"/>
    <cellStyle name="40% - Accent3 4 2 3 2 2 3" xfId="13426"/>
    <cellStyle name="40% - Accent3 4 2 3 2 2 4" xfId="21381"/>
    <cellStyle name="40% - Accent3 4 2 3 2 3" xfId="7234"/>
    <cellStyle name="40% - Accent3 4 2 3 2 3 2" xfId="15206"/>
    <cellStyle name="40% - Accent3 4 2 3 2 3 3" xfId="23153"/>
    <cellStyle name="40% - Accent3 4 2 3 2 4" xfId="11670"/>
    <cellStyle name="40% - Accent3 4 2 3 2 5" xfId="19625"/>
    <cellStyle name="40% - Accent3 4 2 3 2_Exh G" xfId="3002"/>
    <cellStyle name="40% - Accent3 4 2 3 3" xfId="4523"/>
    <cellStyle name="40% - Accent3 4 2 3 3 2" xfId="8115"/>
    <cellStyle name="40% - Accent3 4 2 3 3 2 2" xfId="16086"/>
    <cellStyle name="40% - Accent3 4 2 3 3 2 3" xfId="24032"/>
    <cellStyle name="40% - Accent3 4 2 3 3 3" xfId="12548"/>
    <cellStyle name="40% - Accent3 4 2 3 3 4" xfId="20503"/>
    <cellStyle name="40% - Accent3 4 2 3 4" xfId="6353"/>
    <cellStyle name="40% - Accent3 4 2 3 4 2" xfId="14328"/>
    <cellStyle name="40% - Accent3 4 2 3 4 3" xfId="22275"/>
    <cellStyle name="40% - Accent3 4 2 3 5" xfId="9896"/>
    <cellStyle name="40% - Accent3 4 2 3 5 2" xfId="17854"/>
    <cellStyle name="40% - Accent3 4 2 3 5 3" xfId="25798"/>
    <cellStyle name="40% - Accent3 4 2 3 6" xfId="10792"/>
    <cellStyle name="40% - Accent3 4 2 3 7" xfId="18747"/>
    <cellStyle name="40% - Accent3 4 2 3_Exh G" xfId="3001"/>
    <cellStyle name="40% - Accent3 4 2 4" xfId="1489"/>
    <cellStyle name="40% - Accent3 4 2 4 2" xfId="5019"/>
    <cellStyle name="40% - Accent3 4 2 4 2 2" xfId="8610"/>
    <cellStyle name="40% - Accent3 4 2 4 2 2 2" xfId="16581"/>
    <cellStyle name="40% - Accent3 4 2 4 2 2 3" xfId="24527"/>
    <cellStyle name="40% - Accent3 4 2 4 2 3" xfId="13043"/>
    <cellStyle name="40% - Accent3 4 2 4 2 4" xfId="20998"/>
    <cellStyle name="40% - Accent3 4 2 4 3" xfId="6851"/>
    <cellStyle name="40% - Accent3 4 2 4 3 2" xfId="14823"/>
    <cellStyle name="40% - Accent3 4 2 4 3 3" xfId="22770"/>
    <cellStyle name="40% - Accent3 4 2 4 4" xfId="11287"/>
    <cellStyle name="40% - Accent3 4 2 4 5" xfId="19242"/>
    <cellStyle name="40% - Accent3 4 2 4_Exh G" xfId="3003"/>
    <cellStyle name="40% - Accent3 4 2 5" xfId="4140"/>
    <cellStyle name="40% - Accent3 4 2 5 2" xfId="7732"/>
    <cellStyle name="40% - Accent3 4 2 5 2 2" xfId="15703"/>
    <cellStyle name="40% - Accent3 4 2 5 2 3" xfId="23649"/>
    <cellStyle name="40% - Accent3 4 2 5 3" xfId="12165"/>
    <cellStyle name="40% - Accent3 4 2 5 4" xfId="20120"/>
    <cellStyle name="40% - Accent3 4 2 6" xfId="5960"/>
    <cellStyle name="40% - Accent3 4 2 6 2" xfId="13944"/>
    <cellStyle name="40% - Accent3 4 2 6 3" xfId="21892"/>
    <cellStyle name="40% - Accent3 4 2 7" xfId="9513"/>
    <cellStyle name="40% - Accent3 4 2 7 2" xfId="17471"/>
    <cellStyle name="40% - Accent3 4 2 7 3" xfId="25415"/>
    <cellStyle name="40% - Accent3 4 2 8" xfId="10409"/>
    <cellStyle name="40% - Accent3 4 2 9" xfId="18364"/>
    <cellStyle name="40% - Accent3 4 2_Exh G" xfId="2998"/>
    <cellStyle name="40% - Accent3 4 3" xfId="463"/>
    <cellStyle name="40% - Accent3 4 3 2" xfId="1491"/>
    <cellStyle name="40% - Accent3 4 3 2 2" xfId="5021"/>
    <cellStyle name="40% - Accent3 4 3 2 2 2" xfId="8612"/>
    <cellStyle name="40% - Accent3 4 3 2 2 2 2" xfId="16583"/>
    <cellStyle name="40% - Accent3 4 3 2 2 2 3" xfId="24529"/>
    <cellStyle name="40% - Accent3 4 3 2 2 3" xfId="13045"/>
    <cellStyle name="40% - Accent3 4 3 2 2 4" xfId="21000"/>
    <cellStyle name="40% - Accent3 4 3 2 3" xfId="6853"/>
    <cellStyle name="40% - Accent3 4 3 2 3 2" xfId="14825"/>
    <cellStyle name="40% - Accent3 4 3 2 3 3" xfId="22772"/>
    <cellStyle name="40% - Accent3 4 3 2 4" xfId="11289"/>
    <cellStyle name="40% - Accent3 4 3 2 5" xfId="19244"/>
    <cellStyle name="40% - Accent3 4 3 2_Exh G" xfId="3005"/>
    <cellStyle name="40% - Accent3 4 3 3" xfId="4142"/>
    <cellStyle name="40% - Accent3 4 3 3 2" xfId="7734"/>
    <cellStyle name="40% - Accent3 4 3 3 2 2" xfId="15705"/>
    <cellStyle name="40% - Accent3 4 3 3 2 3" xfId="23651"/>
    <cellStyle name="40% - Accent3 4 3 3 3" xfId="12167"/>
    <cellStyle name="40% - Accent3 4 3 3 4" xfId="20122"/>
    <cellStyle name="40% - Accent3 4 3 4" xfId="5962"/>
    <cellStyle name="40% - Accent3 4 3 4 2" xfId="13946"/>
    <cellStyle name="40% - Accent3 4 3 4 3" xfId="21894"/>
    <cellStyle name="40% - Accent3 4 3 5" xfId="9515"/>
    <cellStyle name="40% - Accent3 4 3 5 2" xfId="17473"/>
    <cellStyle name="40% - Accent3 4 3 5 3" xfId="25417"/>
    <cellStyle name="40% - Accent3 4 3 6" xfId="10411"/>
    <cellStyle name="40% - Accent3 4 3 7" xfId="18366"/>
    <cellStyle name="40% - Accent3 4 3_Exh G" xfId="3004"/>
    <cellStyle name="40% - Accent3 4 4" xfId="963"/>
    <cellStyle name="40% - Accent3 4 4 2" xfId="1883"/>
    <cellStyle name="40% - Accent3 4 4 2 2" xfId="5401"/>
    <cellStyle name="40% - Accent3 4 4 2 2 2" xfId="8992"/>
    <cellStyle name="40% - Accent3 4 4 2 2 2 2" xfId="16963"/>
    <cellStyle name="40% - Accent3 4 4 2 2 2 3" xfId="24909"/>
    <cellStyle name="40% - Accent3 4 4 2 2 3" xfId="13425"/>
    <cellStyle name="40% - Accent3 4 4 2 2 4" xfId="21380"/>
    <cellStyle name="40% - Accent3 4 4 2 3" xfId="7233"/>
    <cellStyle name="40% - Accent3 4 4 2 3 2" xfId="15205"/>
    <cellStyle name="40% - Accent3 4 4 2 3 3" xfId="23152"/>
    <cellStyle name="40% - Accent3 4 4 2 4" xfId="11669"/>
    <cellStyle name="40% - Accent3 4 4 2 5" xfId="19624"/>
    <cellStyle name="40% - Accent3 4 4 2_Exh G" xfId="3007"/>
    <cellStyle name="40% - Accent3 4 4 3" xfId="4522"/>
    <cellStyle name="40% - Accent3 4 4 3 2" xfId="8114"/>
    <cellStyle name="40% - Accent3 4 4 3 2 2" xfId="16085"/>
    <cellStyle name="40% - Accent3 4 4 3 2 3" xfId="24031"/>
    <cellStyle name="40% - Accent3 4 4 3 3" xfId="12547"/>
    <cellStyle name="40% - Accent3 4 4 3 4" xfId="20502"/>
    <cellStyle name="40% - Accent3 4 4 4" xfId="6352"/>
    <cellStyle name="40% - Accent3 4 4 4 2" xfId="14327"/>
    <cellStyle name="40% - Accent3 4 4 4 3" xfId="22274"/>
    <cellStyle name="40% - Accent3 4 4 5" xfId="9895"/>
    <cellStyle name="40% - Accent3 4 4 5 2" xfId="17853"/>
    <cellStyle name="40% - Accent3 4 4 5 3" xfId="25797"/>
    <cellStyle name="40% - Accent3 4 4 6" xfId="10791"/>
    <cellStyle name="40% - Accent3 4 4 7" xfId="18746"/>
    <cellStyle name="40% - Accent3 4 4_Exh G" xfId="3006"/>
    <cellStyle name="40% - Accent3 4 5" xfId="1488"/>
    <cellStyle name="40% - Accent3 4 5 2" xfId="5018"/>
    <cellStyle name="40% - Accent3 4 5 2 2" xfId="8609"/>
    <cellStyle name="40% - Accent3 4 5 2 2 2" xfId="16580"/>
    <cellStyle name="40% - Accent3 4 5 2 2 3" xfId="24526"/>
    <cellStyle name="40% - Accent3 4 5 2 3" xfId="13042"/>
    <cellStyle name="40% - Accent3 4 5 2 4" xfId="20997"/>
    <cellStyle name="40% - Accent3 4 5 3" xfId="6850"/>
    <cellStyle name="40% - Accent3 4 5 3 2" xfId="14822"/>
    <cellStyle name="40% - Accent3 4 5 3 3" xfId="22769"/>
    <cellStyle name="40% - Accent3 4 5 4" xfId="11286"/>
    <cellStyle name="40% - Accent3 4 5 5" xfId="19241"/>
    <cellStyle name="40% - Accent3 4 5_Exh G" xfId="3008"/>
    <cellStyle name="40% - Accent3 4 6" xfId="4139"/>
    <cellStyle name="40% - Accent3 4 6 2" xfId="7731"/>
    <cellStyle name="40% - Accent3 4 6 2 2" xfId="15702"/>
    <cellStyle name="40% - Accent3 4 6 2 3" xfId="23648"/>
    <cellStyle name="40% - Accent3 4 6 3" xfId="12164"/>
    <cellStyle name="40% - Accent3 4 6 4" xfId="20119"/>
    <cellStyle name="40% - Accent3 4 7" xfId="5959"/>
    <cellStyle name="40% - Accent3 4 7 2" xfId="13943"/>
    <cellStyle name="40% - Accent3 4 7 3" xfId="21891"/>
    <cellStyle name="40% - Accent3 4 8" xfId="9512"/>
    <cellStyle name="40% - Accent3 4 8 2" xfId="17470"/>
    <cellStyle name="40% - Accent3 4 8 3" xfId="25414"/>
    <cellStyle name="40% - Accent3 4 9" xfId="10408"/>
    <cellStyle name="40% - Accent3 4_Exh G" xfId="2997"/>
    <cellStyle name="40% - Accent3 5" xfId="464"/>
    <cellStyle name="40% - Accent3 5 10" xfId="18367"/>
    <cellStyle name="40% - Accent3 5 2" xfId="465"/>
    <cellStyle name="40% - Accent3 5 2 2" xfId="466"/>
    <cellStyle name="40% - Accent3 5 2 2 2" xfId="1494"/>
    <cellStyle name="40% - Accent3 5 2 2 2 2" xfId="5024"/>
    <cellStyle name="40% - Accent3 5 2 2 2 2 2" xfId="8615"/>
    <cellStyle name="40% - Accent3 5 2 2 2 2 2 2" xfId="16586"/>
    <cellStyle name="40% - Accent3 5 2 2 2 2 2 3" xfId="24532"/>
    <cellStyle name="40% - Accent3 5 2 2 2 2 3" xfId="13048"/>
    <cellStyle name="40% - Accent3 5 2 2 2 2 4" xfId="21003"/>
    <cellStyle name="40% - Accent3 5 2 2 2 3" xfId="6856"/>
    <cellStyle name="40% - Accent3 5 2 2 2 3 2" xfId="14828"/>
    <cellStyle name="40% - Accent3 5 2 2 2 3 3" xfId="22775"/>
    <cellStyle name="40% - Accent3 5 2 2 2 4" xfId="11292"/>
    <cellStyle name="40% - Accent3 5 2 2 2 5" xfId="19247"/>
    <cellStyle name="40% - Accent3 5 2 2 2_Exh G" xfId="3012"/>
    <cellStyle name="40% - Accent3 5 2 2 3" xfId="4145"/>
    <cellStyle name="40% - Accent3 5 2 2 3 2" xfId="7737"/>
    <cellStyle name="40% - Accent3 5 2 2 3 2 2" xfId="15708"/>
    <cellStyle name="40% - Accent3 5 2 2 3 2 3" xfId="23654"/>
    <cellStyle name="40% - Accent3 5 2 2 3 3" xfId="12170"/>
    <cellStyle name="40% - Accent3 5 2 2 3 4" xfId="20125"/>
    <cellStyle name="40% - Accent3 5 2 2 4" xfId="5965"/>
    <cellStyle name="40% - Accent3 5 2 2 4 2" xfId="13949"/>
    <cellStyle name="40% - Accent3 5 2 2 4 3" xfId="21897"/>
    <cellStyle name="40% - Accent3 5 2 2 5" xfId="9518"/>
    <cellStyle name="40% - Accent3 5 2 2 5 2" xfId="17476"/>
    <cellStyle name="40% - Accent3 5 2 2 5 3" xfId="25420"/>
    <cellStyle name="40% - Accent3 5 2 2 6" xfId="10414"/>
    <cellStyle name="40% - Accent3 5 2 2 7" xfId="18369"/>
    <cellStyle name="40% - Accent3 5 2 2_Exh G" xfId="3011"/>
    <cellStyle name="40% - Accent3 5 2 3" xfId="1493"/>
    <cellStyle name="40% - Accent3 5 2 3 2" xfId="5023"/>
    <cellStyle name="40% - Accent3 5 2 3 2 2" xfId="8614"/>
    <cellStyle name="40% - Accent3 5 2 3 2 2 2" xfId="16585"/>
    <cellStyle name="40% - Accent3 5 2 3 2 2 3" xfId="24531"/>
    <cellStyle name="40% - Accent3 5 2 3 2 3" xfId="13047"/>
    <cellStyle name="40% - Accent3 5 2 3 2 4" xfId="21002"/>
    <cellStyle name="40% - Accent3 5 2 3 3" xfId="6855"/>
    <cellStyle name="40% - Accent3 5 2 3 3 2" xfId="14827"/>
    <cellStyle name="40% - Accent3 5 2 3 3 3" xfId="22774"/>
    <cellStyle name="40% - Accent3 5 2 3 4" xfId="11291"/>
    <cellStyle name="40% - Accent3 5 2 3 5" xfId="19246"/>
    <cellStyle name="40% - Accent3 5 2 3_Exh G" xfId="3013"/>
    <cellStyle name="40% - Accent3 5 2 4" xfId="4144"/>
    <cellStyle name="40% - Accent3 5 2 4 2" xfId="7736"/>
    <cellStyle name="40% - Accent3 5 2 4 2 2" xfId="15707"/>
    <cellStyle name="40% - Accent3 5 2 4 2 3" xfId="23653"/>
    <cellStyle name="40% - Accent3 5 2 4 3" xfId="12169"/>
    <cellStyle name="40% - Accent3 5 2 4 4" xfId="20124"/>
    <cellStyle name="40% - Accent3 5 2 5" xfId="5964"/>
    <cellStyle name="40% - Accent3 5 2 5 2" xfId="13948"/>
    <cellStyle name="40% - Accent3 5 2 5 3" xfId="21896"/>
    <cellStyle name="40% - Accent3 5 2 6" xfId="9517"/>
    <cellStyle name="40% - Accent3 5 2 6 2" xfId="17475"/>
    <cellStyle name="40% - Accent3 5 2 6 3" xfId="25419"/>
    <cellStyle name="40% - Accent3 5 2 7" xfId="10413"/>
    <cellStyle name="40% - Accent3 5 2 8" xfId="18368"/>
    <cellStyle name="40% - Accent3 5 2_Exh G" xfId="3010"/>
    <cellStyle name="40% - Accent3 5 3" xfId="467"/>
    <cellStyle name="40% - Accent3 5 3 2" xfId="1495"/>
    <cellStyle name="40% - Accent3 5 3 2 2" xfId="5025"/>
    <cellStyle name="40% - Accent3 5 3 2 2 2" xfId="8616"/>
    <cellStyle name="40% - Accent3 5 3 2 2 2 2" xfId="16587"/>
    <cellStyle name="40% - Accent3 5 3 2 2 2 3" xfId="24533"/>
    <cellStyle name="40% - Accent3 5 3 2 2 3" xfId="13049"/>
    <cellStyle name="40% - Accent3 5 3 2 2 4" xfId="21004"/>
    <cellStyle name="40% - Accent3 5 3 2 3" xfId="6857"/>
    <cellStyle name="40% - Accent3 5 3 2 3 2" xfId="14829"/>
    <cellStyle name="40% - Accent3 5 3 2 3 3" xfId="22776"/>
    <cellStyle name="40% - Accent3 5 3 2 4" xfId="11293"/>
    <cellStyle name="40% - Accent3 5 3 2 5" xfId="19248"/>
    <cellStyle name="40% - Accent3 5 3 2_Exh G" xfId="3015"/>
    <cellStyle name="40% - Accent3 5 3 3" xfId="4146"/>
    <cellStyle name="40% - Accent3 5 3 3 2" xfId="7738"/>
    <cellStyle name="40% - Accent3 5 3 3 2 2" xfId="15709"/>
    <cellStyle name="40% - Accent3 5 3 3 2 3" xfId="23655"/>
    <cellStyle name="40% - Accent3 5 3 3 3" xfId="12171"/>
    <cellStyle name="40% - Accent3 5 3 3 4" xfId="20126"/>
    <cellStyle name="40% - Accent3 5 3 4" xfId="5966"/>
    <cellStyle name="40% - Accent3 5 3 4 2" xfId="13950"/>
    <cellStyle name="40% - Accent3 5 3 4 3" xfId="21898"/>
    <cellStyle name="40% - Accent3 5 3 5" xfId="9519"/>
    <cellStyle name="40% - Accent3 5 3 5 2" xfId="17477"/>
    <cellStyle name="40% - Accent3 5 3 5 3" xfId="25421"/>
    <cellStyle name="40% - Accent3 5 3 6" xfId="10415"/>
    <cellStyle name="40% - Accent3 5 3 7" xfId="18370"/>
    <cellStyle name="40% - Accent3 5 3_Exh G" xfId="3014"/>
    <cellStyle name="40% - Accent3 5 4" xfId="965"/>
    <cellStyle name="40% - Accent3 5 5" xfId="1492"/>
    <cellStyle name="40% - Accent3 5 5 2" xfId="5022"/>
    <cellStyle name="40% - Accent3 5 5 2 2" xfId="8613"/>
    <cellStyle name="40% - Accent3 5 5 2 2 2" xfId="16584"/>
    <cellStyle name="40% - Accent3 5 5 2 2 3" xfId="24530"/>
    <cellStyle name="40% - Accent3 5 5 2 3" xfId="13046"/>
    <cellStyle name="40% - Accent3 5 5 2 4" xfId="21001"/>
    <cellStyle name="40% - Accent3 5 5 3" xfId="6854"/>
    <cellStyle name="40% - Accent3 5 5 3 2" xfId="14826"/>
    <cellStyle name="40% - Accent3 5 5 3 3" xfId="22773"/>
    <cellStyle name="40% - Accent3 5 5 4" xfId="11290"/>
    <cellStyle name="40% - Accent3 5 5 5" xfId="19245"/>
    <cellStyle name="40% - Accent3 5 5_Exh G" xfId="3016"/>
    <cellStyle name="40% - Accent3 5 6" xfId="4143"/>
    <cellStyle name="40% - Accent3 5 6 2" xfId="7735"/>
    <cellStyle name="40% - Accent3 5 6 2 2" xfId="15706"/>
    <cellStyle name="40% - Accent3 5 6 2 3" xfId="23652"/>
    <cellStyle name="40% - Accent3 5 6 3" xfId="12168"/>
    <cellStyle name="40% - Accent3 5 6 4" xfId="20123"/>
    <cellStyle name="40% - Accent3 5 7" xfId="5963"/>
    <cellStyle name="40% - Accent3 5 7 2" xfId="13947"/>
    <cellStyle name="40% - Accent3 5 7 3" xfId="21895"/>
    <cellStyle name="40% - Accent3 5 8" xfId="9516"/>
    <cellStyle name="40% - Accent3 5 8 2" xfId="17474"/>
    <cellStyle name="40% - Accent3 5 8 3" xfId="25418"/>
    <cellStyle name="40% - Accent3 5 9" xfId="10412"/>
    <cellStyle name="40% - Accent3 5_Exh G" xfId="3009"/>
    <cellStyle name="40% - Accent3 6" xfId="468"/>
    <cellStyle name="40% - Accent3 6 10" xfId="18371"/>
    <cellStyle name="40% - Accent3 6 2" xfId="469"/>
    <cellStyle name="40% - Accent3 6 2 2" xfId="470"/>
    <cellStyle name="40% - Accent3 6 2 2 2" xfId="1498"/>
    <cellStyle name="40% - Accent3 6 2 2 2 2" xfId="5028"/>
    <cellStyle name="40% - Accent3 6 2 2 2 2 2" xfId="8619"/>
    <cellStyle name="40% - Accent3 6 2 2 2 2 2 2" xfId="16590"/>
    <cellStyle name="40% - Accent3 6 2 2 2 2 2 3" xfId="24536"/>
    <cellStyle name="40% - Accent3 6 2 2 2 2 3" xfId="13052"/>
    <cellStyle name="40% - Accent3 6 2 2 2 2 4" xfId="21007"/>
    <cellStyle name="40% - Accent3 6 2 2 2 3" xfId="6860"/>
    <cellStyle name="40% - Accent3 6 2 2 2 3 2" xfId="14832"/>
    <cellStyle name="40% - Accent3 6 2 2 2 3 3" xfId="22779"/>
    <cellStyle name="40% - Accent3 6 2 2 2 4" xfId="11296"/>
    <cellStyle name="40% - Accent3 6 2 2 2 5" xfId="19251"/>
    <cellStyle name="40% - Accent3 6 2 2 2_Exh G" xfId="3020"/>
    <cellStyle name="40% - Accent3 6 2 2 3" xfId="4149"/>
    <cellStyle name="40% - Accent3 6 2 2 3 2" xfId="7741"/>
    <cellStyle name="40% - Accent3 6 2 2 3 2 2" xfId="15712"/>
    <cellStyle name="40% - Accent3 6 2 2 3 2 3" xfId="23658"/>
    <cellStyle name="40% - Accent3 6 2 2 3 3" xfId="12174"/>
    <cellStyle name="40% - Accent3 6 2 2 3 4" xfId="20129"/>
    <cellStyle name="40% - Accent3 6 2 2 4" xfId="5969"/>
    <cellStyle name="40% - Accent3 6 2 2 4 2" xfId="13953"/>
    <cellStyle name="40% - Accent3 6 2 2 4 3" xfId="21901"/>
    <cellStyle name="40% - Accent3 6 2 2 5" xfId="9522"/>
    <cellStyle name="40% - Accent3 6 2 2 5 2" xfId="17480"/>
    <cellStyle name="40% - Accent3 6 2 2 5 3" xfId="25424"/>
    <cellStyle name="40% - Accent3 6 2 2 6" xfId="10418"/>
    <cellStyle name="40% - Accent3 6 2 2 7" xfId="18373"/>
    <cellStyle name="40% - Accent3 6 2 2_Exh G" xfId="3019"/>
    <cellStyle name="40% - Accent3 6 2 3" xfId="1497"/>
    <cellStyle name="40% - Accent3 6 2 3 2" xfId="5027"/>
    <cellStyle name="40% - Accent3 6 2 3 2 2" xfId="8618"/>
    <cellStyle name="40% - Accent3 6 2 3 2 2 2" xfId="16589"/>
    <cellStyle name="40% - Accent3 6 2 3 2 2 3" xfId="24535"/>
    <cellStyle name="40% - Accent3 6 2 3 2 3" xfId="13051"/>
    <cellStyle name="40% - Accent3 6 2 3 2 4" xfId="21006"/>
    <cellStyle name="40% - Accent3 6 2 3 3" xfId="6859"/>
    <cellStyle name="40% - Accent3 6 2 3 3 2" xfId="14831"/>
    <cellStyle name="40% - Accent3 6 2 3 3 3" xfId="22778"/>
    <cellStyle name="40% - Accent3 6 2 3 4" xfId="11295"/>
    <cellStyle name="40% - Accent3 6 2 3 5" xfId="19250"/>
    <cellStyle name="40% - Accent3 6 2 3_Exh G" xfId="3021"/>
    <cellStyle name="40% - Accent3 6 2 4" xfId="4148"/>
    <cellStyle name="40% - Accent3 6 2 4 2" xfId="7740"/>
    <cellStyle name="40% - Accent3 6 2 4 2 2" xfId="15711"/>
    <cellStyle name="40% - Accent3 6 2 4 2 3" xfId="23657"/>
    <cellStyle name="40% - Accent3 6 2 4 3" xfId="12173"/>
    <cellStyle name="40% - Accent3 6 2 4 4" xfId="20128"/>
    <cellStyle name="40% - Accent3 6 2 5" xfId="5968"/>
    <cellStyle name="40% - Accent3 6 2 5 2" xfId="13952"/>
    <cellStyle name="40% - Accent3 6 2 5 3" xfId="21900"/>
    <cellStyle name="40% - Accent3 6 2 6" xfId="9521"/>
    <cellStyle name="40% - Accent3 6 2 6 2" xfId="17479"/>
    <cellStyle name="40% - Accent3 6 2 6 3" xfId="25423"/>
    <cellStyle name="40% - Accent3 6 2 7" xfId="10417"/>
    <cellStyle name="40% - Accent3 6 2 8" xfId="18372"/>
    <cellStyle name="40% - Accent3 6 2_Exh G" xfId="3018"/>
    <cellStyle name="40% - Accent3 6 3" xfId="471"/>
    <cellStyle name="40% - Accent3 6 3 2" xfId="1499"/>
    <cellStyle name="40% - Accent3 6 3 2 2" xfId="5029"/>
    <cellStyle name="40% - Accent3 6 3 2 2 2" xfId="8620"/>
    <cellStyle name="40% - Accent3 6 3 2 2 2 2" xfId="16591"/>
    <cellStyle name="40% - Accent3 6 3 2 2 2 3" xfId="24537"/>
    <cellStyle name="40% - Accent3 6 3 2 2 3" xfId="13053"/>
    <cellStyle name="40% - Accent3 6 3 2 2 4" xfId="21008"/>
    <cellStyle name="40% - Accent3 6 3 2 3" xfId="6861"/>
    <cellStyle name="40% - Accent3 6 3 2 3 2" xfId="14833"/>
    <cellStyle name="40% - Accent3 6 3 2 3 3" xfId="22780"/>
    <cellStyle name="40% - Accent3 6 3 2 4" xfId="11297"/>
    <cellStyle name="40% - Accent3 6 3 2 5" xfId="19252"/>
    <cellStyle name="40% - Accent3 6 3 2_Exh G" xfId="3023"/>
    <cellStyle name="40% - Accent3 6 3 3" xfId="4150"/>
    <cellStyle name="40% - Accent3 6 3 3 2" xfId="7742"/>
    <cellStyle name="40% - Accent3 6 3 3 2 2" xfId="15713"/>
    <cellStyle name="40% - Accent3 6 3 3 2 3" xfId="23659"/>
    <cellStyle name="40% - Accent3 6 3 3 3" xfId="12175"/>
    <cellStyle name="40% - Accent3 6 3 3 4" xfId="20130"/>
    <cellStyle name="40% - Accent3 6 3 4" xfId="5970"/>
    <cellStyle name="40% - Accent3 6 3 4 2" xfId="13954"/>
    <cellStyle name="40% - Accent3 6 3 4 3" xfId="21902"/>
    <cellStyle name="40% - Accent3 6 3 5" xfId="9523"/>
    <cellStyle name="40% - Accent3 6 3 5 2" xfId="17481"/>
    <cellStyle name="40% - Accent3 6 3 5 3" xfId="25425"/>
    <cellStyle name="40% - Accent3 6 3 6" xfId="10419"/>
    <cellStyle name="40% - Accent3 6 3 7" xfId="18374"/>
    <cellStyle name="40% - Accent3 6 3_Exh G" xfId="3022"/>
    <cellStyle name="40% - Accent3 6 4" xfId="966"/>
    <cellStyle name="40% - Accent3 6 4 2" xfId="1885"/>
    <cellStyle name="40% - Accent3 6 4 2 2" xfId="5403"/>
    <cellStyle name="40% - Accent3 6 4 2 2 2" xfId="8994"/>
    <cellStyle name="40% - Accent3 6 4 2 2 2 2" xfId="16965"/>
    <cellStyle name="40% - Accent3 6 4 2 2 2 3" xfId="24911"/>
    <cellStyle name="40% - Accent3 6 4 2 2 3" xfId="13427"/>
    <cellStyle name="40% - Accent3 6 4 2 2 4" xfId="21382"/>
    <cellStyle name="40% - Accent3 6 4 2 3" xfId="7235"/>
    <cellStyle name="40% - Accent3 6 4 2 3 2" xfId="15207"/>
    <cellStyle name="40% - Accent3 6 4 2 3 3" xfId="23154"/>
    <cellStyle name="40% - Accent3 6 4 2 4" xfId="11671"/>
    <cellStyle name="40% - Accent3 6 4 2 5" xfId="19626"/>
    <cellStyle name="40% - Accent3 6 4 2_Exh G" xfId="3025"/>
    <cellStyle name="40% - Accent3 6 4 3" xfId="4524"/>
    <cellStyle name="40% - Accent3 6 4 3 2" xfId="8116"/>
    <cellStyle name="40% - Accent3 6 4 3 2 2" xfId="16087"/>
    <cellStyle name="40% - Accent3 6 4 3 2 3" xfId="24033"/>
    <cellStyle name="40% - Accent3 6 4 3 3" xfId="12549"/>
    <cellStyle name="40% - Accent3 6 4 3 4" xfId="20504"/>
    <cellStyle name="40% - Accent3 6 4 4" xfId="6354"/>
    <cellStyle name="40% - Accent3 6 4 4 2" xfId="14329"/>
    <cellStyle name="40% - Accent3 6 4 4 3" xfId="22276"/>
    <cellStyle name="40% - Accent3 6 4 5" xfId="9897"/>
    <cellStyle name="40% - Accent3 6 4 5 2" xfId="17855"/>
    <cellStyle name="40% - Accent3 6 4 5 3" xfId="25799"/>
    <cellStyle name="40% - Accent3 6 4 6" xfId="10793"/>
    <cellStyle name="40% - Accent3 6 4 7" xfId="18748"/>
    <cellStyle name="40% - Accent3 6 4_Exh G" xfId="3024"/>
    <cellStyle name="40% - Accent3 6 5" xfId="1496"/>
    <cellStyle name="40% - Accent3 6 5 2" xfId="5026"/>
    <cellStyle name="40% - Accent3 6 5 2 2" xfId="8617"/>
    <cellStyle name="40% - Accent3 6 5 2 2 2" xfId="16588"/>
    <cellStyle name="40% - Accent3 6 5 2 2 3" xfId="24534"/>
    <cellStyle name="40% - Accent3 6 5 2 3" xfId="13050"/>
    <cellStyle name="40% - Accent3 6 5 2 4" xfId="21005"/>
    <cellStyle name="40% - Accent3 6 5 3" xfId="6858"/>
    <cellStyle name="40% - Accent3 6 5 3 2" xfId="14830"/>
    <cellStyle name="40% - Accent3 6 5 3 3" xfId="22777"/>
    <cellStyle name="40% - Accent3 6 5 4" xfId="11294"/>
    <cellStyle name="40% - Accent3 6 5 5" xfId="19249"/>
    <cellStyle name="40% - Accent3 6 5_Exh G" xfId="3026"/>
    <cellStyle name="40% - Accent3 6 6" xfId="4147"/>
    <cellStyle name="40% - Accent3 6 6 2" xfId="7739"/>
    <cellStyle name="40% - Accent3 6 6 2 2" xfId="15710"/>
    <cellStyle name="40% - Accent3 6 6 2 3" xfId="23656"/>
    <cellStyle name="40% - Accent3 6 6 3" xfId="12172"/>
    <cellStyle name="40% - Accent3 6 6 4" xfId="20127"/>
    <cellStyle name="40% - Accent3 6 7" xfId="5967"/>
    <cellStyle name="40% - Accent3 6 7 2" xfId="13951"/>
    <cellStyle name="40% - Accent3 6 7 3" xfId="21899"/>
    <cellStyle name="40% - Accent3 6 8" xfId="9520"/>
    <cellStyle name="40% - Accent3 6 8 2" xfId="17478"/>
    <cellStyle name="40% - Accent3 6 8 3" xfId="25422"/>
    <cellStyle name="40% - Accent3 6 9" xfId="10416"/>
    <cellStyle name="40% - Accent3 6_Exh G" xfId="3017"/>
    <cellStyle name="40% - Accent3 7" xfId="472"/>
    <cellStyle name="40% - Accent3 7 10" xfId="18375"/>
    <cellStyle name="40% - Accent3 7 2" xfId="473"/>
    <cellStyle name="40% - Accent3 7 2 2" xfId="474"/>
    <cellStyle name="40% - Accent3 7 2 2 2" xfId="1502"/>
    <cellStyle name="40% - Accent3 7 2 2 2 2" xfId="5032"/>
    <cellStyle name="40% - Accent3 7 2 2 2 2 2" xfId="8623"/>
    <cellStyle name="40% - Accent3 7 2 2 2 2 2 2" xfId="16594"/>
    <cellStyle name="40% - Accent3 7 2 2 2 2 2 3" xfId="24540"/>
    <cellStyle name="40% - Accent3 7 2 2 2 2 3" xfId="13056"/>
    <cellStyle name="40% - Accent3 7 2 2 2 2 4" xfId="21011"/>
    <cellStyle name="40% - Accent3 7 2 2 2 3" xfId="6864"/>
    <cellStyle name="40% - Accent3 7 2 2 2 3 2" xfId="14836"/>
    <cellStyle name="40% - Accent3 7 2 2 2 3 3" xfId="22783"/>
    <cellStyle name="40% - Accent3 7 2 2 2 4" xfId="11300"/>
    <cellStyle name="40% - Accent3 7 2 2 2 5" xfId="19255"/>
    <cellStyle name="40% - Accent3 7 2 2 2_Exh G" xfId="3030"/>
    <cellStyle name="40% - Accent3 7 2 2 3" xfId="4153"/>
    <cellStyle name="40% - Accent3 7 2 2 3 2" xfId="7745"/>
    <cellStyle name="40% - Accent3 7 2 2 3 2 2" xfId="15716"/>
    <cellStyle name="40% - Accent3 7 2 2 3 2 3" xfId="23662"/>
    <cellStyle name="40% - Accent3 7 2 2 3 3" xfId="12178"/>
    <cellStyle name="40% - Accent3 7 2 2 3 4" xfId="20133"/>
    <cellStyle name="40% - Accent3 7 2 2 4" xfId="5973"/>
    <cellStyle name="40% - Accent3 7 2 2 4 2" xfId="13957"/>
    <cellStyle name="40% - Accent3 7 2 2 4 3" xfId="21905"/>
    <cellStyle name="40% - Accent3 7 2 2 5" xfId="9526"/>
    <cellStyle name="40% - Accent3 7 2 2 5 2" xfId="17484"/>
    <cellStyle name="40% - Accent3 7 2 2 5 3" xfId="25428"/>
    <cellStyle name="40% - Accent3 7 2 2 6" xfId="10422"/>
    <cellStyle name="40% - Accent3 7 2 2 7" xfId="18377"/>
    <cellStyle name="40% - Accent3 7 2 2_Exh G" xfId="3029"/>
    <cellStyle name="40% - Accent3 7 2 3" xfId="1501"/>
    <cellStyle name="40% - Accent3 7 2 3 2" xfId="5031"/>
    <cellStyle name="40% - Accent3 7 2 3 2 2" xfId="8622"/>
    <cellStyle name="40% - Accent3 7 2 3 2 2 2" xfId="16593"/>
    <cellStyle name="40% - Accent3 7 2 3 2 2 3" xfId="24539"/>
    <cellStyle name="40% - Accent3 7 2 3 2 3" xfId="13055"/>
    <cellStyle name="40% - Accent3 7 2 3 2 4" xfId="21010"/>
    <cellStyle name="40% - Accent3 7 2 3 3" xfId="6863"/>
    <cellStyle name="40% - Accent3 7 2 3 3 2" xfId="14835"/>
    <cellStyle name="40% - Accent3 7 2 3 3 3" xfId="22782"/>
    <cellStyle name="40% - Accent3 7 2 3 4" xfId="11299"/>
    <cellStyle name="40% - Accent3 7 2 3 5" xfId="19254"/>
    <cellStyle name="40% - Accent3 7 2 3_Exh G" xfId="3031"/>
    <cellStyle name="40% - Accent3 7 2 4" xfId="4152"/>
    <cellStyle name="40% - Accent3 7 2 4 2" xfId="7744"/>
    <cellStyle name="40% - Accent3 7 2 4 2 2" xfId="15715"/>
    <cellStyle name="40% - Accent3 7 2 4 2 3" xfId="23661"/>
    <cellStyle name="40% - Accent3 7 2 4 3" xfId="12177"/>
    <cellStyle name="40% - Accent3 7 2 4 4" xfId="20132"/>
    <cellStyle name="40% - Accent3 7 2 5" xfId="5972"/>
    <cellStyle name="40% - Accent3 7 2 5 2" xfId="13956"/>
    <cellStyle name="40% - Accent3 7 2 5 3" xfId="21904"/>
    <cellStyle name="40% - Accent3 7 2 6" xfId="9525"/>
    <cellStyle name="40% - Accent3 7 2 6 2" xfId="17483"/>
    <cellStyle name="40% - Accent3 7 2 6 3" xfId="25427"/>
    <cellStyle name="40% - Accent3 7 2 7" xfId="10421"/>
    <cellStyle name="40% - Accent3 7 2 8" xfId="18376"/>
    <cellStyle name="40% - Accent3 7 2_Exh G" xfId="3028"/>
    <cellStyle name="40% - Accent3 7 3" xfId="475"/>
    <cellStyle name="40% - Accent3 7 3 2" xfId="1503"/>
    <cellStyle name="40% - Accent3 7 3 2 2" xfId="5033"/>
    <cellStyle name="40% - Accent3 7 3 2 2 2" xfId="8624"/>
    <cellStyle name="40% - Accent3 7 3 2 2 2 2" xfId="16595"/>
    <cellStyle name="40% - Accent3 7 3 2 2 2 3" xfId="24541"/>
    <cellStyle name="40% - Accent3 7 3 2 2 3" xfId="13057"/>
    <cellStyle name="40% - Accent3 7 3 2 2 4" xfId="21012"/>
    <cellStyle name="40% - Accent3 7 3 2 3" xfId="6865"/>
    <cellStyle name="40% - Accent3 7 3 2 3 2" xfId="14837"/>
    <cellStyle name="40% - Accent3 7 3 2 3 3" xfId="22784"/>
    <cellStyle name="40% - Accent3 7 3 2 4" xfId="11301"/>
    <cellStyle name="40% - Accent3 7 3 2 5" xfId="19256"/>
    <cellStyle name="40% - Accent3 7 3 2_Exh G" xfId="3033"/>
    <cellStyle name="40% - Accent3 7 3 3" xfId="4154"/>
    <cellStyle name="40% - Accent3 7 3 3 2" xfId="7746"/>
    <cellStyle name="40% - Accent3 7 3 3 2 2" xfId="15717"/>
    <cellStyle name="40% - Accent3 7 3 3 2 3" xfId="23663"/>
    <cellStyle name="40% - Accent3 7 3 3 3" xfId="12179"/>
    <cellStyle name="40% - Accent3 7 3 3 4" xfId="20134"/>
    <cellStyle name="40% - Accent3 7 3 4" xfId="5974"/>
    <cellStyle name="40% - Accent3 7 3 4 2" xfId="13958"/>
    <cellStyle name="40% - Accent3 7 3 4 3" xfId="21906"/>
    <cellStyle name="40% - Accent3 7 3 5" xfId="9527"/>
    <cellStyle name="40% - Accent3 7 3 5 2" xfId="17485"/>
    <cellStyle name="40% - Accent3 7 3 5 3" xfId="25429"/>
    <cellStyle name="40% - Accent3 7 3 6" xfId="10423"/>
    <cellStyle name="40% - Accent3 7 3 7" xfId="18378"/>
    <cellStyle name="40% - Accent3 7 3_Exh G" xfId="3032"/>
    <cellStyle name="40% - Accent3 7 4" xfId="967"/>
    <cellStyle name="40% - Accent3 7 4 2" xfId="1886"/>
    <cellStyle name="40% - Accent3 7 4 2 2" xfId="5404"/>
    <cellStyle name="40% - Accent3 7 4 2 2 2" xfId="8995"/>
    <cellStyle name="40% - Accent3 7 4 2 2 2 2" xfId="16966"/>
    <cellStyle name="40% - Accent3 7 4 2 2 2 3" xfId="24912"/>
    <cellStyle name="40% - Accent3 7 4 2 2 3" xfId="13428"/>
    <cellStyle name="40% - Accent3 7 4 2 2 4" xfId="21383"/>
    <cellStyle name="40% - Accent3 7 4 2 3" xfId="7236"/>
    <cellStyle name="40% - Accent3 7 4 2 3 2" xfId="15208"/>
    <cellStyle name="40% - Accent3 7 4 2 3 3" xfId="23155"/>
    <cellStyle name="40% - Accent3 7 4 2 4" xfId="11672"/>
    <cellStyle name="40% - Accent3 7 4 2 5" xfId="19627"/>
    <cellStyle name="40% - Accent3 7 4 2_Exh G" xfId="3035"/>
    <cellStyle name="40% - Accent3 7 4 3" xfId="4525"/>
    <cellStyle name="40% - Accent3 7 4 3 2" xfId="8117"/>
    <cellStyle name="40% - Accent3 7 4 3 2 2" xfId="16088"/>
    <cellStyle name="40% - Accent3 7 4 3 2 3" xfId="24034"/>
    <cellStyle name="40% - Accent3 7 4 3 3" xfId="12550"/>
    <cellStyle name="40% - Accent3 7 4 3 4" xfId="20505"/>
    <cellStyle name="40% - Accent3 7 4 4" xfId="6355"/>
    <cellStyle name="40% - Accent3 7 4 4 2" xfId="14330"/>
    <cellStyle name="40% - Accent3 7 4 4 3" xfId="22277"/>
    <cellStyle name="40% - Accent3 7 4 5" xfId="9898"/>
    <cellStyle name="40% - Accent3 7 4 5 2" xfId="17856"/>
    <cellStyle name="40% - Accent3 7 4 5 3" xfId="25800"/>
    <cellStyle name="40% - Accent3 7 4 6" xfId="10794"/>
    <cellStyle name="40% - Accent3 7 4 7" xfId="18749"/>
    <cellStyle name="40% - Accent3 7 4_Exh G" xfId="3034"/>
    <cellStyle name="40% - Accent3 7 5" xfId="1500"/>
    <cellStyle name="40% - Accent3 7 5 2" xfId="5030"/>
    <cellStyle name="40% - Accent3 7 5 2 2" xfId="8621"/>
    <cellStyle name="40% - Accent3 7 5 2 2 2" xfId="16592"/>
    <cellStyle name="40% - Accent3 7 5 2 2 3" xfId="24538"/>
    <cellStyle name="40% - Accent3 7 5 2 3" xfId="13054"/>
    <cellStyle name="40% - Accent3 7 5 2 4" xfId="21009"/>
    <cellStyle name="40% - Accent3 7 5 3" xfId="6862"/>
    <cellStyle name="40% - Accent3 7 5 3 2" xfId="14834"/>
    <cellStyle name="40% - Accent3 7 5 3 3" xfId="22781"/>
    <cellStyle name="40% - Accent3 7 5 4" xfId="11298"/>
    <cellStyle name="40% - Accent3 7 5 5" xfId="19253"/>
    <cellStyle name="40% - Accent3 7 5_Exh G" xfId="3036"/>
    <cellStyle name="40% - Accent3 7 6" xfId="4151"/>
    <cellStyle name="40% - Accent3 7 6 2" xfId="7743"/>
    <cellStyle name="40% - Accent3 7 6 2 2" xfId="15714"/>
    <cellStyle name="40% - Accent3 7 6 2 3" xfId="23660"/>
    <cellStyle name="40% - Accent3 7 6 3" xfId="12176"/>
    <cellStyle name="40% - Accent3 7 6 4" xfId="20131"/>
    <cellStyle name="40% - Accent3 7 7" xfId="5971"/>
    <cellStyle name="40% - Accent3 7 7 2" xfId="13955"/>
    <cellStyle name="40% - Accent3 7 7 3" xfId="21903"/>
    <cellStyle name="40% - Accent3 7 8" xfId="9524"/>
    <cellStyle name="40% - Accent3 7 8 2" xfId="17482"/>
    <cellStyle name="40% - Accent3 7 8 3" xfId="25426"/>
    <cellStyle name="40% - Accent3 7 9" xfId="10420"/>
    <cellStyle name="40% - Accent3 7_Exh G" xfId="3027"/>
    <cellStyle name="40% - Accent3 8" xfId="476"/>
    <cellStyle name="40% - Accent3 8 10" xfId="18379"/>
    <cellStyle name="40% - Accent3 8 2" xfId="477"/>
    <cellStyle name="40% - Accent3 8 2 2" xfId="478"/>
    <cellStyle name="40% - Accent3 8 2 2 2" xfId="1506"/>
    <cellStyle name="40% - Accent3 8 2 2 2 2" xfId="5036"/>
    <cellStyle name="40% - Accent3 8 2 2 2 2 2" xfId="8627"/>
    <cellStyle name="40% - Accent3 8 2 2 2 2 2 2" xfId="16598"/>
    <cellStyle name="40% - Accent3 8 2 2 2 2 2 3" xfId="24544"/>
    <cellStyle name="40% - Accent3 8 2 2 2 2 3" xfId="13060"/>
    <cellStyle name="40% - Accent3 8 2 2 2 2 4" xfId="21015"/>
    <cellStyle name="40% - Accent3 8 2 2 2 3" xfId="6868"/>
    <cellStyle name="40% - Accent3 8 2 2 2 3 2" xfId="14840"/>
    <cellStyle name="40% - Accent3 8 2 2 2 3 3" xfId="22787"/>
    <cellStyle name="40% - Accent3 8 2 2 2 4" xfId="11304"/>
    <cellStyle name="40% - Accent3 8 2 2 2 5" xfId="19259"/>
    <cellStyle name="40% - Accent3 8 2 2 2_Exh G" xfId="3040"/>
    <cellStyle name="40% - Accent3 8 2 2 3" xfId="4157"/>
    <cellStyle name="40% - Accent3 8 2 2 3 2" xfId="7749"/>
    <cellStyle name="40% - Accent3 8 2 2 3 2 2" xfId="15720"/>
    <cellStyle name="40% - Accent3 8 2 2 3 2 3" xfId="23666"/>
    <cellStyle name="40% - Accent3 8 2 2 3 3" xfId="12182"/>
    <cellStyle name="40% - Accent3 8 2 2 3 4" xfId="20137"/>
    <cellStyle name="40% - Accent3 8 2 2 4" xfId="5977"/>
    <cellStyle name="40% - Accent3 8 2 2 4 2" xfId="13961"/>
    <cellStyle name="40% - Accent3 8 2 2 4 3" xfId="21909"/>
    <cellStyle name="40% - Accent3 8 2 2 5" xfId="9530"/>
    <cellStyle name="40% - Accent3 8 2 2 5 2" xfId="17488"/>
    <cellStyle name="40% - Accent3 8 2 2 5 3" xfId="25432"/>
    <cellStyle name="40% - Accent3 8 2 2 6" xfId="10426"/>
    <cellStyle name="40% - Accent3 8 2 2 7" xfId="18381"/>
    <cellStyle name="40% - Accent3 8 2 2_Exh G" xfId="3039"/>
    <cellStyle name="40% - Accent3 8 2 3" xfId="1505"/>
    <cellStyle name="40% - Accent3 8 2 3 2" xfId="5035"/>
    <cellStyle name="40% - Accent3 8 2 3 2 2" xfId="8626"/>
    <cellStyle name="40% - Accent3 8 2 3 2 2 2" xfId="16597"/>
    <cellStyle name="40% - Accent3 8 2 3 2 2 3" xfId="24543"/>
    <cellStyle name="40% - Accent3 8 2 3 2 3" xfId="13059"/>
    <cellStyle name="40% - Accent3 8 2 3 2 4" xfId="21014"/>
    <cellStyle name="40% - Accent3 8 2 3 3" xfId="6867"/>
    <cellStyle name="40% - Accent3 8 2 3 3 2" xfId="14839"/>
    <cellStyle name="40% - Accent3 8 2 3 3 3" xfId="22786"/>
    <cellStyle name="40% - Accent3 8 2 3 4" xfId="11303"/>
    <cellStyle name="40% - Accent3 8 2 3 5" xfId="19258"/>
    <cellStyle name="40% - Accent3 8 2 3_Exh G" xfId="3041"/>
    <cellStyle name="40% - Accent3 8 2 4" xfId="4156"/>
    <cellStyle name="40% - Accent3 8 2 4 2" xfId="7748"/>
    <cellStyle name="40% - Accent3 8 2 4 2 2" xfId="15719"/>
    <cellStyle name="40% - Accent3 8 2 4 2 3" xfId="23665"/>
    <cellStyle name="40% - Accent3 8 2 4 3" xfId="12181"/>
    <cellStyle name="40% - Accent3 8 2 4 4" xfId="20136"/>
    <cellStyle name="40% - Accent3 8 2 5" xfId="5976"/>
    <cellStyle name="40% - Accent3 8 2 5 2" xfId="13960"/>
    <cellStyle name="40% - Accent3 8 2 5 3" xfId="21908"/>
    <cellStyle name="40% - Accent3 8 2 6" xfId="9529"/>
    <cellStyle name="40% - Accent3 8 2 6 2" xfId="17487"/>
    <cellStyle name="40% - Accent3 8 2 6 3" xfId="25431"/>
    <cellStyle name="40% - Accent3 8 2 7" xfId="10425"/>
    <cellStyle name="40% - Accent3 8 2 8" xfId="18380"/>
    <cellStyle name="40% - Accent3 8 2_Exh G" xfId="3038"/>
    <cellStyle name="40% - Accent3 8 3" xfId="479"/>
    <cellStyle name="40% - Accent3 8 3 2" xfId="1507"/>
    <cellStyle name="40% - Accent3 8 3 2 2" xfId="5037"/>
    <cellStyle name="40% - Accent3 8 3 2 2 2" xfId="8628"/>
    <cellStyle name="40% - Accent3 8 3 2 2 2 2" xfId="16599"/>
    <cellStyle name="40% - Accent3 8 3 2 2 2 3" xfId="24545"/>
    <cellStyle name="40% - Accent3 8 3 2 2 3" xfId="13061"/>
    <cellStyle name="40% - Accent3 8 3 2 2 4" xfId="21016"/>
    <cellStyle name="40% - Accent3 8 3 2 3" xfId="6869"/>
    <cellStyle name="40% - Accent3 8 3 2 3 2" xfId="14841"/>
    <cellStyle name="40% - Accent3 8 3 2 3 3" xfId="22788"/>
    <cellStyle name="40% - Accent3 8 3 2 4" xfId="11305"/>
    <cellStyle name="40% - Accent3 8 3 2 5" xfId="19260"/>
    <cellStyle name="40% - Accent3 8 3 2_Exh G" xfId="3043"/>
    <cellStyle name="40% - Accent3 8 3 3" xfId="4158"/>
    <cellStyle name="40% - Accent3 8 3 3 2" xfId="7750"/>
    <cellStyle name="40% - Accent3 8 3 3 2 2" xfId="15721"/>
    <cellStyle name="40% - Accent3 8 3 3 2 3" xfId="23667"/>
    <cellStyle name="40% - Accent3 8 3 3 3" xfId="12183"/>
    <cellStyle name="40% - Accent3 8 3 3 4" xfId="20138"/>
    <cellStyle name="40% - Accent3 8 3 4" xfId="5978"/>
    <cellStyle name="40% - Accent3 8 3 4 2" xfId="13962"/>
    <cellStyle name="40% - Accent3 8 3 4 3" xfId="21910"/>
    <cellStyle name="40% - Accent3 8 3 5" xfId="9531"/>
    <cellStyle name="40% - Accent3 8 3 5 2" xfId="17489"/>
    <cellStyle name="40% - Accent3 8 3 5 3" xfId="25433"/>
    <cellStyle name="40% - Accent3 8 3 6" xfId="10427"/>
    <cellStyle name="40% - Accent3 8 3 7" xfId="18382"/>
    <cellStyle name="40% - Accent3 8 3_Exh G" xfId="3042"/>
    <cellStyle name="40% - Accent3 8 4" xfId="968"/>
    <cellStyle name="40% - Accent3 8 4 2" xfId="1887"/>
    <cellStyle name="40% - Accent3 8 4 2 2" xfId="5405"/>
    <cellStyle name="40% - Accent3 8 4 2 2 2" xfId="8996"/>
    <cellStyle name="40% - Accent3 8 4 2 2 2 2" xfId="16967"/>
    <cellStyle name="40% - Accent3 8 4 2 2 2 3" xfId="24913"/>
    <cellStyle name="40% - Accent3 8 4 2 2 3" xfId="13429"/>
    <cellStyle name="40% - Accent3 8 4 2 2 4" xfId="21384"/>
    <cellStyle name="40% - Accent3 8 4 2 3" xfId="7237"/>
    <cellStyle name="40% - Accent3 8 4 2 3 2" xfId="15209"/>
    <cellStyle name="40% - Accent3 8 4 2 3 3" xfId="23156"/>
    <cellStyle name="40% - Accent3 8 4 2 4" xfId="11673"/>
    <cellStyle name="40% - Accent3 8 4 2 5" xfId="19628"/>
    <cellStyle name="40% - Accent3 8 4 2_Exh G" xfId="3045"/>
    <cellStyle name="40% - Accent3 8 4 3" xfId="4526"/>
    <cellStyle name="40% - Accent3 8 4 3 2" xfId="8118"/>
    <cellStyle name="40% - Accent3 8 4 3 2 2" xfId="16089"/>
    <cellStyle name="40% - Accent3 8 4 3 2 3" xfId="24035"/>
    <cellStyle name="40% - Accent3 8 4 3 3" xfId="12551"/>
    <cellStyle name="40% - Accent3 8 4 3 4" xfId="20506"/>
    <cellStyle name="40% - Accent3 8 4 4" xfId="6356"/>
    <cellStyle name="40% - Accent3 8 4 4 2" xfId="14331"/>
    <cellStyle name="40% - Accent3 8 4 4 3" xfId="22278"/>
    <cellStyle name="40% - Accent3 8 4 5" xfId="9899"/>
    <cellStyle name="40% - Accent3 8 4 5 2" xfId="17857"/>
    <cellStyle name="40% - Accent3 8 4 5 3" xfId="25801"/>
    <cellStyle name="40% - Accent3 8 4 6" xfId="10795"/>
    <cellStyle name="40% - Accent3 8 4 7" xfId="18750"/>
    <cellStyle name="40% - Accent3 8 4_Exh G" xfId="3044"/>
    <cellStyle name="40% - Accent3 8 5" xfId="1504"/>
    <cellStyle name="40% - Accent3 8 5 2" xfId="5034"/>
    <cellStyle name="40% - Accent3 8 5 2 2" xfId="8625"/>
    <cellStyle name="40% - Accent3 8 5 2 2 2" xfId="16596"/>
    <cellStyle name="40% - Accent3 8 5 2 2 3" xfId="24542"/>
    <cellStyle name="40% - Accent3 8 5 2 3" xfId="13058"/>
    <cellStyle name="40% - Accent3 8 5 2 4" xfId="21013"/>
    <cellStyle name="40% - Accent3 8 5 3" xfId="6866"/>
    <cellStyle name="40% - Accent3 8 5 3 2" xfId="14838"/>
    <cellStyle name="40% - Accent3 8 5 3 3" xfId="22785"/>
    <cellStyle name="40% - Accent3 8 5 4" xfId="11302"/>
    <cellStyle name="40% - Accent3 8 5 5" xfId="19257"/>
    <cellStyle name="40% - Accent3 8 5_Exh G" xfId="3046"/>
    <cellStyle name="40% - Accent3 8 6" xfId="4155"/>
    <cellStyle name="40% - Accent3 8 6 2" xfId="7747"/>
    <cellStyle name="40% - Accent3 8 6 2 2" xfId="15718"/>
    <cellStyle name="40% - Accent3 8 6 2 3" xfId="23664"/>
    <cellStyle name="40% - Accent3 8 6 3" xfId="12180"/>
    <cellStyle name="40% - Accent3 8 6 4" xfId="20135"/>
    <cellStyle name="40% - Accent3 8 7" xfId="5975"/>
    <cellStyle name="40% - Accent3 8 7 2" xfId="13959"/>
    <cellStyle name="40% - Accent3 8 7 3" xfId="21907"/>
    <cellStyle name="40% - Accent3 8 8" xfId="9528"/>
    <cellStyle name="40% - Accent3 8 8 2" xfId="17486"/>
    <cellStyle name="40% - Accent3 8 8 3" xfId="25430"/>
    <cellStyle name="40% - Accent3 8 9" xfId="10424"/>
    <cellStyle name="40% - Accent3 8_Exh G" xfId="3037"/>
    <cellStyle name="40% - Accent3 9" xfId="480"/>
    <cellStyle name="40% - Accent3 9 10" xfId="18383"/>
    <cellStyle name="40% - Accent3 9 2" xfId="481"/>
    <cellStyle name="40% - Accent3 9 2 2" xfId="482"/>
    <cellStyle name="40% - Accent3 9 2 2 2" xfId="1510"/>
    <cellStyle name="40% - Accent3 9 2 2 2 2" xfId="5040"/>
    <cellStyle name="40% - Accent3 9 2 2 2 2 2" xfId="8631"/>
    <cellStyle name="40% - Accent3 9 2 2 2 2 2 2" xfId="16602"/>
    <cellStyle name="40% - Accent3 9 2 2 2 2 2 3" xfId="24548"/>
    <cellStyle name="40% - Accent3 9 2 2 2 2 3" xfId="13064"/>
    <cellStyle name="40% - Accent3 9 2 2 2 2 4" xfId="21019"/>
    <cellStyle name="40% - Accent3 9 2 2 2 3" xfId="6872"/>
    <cellStyle name="40% - Accent3 9 2 2 2 3 2" xfId="14844"/>
    <cellStyle name="40% - Accent3 9 2 2 2 3 3" xfId="22791"/>
    <cellStyle name="40% - Accent3 9 2 2 2 4" xfId="11308"/>
    <cellStyle name="40% - Accent3 9 2 2 2 5" xfId="19263"/>
    <cellStyle name="40% - Accent3 9 2 2 2_Exh G" xfId="3050"/>
    <cellStyle name="40% - Accent3 9 2 2 3" xfId="4161"/>
    <cellStyle name="40% - Accent3 9 2 2 3 2" xfId="7753"/>
    <cellStyle name="40% - Accent3 9 2 2 3 2 2" xfId="15724"/>
    <cellStyle name="40% - Accent3 9 2 2 3 2 3" xfId="23670"/>
    <cellStyle name="40% - Accent3 9 2 2 3 3" xfId="12186"/>
    <cellStyle name="40% - Accent3 9 2 2 3 4" xfId="20141"/>
    <cellStyle name="40% - Accent3 9 2 2 4" xfId="5981"/>
    <cellStyle name="40% - Accent3 9 2 2 4 2" xfId="13965"/>
    <cellStyle name="40% - Accent3 9 2 2 4 3" xfId="21913"/>
    <cellStyle name="40% - Accent3 9 2 2 5" xfId="9534"/>
    <cellStyle name="40% - Accent3 9 2 2 5 2" xfId="17492"/>
    <cellStyle name="40% - Accent3 9 2 2 5 3" xfId="25436"/>
    <cellStyle name="40% - Accent3 9 2 2 6" xfId="10430"/>
    <cellStyle name="40% - Accent3 9 2 2 7" xfId="18385"/>
    <cellStyle name="40% - Accent3 9 2 2_Exh G" xfId="3049"/>
    <cellStyle name="40% - Accent3 9 2 3" xfId="1509"/>
    <cellStyle name="40% - Accent3 9 2 3 2" xfId="5039"/>
    <cellStyle name="40% - Accent3 9 2 3 2 2" xfId="8630"/>
    <cellStyle name="40% - Accent3 9 2 3 2 2 2" xfId="16601"/>
    <cellStyle name="40% - Accent3 9 2 3 2 2 3" xfId="24547"/>
    <cellStyle name="40% - Accent3 9 2 3 2 3" xfId="13063"/>
    <cellStyle name="40% - Accent3 9 2 3 2 4" xfId="21018"/>
    <cellStyle name="40% - Accent3 9 2 3 3" xfId="6871"/>
    <cellStyle name="40% - Accent3 9 2 3 3 2" xfId="14843"/>
    <cellStyle name="40% - Accent3 9 2 3 3 3" xfId="22790"/>
    <cellStyle name="40% - Accent3 9 2 3 4" xfId="11307"/>
    <cellStyle name="40% - Accent3 9 2 3 5" xfId="19262"/>
    <cellStyle name="40% - Accent3 9 2 3_Exh G" xfId="3051"/>
    <cellStyle name="40% - Accent3 9 2 4" xfId="4160"/>
    <cellStyle name="40% - Accent3 9 2 4 2" xfId="7752"/>
    <cellStyle name="40% - Accent3 9 2 4 2 2" xfId="15723"/>
    <cellStyle name="40% - Accent3 9 2 4 2 3" xfId="23669"/>
    <cellStyle name="40% - Accent3 9 2 4 3" xfId="12185"/>
    <cellStyle name="40% - Accent3 9 2 4 4" xfId="20140"/>
    <cellStyle name="40% - Accent3 9 2 5" xfId="5980"/>
    <cellStyle name="40% - Accent3 9 2 5 2" xfId="13964"/>
    <cellStyle name="40% - Accent3 9 2 5 3" xfId="21912"/>
    <cellStyle name="40% - Accent3 9 2 6" xfId="9533"/>
    <cellStyle name="40% - Accent3 9 2 6 2" xfId="17491"/>
    <cellStyle name="40% - Accent3 9 2 6 3" xfId="25435"/>
    <cellStyle name="40% - Accent3 9 2 7" xfId="10429"/>
    <cellStyle name="40% - Accent3 9 2 8" xfId="18384"/>
    <cellStyle name="40% - Accent3 9 2_Exh G" xfId="3048"/>
    <cellStyle name="40% - Accent3 9 3" xfId="483"/>
    <cellStyle name="40% - Accent3 9 3 2" xfId="1511"/>
    <cellStyle name="40% - Accent3 9 3 2 2" xfId="5041"/>
    <cellStyle name="40% - Accent3 9 3 2 2 2" xfId="8632"/>
    <cellStyle name="40% - Accent3 9 3 2 2 2 2" xfId="16603"/>
    <cellStyle name="40% - Accent3 9 3 2 2 2 3" xfId="24549"/>
    <cellStyle name="40% - Accent3 9 3 2 2 3" xfId="13065"/>
    <cellStyle name="40% - Accent3 9 3 2 2 4" xfId="21020"/>
    <cellStyle name="40% - Accent3 9 3 2 3" xfId="6873"/>
    <cellStyle name="40% - Accent3 9 3 2 3 2" xfId="14845"/>
    <cellStyle name="40% - Accent3 9 3 2 3 3" xfId="22792"/>
    <cellStyle name="40% - Accent3 9 3 2 4" xfId="11309"/>
    <cellStyle name="40% - Accent3 9 3 2 5" xfId="19264"/>
    <cellStyle name="40% - Accent3 9 3 2_Exh G" xfId="3053"/>
    <cellStyle name="40% - Accent3 9 3 3" xfId="4162"/>
    <cellStyle name="40% - Accent3 9 3 3 2" xfId="7754"/>
    <cellStyle name="40% - Accent3 9 3 3 2 2" xfId="15725"/>
    <cellStyle name="40% - Accent3 9 3 3 2 3" xfId="23671"/>
    <cellStyle name="40% - Accent3 9 3 3 3" xfId="12187"/>
    <cellStyle name="40% - Accent3 9 3 3 4" xfId="20142"/>
    <cellStyle name="40% - Accent3 9 3 4" xfId="5982"/>
    <cellStyle name="40% - Accent3 9 3 4 2" xfId="13966"/>
    <cellStyle name="40% - Accent3 9 3 4 3" xfId="21914"/>
    <cellStyle name="40% - Accent3 9 3 5" xfId="9535"/>
    <cellStyle name="40% - Accent3 9 3 5 2" xfId="17493"/>
    <cellStyle name="40% - Accent3 9 3 5 3" xfId="25437"/>
    <cellStyle name="40% - Accent3 9 3 6" xfId="10431"/>
    <cellStyle name="40% - Accent3 9 3 7" xfId="18386"/>
    <cellStyle name="40% - Accent3 9 3_Exh G" xfId="3052"/>
    <cellStyle name="40% - Accent3 9 4" xfId="969"/>
    <cellStyle name="40% - Accent3 9 4 2" xfId="1888"/>
    <cellStyle name="40% - Accent3 9 4 2 2" xfId="5406"/>
    <cellStyle name="40% - Accent3 9 4 2 2 2" xfId="8997"/>
    <cellStyle name="40% - Accent3 9 4 2 2 2 2" xfId="16968"/>
    <cellStyle name="40% - Accent3 9 4 2 2 2 3" xfId="24914"/>
    <cellStyle name="40% - Accent3 9 4 2 2 3" xfId="13430"/>
    <cellStyle name="40% - Accent3 9 4 2 2 4" xfId="21385"/>
    <cellStyle name="40% - Accent3 9 4 2 3" xfId="7238"/>
    <cellStyle name="40% - Accent3 9 4 2 3 2" xfId="15210"/>
    <cellStyle name="40% - Accent3 9 4 2 3 3" xfId="23157"/>
    <cellStyle name="40% - Accent3 9 4 2 4" xfId="11674"/>
    <cellStyle name="40% - Accent3 9 4 2 5" xfId="19629"/>
    <cellStyle name="40% - Accent3 9 4 2_Exh G" xfId="3055"/>
    <cellStyle name="40% - Accent3 9 4 3" xfId="4527"/>
    <cellStyle name="40% - Accent3 9 4 3 2" xfId="8119"/>
    <cellStyle name="40% - Accent3 9 4 3 2 2" xfId="16090"/>
    <cellStyle name="40% - Accent3 9 4 3 2 3" xfId="24036"/>
    <cellStyle name="40% - Accent3 9 4 3 3" xfId="12552"/>
    <cellStyle name="40% - Accent3 9 4 3 4" xfId="20507"/>
    <cellStyle name="40% - Accent3 9 4 4" xfId="6357"/>
    <cellStyle name="40% - Accent3 9 4 4 2" xfId="14332"/>
    <cellStyle name="40% - Accent3 9 4 4 3" xfId="22279"/>
    <cellStyle name="40% - Accent3 9 4 5" xfId="9900"/>
    <cellStyle name="40% - Accent3 9 4 5 2" xfId="17858"/>
    <cellStyle name="40% - Accent3 9 4 5 3" xfId="25802"/>
    <cellStyle name="40% - Accent3 9 4 6" xfId="10796"/>
    <cellStyle name="40% - Accent3 9 4 7" xfId="18751"/>
    <cellStyle name="40% - Accent3 9 4_Exh G" xfId="3054"/>
    <cellStyle name="40% - Accent3 9 5" xfId="1508"/>
    <cellStyle name="40% - Accent3 9 5 2" xfId="5038"/>
    <cellStyle name="40% - Accent3 9 5 2 2" xfId="8629"/>
    <cellStyle name="40% - Accent3 9 5 2 2 2" xfId="16600"/>
    <cellStyle name="40% - Accent3 9 5 2 2 3" xfId="24546"/>
    <cellStyle name="40% - Accent3 9 5 2 3" xfId="13062"/>
    <cellStyle name="40% - Accent3 9 5 2 4" xfId="21017"/>
    <cellStyle name="40% - Accent3 9 5 3" xfId="6870"/>
    <cellStyle name="40% - Accent3 9 5 3 2" xfId="14842"/>
    <cellStyle name="40% - Accent3 9 5 3 3" xfId="22789"/>
    <cellStyle name="40% - Accent3 9 5 4" xfId="11306"/>
    <cellStyle name="40% - Accent3 9 5 5" xfId="19261"/>
    <cellStyle name="40% - Accent3 9 5_Exh G" xfId="3056"/>
    <cellStyle name="40% - Accent3 9 6" xfId="4159"/>
    <cellStyle name="40% - Accent3 9 6 2" xfId="7751"/>
    <cellStyle name="40% - Accent3 9 6 2 2" xfId="15722"/>
    <cellStyle name="40% - Accent3 9 6 2 3" xfId="23668"/>
    <cellStyle name="40% - Accent3 9 6 3" xfId="12184"/>
    <cellStyle name="40% - Accent3 9 6 4" xfId="20139"/>
    <cellStyle name="40% - Accent3 9 7" xfId="5979"/>
    <cellStyle name="40% - Accent3 9 7 2" xfId="13963"/>
    <cellStyle name="40% - Accent3 9 7 3" xfId="21911"/>
    <cellStyle name="40% - Accent3 9 8" xfId="9532"/>
    <cellStyle name="40% - Accent3 9 8 2" xfId="17490"/>
    <cellStyle name="40% - Accent3 9 8 3" xfId="25434"/>
    <cellStyle name="40% - Accent3 9 9" xfId="10428"/>
    <cellStyle name="40% - Accent3 9_Exh G" xfId="3047"/>
    <cellStyle name="40% - Accent4 10" xfId="484"/>
    <cellStyle name="40% - Accent4 10 10" xfId="18387"/>
    <cellStyle name="40% - Accent4 10 2" xfId="485"/>
    <cellStyle name="40% - Accent4 10 2 2" xfId="486"/>
    <cellStyle name="40% - Accent4 10 2 2 2" xfId="1514"/>
    <cellStyle name="40% - Accent4 10 2 2 2 2" xfId="5044"/>
    <cellStyle name="40% - Accent4 10 2 2 2 2 2" xfId="8635"/>
    <cellStyle name="40% - Accent4 10 2 2 2 2 2 2" xfId="16606"/>
    <cellStyle name="40% - Accent4 10 2 2 2 2 2 3" xfId="24552"/>
    <cellStyle name="40% - Accent4 10 2 2 2 2 3" xfId="13068"/>
    <cellStyle name="40% - Accent4 10 2 2 2 2 4" xfId="21023"/>
    <cellStyle name="40% - Accent4 10 2 2 2 3" xfId="6876"/>
    <cellStyle name="40% - Accent4 10 2 2 2 3 2" xfId="14848"/>
    <cellStyle name="40% - Accent4 10 2 2 2 3 3" xfId="22795"/>
    <cellStyle name="40% - Accent4 10 2 2 2 4" xfId="11312"/>
    <cellStyle name="40% - Accent4 10 2 2 2 5" xfId="19267"/>
    <cellStyle name="40% - Accent4 10 2 2 2_Exh G" xfId="3060"/>
    <cellStyle name="40% - Accent4 10 2 2 3" xfId="4165"/>
    <cellStyle name="40% - Accent4 10 2 2 3 2" xfId="7757"/>
    <cellStyle name="40% - Accent4 10 2 2 3 2 2" xfId="15728"/>
    <cellStyle name="40% - Accent4 10 2 2 3 2 3" xfId="23674"/>
    <cellStyle name="40% - Accent4 10 2 2 3 3" xfId="12190"/>
    <cellStyle name="40% - Accent4 10 2 2 3 4" xfId="20145"/>
    <cellStyle name="40% - Accent4 10 2 2 4" xfId="5985"/>
    <cellStyle name="40% - Accent4 10 2 2 4 2" xfId="13969"/>
    <cellStyle name="40% - Accent4 10 2 2 4 3" xfId="21917"/>
    <cellStyle name="40% - Accent4 10 2 2 5" xfId="9538"/>
    <cellStyle name="40% - Accent4 10 2 2 5 2" xfId="17496"/>
    <cellStyle name="40% - Accent4 10 2 2 5 3" xfId="25440"/>
    <cellStyle name="40% - Accent4 10 2 2 6" xfId="10434"/>
    <cellStyle name="40% - Accent4 10 2 2 7" xfId="18389"/>
    <cellStyle name="40% - Accent4 10 2 2_Exh G" xfId="3059"/>
    <cellStyle name="40% - Accent4 10 2 3" xfId="1513"/>
    <cellStyle name="40% - Accent4 10 2 3 2" xfId="5043"/>
    <cellStyle name="40% - Accent4 10 2 3 2 2" xfId="8634"/>
    <cellStyle name="40% - Accent4 10 2 3 2 2 2" xfId="16605"/>
    <cellStyle name="40% - Accent4 10 2 3 2 2 3" xfId="24551"/>
    <cellStyle name="40% - Accent4 10 2 3 2 3" xfId="13067"/>
    <cellStyle name="40% - Accent4 10 2 3 2 4" xfId="21022"/>
    <cellStyle name="40% - Accent4 10 2 3 3" xfId="6875"/>
    <cellStyle name="40% - Accent4 10 2 3 3 2" xfId="14847"/>
    <cellStyle name="40% - Accent4 10 2 3 3 3" xfId="22794"/>
    <cellStyle name="40% - Accent4 10 2 3 4" xfId="11311"/>
    <cellStyle name="40% - Accent4 10 2 3 5" xfId="19266"/>
    <cellStyle name="40% - Accent4 10 2 3_Exh G" xfId="3061"/>
    <cellStyle name="40% - Accent4 10 2 4" xfId="4164"/>
    <cellStyle name="40% - Accent4 10 2 4 2" xfId="7756"/>
    <cellStyle name="40% - Accent4 10 2 4 2 2" xfId="15727"/>
    <cellStyle name="40% - Accent4 10 2 4 2 3" xfId="23673"/>
    <cellStyle name="40% - Accent4 10 2 4 3" xfId="12189"/>
    <cellStyle name="40% - Accent4 10 2 4 4" xfId="20144"/>
    <cellStyle name="40% - Accent4 10 2 5" xfId="5984"/>
    <cellStyle name="40% - Accent4 10 2 5 2" xfId="13968"/>
    <cellStyle name="40% - Accent4 10 2 5 3" xfId="21916"/>
    <cellStyle name="40% - Accent4 10 2 6" xfId="9537"/>
    <cellStyle name="40% - Accent4 10 2 6 2" xfId="17495"/>
    <cellStyle name="40% - Accent4 10 2 6 3" xfId="25439"/>
    <cellStyle name="40% - Accent4 10 2 7" xfId="10433"/>
    <cellStyle name="40% - Accent4 10 2 8" xfId="18388"/>
    <cellStyle name="40% - Accent4 10 2_Exh G" xfId="3058"/>
    <cellStyle name="40% - Accent4 10 3" xfId="487"/>
    <cellStyle name="40% - Accent4 10 3 2" xfId="1515"/>
    <cellStyle name="40% - Accent4 10 3 2 2" xfId="5045"/>
    <cellStyle name="40% - Accent4 10 3 2 2 2" xfId="8636"/>
    <cellStyle name="40% - Accent4 10 3 2 2 2 2" xfId="16607"/>
    <cellStyle name="40% - Accent4 10 3 2 2 2 3" xfId="24553"/>
    <cellStyle name="40% - Accent4 10 3 2 2 3" xfId="13069"/>
    <cellStyle name="40% - Accent4 10 3 2 2 4" xfId="21024"/>
    <cellStyle name="40% - Accent4 10 3 2 3" xfId="6877"/>
    <cellStyle name="40% - Accent4 10 3 2 3 2" xfId="14849"/>
    <cellStyle name="40% - Accent4 10 3 2 3 3" xfId="22796"/>
    <cellStyle name="40% - Accent4 10 3 2 4" xfId="11313"/>
    <cellStyle name="40% - Accent4 10 3 2 5" xfId="19268"/>
    <cellStyle name="40% - Accent4 10 3 2_Exh G" xfId="3063"/>
    <cellStyle name="40% - Accent4 10 3 3" xfId="4166"/>
    <cellStyle name="40% - Accent4 10 3 3 2" xfId="7758"/>
    <cellStyle name="40% - Accent4 10 3 3 2 2" xfId="15729"/>
    <cellStyle name="40% - Accent4 10 3 3 2 3" xfId="23675"/>
    <cellStyle name="40% - Accent4 10 3 3 3" xfId="12191"/>
    <cellStyle name="40% - Accent4 10 3 3 4" xfId="20146"/>
    <cellStyle name="40% - Accent4 10 3 4" xfId="5986"/>
    <cellStyle name="40% - Accent4 10 3 4 2" xfId="13970"/>
    <cellStyle name="40% - Accent4 10 3 4 3" xfId="21918"/>
    <cellStyle name="40% - Accent4 10 3 5" xfId="9539"/>
    <cellStyle name="40% - Accent4 10 3 5 2" xfId="17497"/>
    <cellStyle name="40% - Accent4 10 3 5 3" xfId="25441"/>
    <cellStyle name="40% - Accent4 10 3 6" xfId="10435"/>
    <cellStyle name="40% - Accent4 10 3 7" xfId="18390"/>
    <cellStyle name="40% - Accent4 10 3_Exh G" xfId="3062"/>
    <cellStyle name="40% - Accent4 10 4" xfId="970"/>
    <cellStyle name="40% - Accent4 10 5" xfId="1512"/>
    <cellStyle name="40% - Accent4 10 5 2" xfId="5042"/>
    <cellStyle name="40% - Accent4 10 5 2 2" xfId="8633"/>
    <cellStyle name="40% - Accent4 10 5 2 2 2" xfId="16604"/>
    <cellStyle name="40% - Accent4 10 5 2 2 3" xfId="24550"/>
    <cellStyle name="40% - Accent4 10 5 2 3" xfId="13066"/>
    <cellStyle name="40% - Accent4 10 5 2 4" xfId="21021"/>
    <cellStyle name="40% - Accent4 10 5 3" xfId="6874"/>
    <cellStyle name="40% - Accent4 10 5 3 2" xfId="14846"/>
    <cellStyle name="40% - Accent4 10 5 3 3" xfId="22793"/>
    <cellStyle name="40% - Accent4 10 5 4" xfId="11310"/>
    <cellStyle name="40% - Accent4 10 5 5" xfId="19265"/>
    <cellStyle name="40% - Accent4 10 5_Exh G" xfId="3064"/>
    <cellStyle name="40% - Accent4 10 6" xfId="4163"/>
    <cellStyle name="40% - Accent4 10 6 2" xfId="7755"/>
    <cellStyle name="40% - Accent4 10 6 2 2" xfId="15726"/>
    <cellStyle name="40% - Accent4 10 6 2 3" xfId="23672"/>
    <cellStyle name="40% - Accent4 10 6 3" xfId="12188"/>
    <cellStyle name="40% - Accent4 10 6 4" xfId="20143"/>
    <cellStyle name="40% - Accent4 10 7" xfId="5983"/>
    <cellStyle name="40% - Accent4 10 7 2" xfId="13967"/>
    <cellStyle name="40% - Accent4 10 7 3" xfId="21915"/>
    <cellStyle name="40% - Accent4 10 8" xfId="9536"/>
    <cellStyle name="40% - Accent4 10 8 2" xfId="17494"/>
    <cellStyle name="40% - Accent4 10 8 3" xfId="25438"/>
    <cellStyle name="40% - Accent4 10 9" xfId="10432"/>
    <cellStyle name="40% - Accent4 10_Exh G" xfId="3057"/>
    <cellStyle name="40% - Accent4 11" xfId="488"/>
    <cellStyle name="40% - Accent4 11 2" xfId="489"/>
    <cellStyle name="40% - Accent4 11 2 2" xfId="490"/>
    <cellStyle name="40% - Accent4 11 2 2 2" xfId="1518"/>
    <cellStyle name="40% - Accent4 11 2 2 2 2" xfId="5048"/>
    <cellStyle name="40% - Accent4 11 2 2 2 2 2" xfId="8639"/>
    <cellStyle name="40% - Accent4 11 2 2 2 2 2 2" xfId="16610"/>
    <cellStyle name="40% - Accent4 11 2 2 2 2 2 3" xfId="24556"/>
    <cellStyle name="40% - Accent4 11 2 2 2 2 3" xfId="13072"/>
    <cellStyle name="40% - Accent4 11 2 2 2 2 4" xfId="21027"/>
    <cellStyle name="40% - Accent4 11 2 2 2 3" xfId="6880"/>
    <cellStyle name="40% - Accent4 11 2 2 2 3 2" xfId="14852"/>
    <cellStyle name="40% - Accent4 11 2 2 2 3 3" xfId="22799"/>
    <cellStyle name="40% - Accent4 11 2 2 2 4" xfId="11316"/>
    <cellStyle name="40% - Accent4 11 2 2 2 5" xfId="19271"/>
    <cellStyle name="40% - Accent4 11 2 2 2_Exh G" xfId="3068"/>
    <cellStyle name="40% - Accent4 11 2 2 3" xfId="4169"/>
    <cellStyle name="40% - Accent4 11 2 2 3 2" xfId="7761"/>
    <cellStyle name="40% - Accent4 11 2 2 3 2 2" xfId="15732"/>
    <cellStyle name="40% - Accent4 11 2 2 3 2 3" xfId="23678"/>
    <cellStyle name="40% - Accent4 11 2 2 3 3" xfId="12194"/>
    <cellStyle name="40% - Accent4 11 2 2 3 4" xfId="20149"/>
    <cellStyle name="40% - Accent4 11 2 2 4" xfId="5989"/>
    <cellStyle name="40% - Accent4 11 2 2 4 2" xfId="13973"/>
    <cellStyle name="40% - Accent4 11 2 2 4 3" xfId="21921"/>
    <cellStyle name="40% - Accent4 11 2 2 5" xfId="9542"/>
    <cellStyle name="40% - Accent4 11 2 2 5 2" xfId="17500"/>
    <cellStyle name="40% - Accent4 11 2 2 5 3" xfId="25444"/>
    <cellStyle name="40% - Accent4 11 2 2 6" xfId="10438"/>
    <cellStyle name="40% - Accent4 11 2 2 7" xfId="18393"/>
    <cellStyle name="40% - Accent4 11 2 2_Exh G" xfId="3067"/>
    <cellStyle name="40% - Accent4 11 2 3" xfId="1517"/>
    <cellStyle name="40% - Accent4 11 2 3 2" xfId="5047"/>
    <cellStyle name="40% - Accent4 11 2 3 2 2" xfId="8638"/>
    <cellStyle name="40% - Accent4 11 2 3 2 2 2" xfId="16609"/>
    <cellStyle name="40% - Accent4 11 2 3 2 2 3" xfId="24555"/>
    <cellStyle name="40% - Accent4 11 2 3 2 3" xfId="13071"/>
    <cellStyle name="40% - Accent4 11 2 3 2 4" xfId="21026"/>
    <cellStyle name="40% - Accent4 11 2 3 3" xfId="6879"/>
    <cellStyle name="40% - Accent4 11 2 3 3 2" xfId="14851"/>
    <cellStyle name="40% - Accent4 11 2 3 3 3" xfId="22798"/>
    <cellStyle name="40% - Accent4 11 2 3 4" xfId="11315"/>
    <cellStyle name="40% - Accent4 11 2 3 5" xfId="19270"/>
    <cellStyle name="40% - Accent4 11 2 3_Exh G" xfId="3069"/>
    <cellStyle name="40% - Accent4 11 2 4" xfId="4168"/>
    <cellStyle name="40% - Accent4 11 2 4 2" xfId="7760"/>
    <cellStyle name="40% - Accent4 11 2 4 2 2" xfId="15731"/>
    <cellStyle name="40% - Accent4 11 2 4 2 3" xfId="23677"/>
    <cellStyle name="40% - Accent4 11 2 4 3" xfId="12193"/>
    <cellStyle name="40% - Accent4 11 2 4 4" xfId="20148"/>
    <cellStyle name="40% - Accent4 11 2 5" xfId="5988"/>
    <cellStyle name="40% - Accent4 11 2 5 2" xfId="13972"/>
    <cellStyle name="40% - Accent4 11 2 5 3" xfId="21920"/>
    <cellStyle name="40% - Accent4 11 2 6" xfId="9541"/>
    <cellStyle name="40% - Accent4 11 2 6 2" xfId="17499"/>
    <cellStyle name="40% - Accent4 11 2 6 3" xfId="25443"/>
    <cellStyle name="40% - Accent4 11 2 7" xfId="10437"/>
    <cellStyle name="40% - Accent4 11 2 8" xfId="18392"/>
    <cellStyle name="40% - Accent4 11 2_Exh G" xfId="3066"/>
    <cellStyle name="40% - Accent4 11 3" xfId="491"/>
    <cellStyle name="40% - Accent4 11 3 2" xfId="1519"/>
    <cellStyle name="40% - Accent4 11 3 2 2" xfId="5049"/>
    <cellStyle name="40% - Accent4 11 3 2 2 2" xfId="8640"/>
    <cellStyle name="40% - Accent4 11 3 2 2 2 2" xfId="16611"/>
    <cellStyle name="40% - Accent4 11 3 2 2 2 3" xfId="24557"/>
    <cellStyle name="40% - Accent4 11 3 2 2 3" xfId="13073"/>
    <cellStyle name="40% - Accent4 11 3 2 2 4" xfId="21028"/>
    <cellStyle name="40% - Accent4 11 3 2 3" xfId="6881"/>
    <cellStyle name="40% - Accent4 11 3 2 3 2" xfId="14853"/>
    <cellStyle name="40% - Accent4 11 3 2 3 3" xfId="22800"/>
    <cellStyle name="40% - Accent4 11 3 2 4" xfId="11317"/>
    <cellStyle name="40% - Accent4 11 3 2 5" xfId="19272"/>
    <cellStyle name="40% - Accent4 11 3 2_Exh G" xfId="3071"/>
    <cellStyle name="40% - Accent4 11 3 3" xfId="4170"/>
    <cellStyle name="40% - Accent4 11 3 3 2" xfId="7762"/>
    <cellStyle name="40% - Accent4 11 3 3 2 2" xfId="15733"/>
    <cellStyle name="40% - Accent4 11 3 3 2 3" xfId="23679"/>
    <cellStyle name="40% - Accent4 11 3 3 3" xfId="12195"/>
    <cellStyle name="40% - Accent4 11 3 3 4" xfId="20150"/>
    <cellStyle name="40% - Accent4 11 3 4" xfId="5990"/>
    <cellStyle name="40% - Accent4 11 3 4 2" xfId="13974"/>
    <cellStyle name="40% - Accent4 11 3 4 3" xfId="21922"/>
    <cellStyle name="40% - Accent4 11 3 5" xfId="9543"/>
    <cellStyle name="40% - Accent4 11 3 5 2" xfId="17501"/>
    <cellStyle name="40% - Accent4 11 3 5 3" xfId="25445"/>
    <cellStyle name="40% - Accent4 11 3 6" xfId="10439"/>
    <cellStyle name="40% - Accent4 11 3 7" xfId="18394"/>
    <cellStyle name="40% - Accent4 11 3_Exh G" xfId="3070"/>
    <cellStyle name="40% - Accent4 11 4" xfId="1516"/>
    <cellStyle name="40% - Accent4 11 4 2" xfId="5046"/>
    <cellStyle name="40% - Accent4 11 4 2 2" xfId="8637"/>
    <cellStyle name="40% - Accent4 11 4 2 2 2" xfId="16608"/>
    <cellStyle name="40% - Accent4 11 4 2 2 3" xfId="24554"/>
    <cellStyle name="40% - Accent4 11 4 2 3" xfId="13070"/>
    <cellStyle name="40% - Accent4 11 4 2 4" xfId="21025"/>
    <cellStyle name="40% - Accent4 11 4 3" xfId="6878"/>
    <cellStyle name="40% - Accent4 11 4 3 2" xfId="14850"/>
    <cellStyle name="40% - Accent4 11 4 3 3" xfId="22797"/>
    <cellStyle name="40% - Accent4 11 4 4" xfId="11314"/>
    <cellStyle name="40% - Accent4 11 4 5" xfId="19269"/>
    <cellStyle name="40% - Accent4 11 4_Exh G" xfId="3072"/>
    <cellStyle name="40% - Accent4 11 5" xfId="4167"/>
    <cellStyle name="40% - Accent4 11 5 2" xfId="7759"/>
    <cellStyle name="40% - Accent4 11 5 2 2" xfId="15730"/>
    <cellStyle name="40% - Accent4 11 5 2 3" xfId="23676"/>
    <cellStyle name="40% - Accent4 11 5 3" xfId="12192"/>
    <cellStyle name="40% - Accent4 11 5 4" xfId="20147"/>
    <cellStyle name="40% - Accent4 11 6" xfId="5987"/>
    <cellStyle name="40% - Accent4 11 6 2" xfId="13971"/>
    <cellStyle name="40% - Accent4 11 6 3" xfId="21919"/>
    <cellStyle name="40% - Accent4 11 7" xfId="9540"/>
    <cellStyle name="40% - Accent4 11 7 2" xfId="17498"/>
    <cellStyle name="40% - Accent4 11 7 3" xfId="25442"/>
    <cellStyle name="40% - Accent4 11 8" xfId="10436"/>
    <cellStyle name="40% - Accent4 11 9" xfId="18391"/>
    <cellStyle name="40% - Accent4 11_Exh G" xfId="3065"/>
    <cellStyle name="40% - Accent4 12" xfId="492"/>
    <cellStyle name="40% - Accent4 12 2" xfId="493"/>
    <cellStyle name="40% - Accent4 12 2 2" xfId="494"/>
    <cellStyle name="40% - Accent4 12 2 2 2" xfId="1522"/>
    <cellStyle name="40% - Accent4 12 2 2 2 2" xfId="5052"/>
    <cellStyle name="40% - Accent4 12 2 2 2 2 2" xfId="8643"/>
    <cellStyle name="40% - Accent4 12 2 2 2 2 2 2" xfId="16614"/>
    <cellStyle name="40% - Accent4 12 2 2 2 2 2 3" xfId="24560"/>
    <cellStyle name="40% - Accent4 12 2 2 2 2 3" xfId="13076"/>
    <cellStyle name="40% - Accent4 12 2 2 2 2 4" xfId="21031"/>
    <cellStyle name="40% - Accent4 12 2 2 2 3" xfId="6884"/>
    <cellStyle name="40% - Accent4 12 2 2 2 3 2" xfId="14856"/>
    <cellStyle name="40% - Accent4 12 2 2 2 3 3" xfId="22803"/>
    <cellStyle name="40% - Accent4 12 2 2 2 4" xfId="11320"/>
    <cellStyle name="40% - Accent4 12 2 2 2 5" xfId="19275"/>
    <cellStyle name="40% - Accent4 12 2 2 2_Exh G" xfId="3076"/>
    <cellStyle name="40% - Accent4 12 2 2 3" xfId="4173"/>
    <cellStyle name="40% - Accent4 12 2 2 3 2" xfId="7765"/>
    <cellStyle name="40% - Accent4 12 2 2 3 2 2" xfId="15736"/>
    <cellStyle name="40% - Accent4 12 2 2 3 2 3" xfId="23682"/>
    <cellStyle name="40% - Accent4 12 2 2 3 3" xfId="12198"/>
    <cellStyle name="40% - Accent4 12 2 2 3 4" xfId="20153"/>
    <cellStyle name="40% - Accent4 12 2 2 4" xfId="5993"/>
    <cellStyle name="40% - Accent4 12 2 2 4 2" xfId="13977"/>
    <cellStyle name="40% - Accent4 12 2 2 4 3" xfId="21925"/>
    <cellStyle name="40% - Accent4 12 2 2 5" xfId="9546"/>
    <cellStyle name="40% - Accent4 12 2 2 5 2" xfId="17504"/>
    <cellStyle name="40% - Accent4 12 2 2 5 3" xfId="25448"/>
    <cellStyle name="40% - Accent4 12 2 2 6" xfId="10442"/>
    <cellStyle name="40% - Accent4 12 2 2 7" xfId="18397"/>
    <cellStyle name="40% - Accent4 12 2 2_Exh G" xfId="3075"/>
    <cellStyle name="40% - Accent4 12 2 3" xfId="1521"/>
    <cellStyle name="40% - Accent4 12 2 3 2" xfId="5051"/>
    <cellStyle name="40% - Accent4 12 2 3 2 2" xfId="8642"/>
    <cellStyle name="40% - Accent4 12 2 3 2 2 2" xfId="16613"/>
    <cellStyle name="40% - Accent4 12 2 3 2 2 3" xfId="24559"/>
    <cellStyle name="40% - Accent4 12 2 3 2 3" xfId="13075"/>
    <cellStyle name="40% - Accent4 12 2 3 2 4" xfId="21030"/>
    <cellStyle name="40% - Accent4 12 2 3 3" xfId="6883"/>
    <cellStyle name="40% - Accent4 12 2 3 3 2" xfId="14855"/>
    <cellStyle name="40% - Accent4 12 2 3 3 3" xfId="22802"/>
    <cellStyle name="40% - Accent4 12 2 3 4" xfId="11319"/>
    <cellStyle name="40% - Accent4 12 2 3 5" xfId="19274"/>
    <cellStyle name="40% - Accent4 12 2 3_Exh G" xfId="3077"/>
    <cellStyle name="40% - Accent4 12 2 4" xfId="4172"/>
    <cellStyle name="40% - Accent4 12 2 4 2" xfId="7764"/>
    <cellStyle name="40% - Accent4 12 2 4 2 2" xfId="15735"/>
    <cellStyle name="40% - Accent4 12 2 4 2 3" xfId="23681"/>
    <cellStyle name="40% - Accent4 12 2 4 3" xfId="12197"/>
    <cellStyle name="40% - Accent4 12 2 4 4" xfId="20152"/>
    <cellStyle name="40% - Accent4 12 2 5" xfId="5992"/>
    <cellStyle name="40% - Accent4 12 2 5 2" xfId="13976"/>
    <cellStyle name="40% - Accent4 12 2 5 3" xfId="21924"/>
    <cellStyle name="40% - Accent4 12 2 6" xfId="9545"/>
    <cellStyle name="40% - Accent4 12 2 6 2" xfId="17503"/>
    <cellStyle name="40% - Accent4 12 2 6 3" xfId="25447"/>
    <cellStyle name="40% - Accent4 12 2 7" xfId="10441"/>
    <cellStyle name="40% - Accent4 12 2 8" xfId="18396"/>
    <cellStyle name="40% - Accent4 12 2_Exh G" xfId="3074"/>
    <cellStyle name="40% - Accent4 12 3" xfId="495"/>
    <cellStyle name="40% - Accent4 12 3 2" xfId="1523"/>
    <cellStyle name="40% - Accent4 12 3 2 2" xfId="5053"/>
    <cellStyle name="40% - Accent4 12 3 2 2 2" xfId="8644"/>
    <cellStyle name="40% - Accent4 12 3 2 2 2 2" xfId="16615"/>
    <cellStyle name="40% - Accent4 12 3 2 2 2 3" xfId="24561"/>
    <cellStyle name="40% - Accent4 12 3 2 2 3" xfId="13077"/>
    <cellStyle name="40% - Accent4 12 3 2 2 4" xfId="21032"/>
    <cellStyle name="40% - Accent4 12 3 2 3" xfId="6885"/>
    <cellStyle name="40% - Accent4 12 3 2 3 2" xfId="14857"/>
    <cellStyle name="40% - Accent4 12 3 2 3 3" xfId="22804"/>
    <cellStyle name="40% - Accent4 12 3 2 4" xfId="11321"/>
    <cellStyle name="40% - Accent4 12 3 2 5" xfId="19276"/>
    <cellStyle name="40% - Accent4 12 3 2_Exh G" xfId="3079"/>
    <cellStyle name="40% - Accent4 12 3 3" xfId="4174"/>
    <cellStyle name="40% - Accent4 12 3 3 2" xfId="7766"/>
    <cellStyle name="40% - Accent4 12 3 3 2 2" xfId="15737"/>
    <cellStyle name="40% - Accent4 12 3 3 2 3" xfId="23683"/>
    <cellStyle name="40% - Accent4 12 3 3 3" xfId="12199"/>
    <cellStyle name="40% - Accent4 12 3 3 4" xfId="20154"/>
    <cellStyle name="40% - Accent4 12 3 4" xfId="5994"/>
    <cellStyle name="40% - Accent4 12 3 4 2" xfId="13978"/>
    <cellStyle name="40% - Accent4 12 3 4 3" xfId="21926"/>
    <cellStyle name="40% - Accent4 12 3 5" xfId="9547"/>
    <cellStyle name="40% - Accent4 12 3 5 2" xfId="17505"/>
    <cellStyle name="40% - Accent4 12 3 5 3" xfId="25449"/>
    <cellStyle name="40% - Accent4 12 3 6" xfId="10443"/>
    <cellStyle name="40% - Accent4 12 3 7" xfId="18398"/>
    <cellStyle name="40% - Accent4 12 3_Exh G" xfId="3078"/>
    <cellStyle name="40% - Accent4 12 4" xfId="1520"/>
    <cellStyle name="40% - Accent4 12 4 2" xfId="5050"/>
    <cellStyle name="40% - Accent4 12 4 2 2" xfId="8641"/>
    <cellStyle name="40% - Accent4 12 4 2 2 2" xfId="16612"/>
    <cellStyle name="40% - Accent4 12 4 2 2 3" xfId="24558"/>
    <cellStyle name="40% - Accent4 12 4 2 3" xfId="13074"/>
    <cellStyle name="40% - Accent4 12 4 2 4" xfId="21029"/>
    <cellStyle name="40% - Accent4 12 4 3" xfId="6882"/>
    <cellStyle name="40% - Accent4 12 4 3 2" xfId="14854"/>
    <cellStyle name="40% - Accent4 12 4 3 3" xfId="22801"/>
    <cellStyle name="40% - Accent4 12 4 4" xfId="11318"/>
    <cellStyle name="40% - Accent4 12 4 5" xfId="19273"/>
    <cellStyle name="40% - Accent4 12 4_Exh G" xfId="3080"/>
    <cellStyle name="40% - Accent4 12 5" xfId="4171"/>
    <cellStyle name="40% - Accent4 12 5 2" xfId="7763"/>
    <cellStyle name="40% - Accent4 12 5 2 2" xfId="15734"/>
    <cellStyle name="40% - Accent4 12 5 2 3" xfId="23680"/>
    <cellStyle name="40% - Accent4 12 5 3" xfId="12196"/>
    <cellStyle name="40% - Accent4 12 5 4" xfId="20151"/>
    <cellStyle name="40% - Accent4 12 6" xfId="5991"/>
    <cellStyle name="40% - Accent4 12 6 2" xfId="13975"/>
    <cellStyle name="40% - Accent4 12 6 3" xfId="21923"/>
    <cellStyle name="40% - Accent4 12 7" xfId="9544"/>
    <cellStyle name="40% - Accent4 12 7 2" xfId="17502"/>
    <cellStyle name="40% - Accent4 12 7 3" xfId="25446"/>
    <cellStyle name="40% - Accent4 12 8" xfId="10440"/>
    <cellStyle name="40% - Accent4 12 9" xfId="18395"/>
    <cellStyle name="40% - Accent4 12_Exh G" xfId="3073"/>
    <cellStyle name="40% - Accent4 13" xfId="496"/>
    <cellStyle name="40% - Accent4 13 2" xfId="497"/>
    <cellStyle name="40% - Accent4 13 2 2" xfId="498"/>
    <cellStyle name="40% - Accent4 13 2 2 2" xfId="1526"/>
    <cellStyle name="40% - Accent4 13 2 2 2 2" xfId="5056"/>
    <cellStyle name="40% - Accent4 13 2 2 2 2 2" xfId="8647"/>
    <cellStyle name="40% - Accent4 13 2 2 2 2 2 2" xfId="16618"/>
    <cellStyle name="40% - Accent4 13 2 2 2 2 2 3" xfId="24564"/>
    <cellStyle name="40% - Accent4 13 2 2 2 2 3" xfId="13080"/>
    <cellStyle name="40% - Accent4 13 2 2 2 2 4" xfId="21035"/>
    <cellStyle name="40% - Accent4 13 2 2 2 3" xfId="6888"/>
    <cellStyle name="40% - Accent4 13 2 2 2 3 2" xfId="14860"/>
    <cellStyle name="40% - Accent4 13 2 2 2 3 3" xfId="22807"/>
    <cellStyle name="40% - Accent4 13 2 2 2 4" xfId="11324"/>
    <cellStyle name="40% - Accent4 13 2 2 2 5" xfId="19279"/>
    <cellStyle name="40% - Accent4 13 2 2 2_Exh G" xfId="3084"/>
    <cellStyle name="40% - Accent4 13 2 2 3" xfId="4177"/>
    <cellStyle name="40% - Accent4 13 2 2 3 2" xfId="7769"/>
    <cellStyle name="40% - Accent4 13 2 2 3 2 2" xfId="15740"/>
    <cellStyle name="40% - Accent4 13 2 2 3 2 3" xfId="23686"/>
    <cellStyle name="40% - Accent4 13 2 2 3 3" xfId="12202"/>
    <cellStyle name="40% - Accent4 13 2 2 3 4" xfId="20157"/>
    <cellStyle name="40% - Accent4 13 2 2 4" xfId="5997"/>
    <cellStyle name="40% - Accent4 13 2 2 4 2" xfId="13981"/>
    <cellStyle name="40% - Accent4 13 2 2 4 3" xfId="21929"/>
    <cellStyle name="40% - Accent4 13 2 2 5" xfId="9550"/>
    <cellStyle name="40% - Accent4 13 2 2 5 2" xfId="17508"/>
    <cellStyle name="40% - Accent4 13 2 2 5 3" xfId="25452"/>
    <cellStyle name="40% - Accent4 13 2 2 6" xfId="10446"/>
    <cellStyle name="40% - Accent4 13 2 2 7" xfId="18401"/>
    <cellStyle name="40% - Accent4 13 2 2_Exh G" xfId="3083"/>
    <cellStyle name="40% - Accent4 13 2 3" xfId="1525"/>
    <cellStyle name="40% - Accent4 13 2 3 2" xfId="5055"/>
    <cellStyle name="40% - Accent4 13 2 3 2 2" xfId="8646"/>
    <cellStyle name="40% - Accent4 13 2 3 2 2 2" xfId="16617"/>
    <cellStyle name="40% - Accent4 13 2 3 2 2 3" xfId="24563"/>
    <cellStyle name="40% - Accent4 13 2 3 2 3" xfId="13079"/>
    <cellStyle name="40% - Accent4 13 2 3 2 4" xfId="21034"/>
    <cellStyle name="40% - Accent4 13 2 3 3" xfId="6887"/>
    <cellStyle name="40% - Accent4 13 2 3 3 2" xfId="14859"/>
    <cellStyle name="40% - Accent4 13 2 3 3 3" xfId="22806"/>
    <cellStyle name="40% - Accent4 13 2 3 4" xfId="11323"/>
    <cellStyle name="40% - Accent4 13 2 3 5" xfId="19278"/>
    <cellStyle name="40% - Accent4 13 2 3_Exh G" xfId="3085"/>
    <cellStyle name="40% - Accent4 13 2 4" xfId="4176"/>
    <cellStyle name="40% - Accent4 13 2 4 2" xfId="7768"/>
    <cellStyle name="40% - Accent4 13 2 4 2 2" xfId="15739"/>
    <cellStyle name="40% - Accent4 13 2 4 2 3" xfId="23685"/>
    <cellStyle name="40% - Accent4 13 2 4 3" xfId="12201"/>
    <cellStyle name="40% - Accent4 13 2 4 4" xfId="20156"/>
    <cellStyle name="40% - Accent4 13 2 5" xfId="5996"/>
    <cellStyle name="40% - Accent4 13 2 5 2" xfId="13980"/>
    <cellStyle name="40% - Accent4 13 2 5 3" xfId="21928"/>
    <cellStyle name="40% - Accent4 13 2 6" xfId="9549"/>
    <cellStyle name="40% - Accent4 13 2 6 2" xfId="17507"/>
    <cellStyle name="40% - Accent4 13 2 6 3" xfId="25451"/>
    <cellStyle name="40% - Accent4 13 2 7" xfId="10445"/>
    <cellStyle name="40% - Accent4 13 2 8" xfId="18400"/>
    <cellStyle name="40% - Accent4 13 2_Exh G" xfId="3082"/>
    <cellStyle name="40% - Accent4 13 3" xfId="499"/>
    <cellStyle name="40% - Accent4 13 3 2" xfId="1527"/>
    <cellStyle name="40% - Accent4 13 3 2 2" xfId="5057"/>
    <cellStyle name="40% - Accent4 13 3 2 2 2" xfId="8648"/>
    <cellStyle name="40% - Accent4 13 3 2 2 2 2" xfId="16619"/>
    <cellStyle name="40% - Accent4 13 3 2 2 2 3" xfId="24565"/>
    <cellStyle name="40% - Accent4 13 3 2 2 3" xfId="13081"/>
    <cellStyle name="40% - Accent4 13 3 2 2 4" xfId="21036"/>
    <cellStyle name="40% - Accent4 13 3 2 3" xfId="6889"/>
    <cellStyle name="40% - Accent4 13 3 2 3 2" xfId="14861"/>
    <cellStyle name="40% - Accent4 13 3 2 3 3" xfId="22808"/>
    <cellStyle name="40% - Accent4 13 3 2 4" xfId="11325"/>
    <cellStyle name="40% - Accent4 13 3 2 5" xfId="19280"/>
    <cellStyle name="40% - Accent4 13 3 2_Exh G" xfId="3087"/>
    <cellStyle name="40% - Accent4 13 3 3" xfId="4178"/>
    <cellStyle name="40% - Accent4 13 3 3 2" xfId="7770"/>
    <cellStyle name="40% - Accent4 13 3 3 2 2" xfId="15741"/>
    <cellStyle name="40% - Accent4 13 3 3 2 3" xfId="23687"/>
    <cellStyle name="40% - Accent4 13 3 3 3" xfId="12203"/>
    <cellStyle name="40% - Accent4 13 3 3 4" xfId="20158"/>
    <cellStyle name="40% - Accent4 13 3 4" xfId="5998"/>
    <cellStyle name="40% - Accent4 13 3 4 2" xfId="13982"/>
    <cellStyle name="40% - Accent4 13 3 4 3" xfId="21930"/>
    <cellStyle name="40% - Accent4 13 3 5" xfId="9551"/>
    <cellStyle name="40% - Accent4 13 3 5 2" xfId="17509"/>
    <cellStyle name="40% - Accent4 13 3 5 3" xfId="25453"/>
    <cellStyle name="40% - Accent4 13 3 6" xfId="10447"/>
    <cellStyle name="40% - Accent4 13 3 7" xfId="18402"/>
    <cellStyle name="40% - Accent4 13 3_Exh G" xfId="3086"/>
    <cellStyle name="40% - Accent4 13 4" xfId="1524"/>
    <cellStyle name="40% - Accent4 13 4 2" xfId="5054"/>
    <cellStyle name="40% - Accent4 13 4 2 2" xfId="8645"/>
    <cellStyle name="40% - Accent4 13 4 2 2 2" xfId="16616"/>
    <cellStyle name="40% - Accent4 13 4 2 2 3" xfId="24562"/>
    <cellStyle name="40% - Accent4 13 4 2 3" xfId="13078"/>
    <cellStyle name="40% - Accent4 13 4 2 4" xfId="21033"/>
    <cellStyle name="40% - Accent4 13 4 3" xfId="6886"/>
    <cellStyle name="40% - Accent4 13 4 3 2" xfId="14858"/>
    <cellStyle name="40% - Accent4 13 4 3 3" xfId="22805"/>
    <cellStyle name="40% - Accent4 13 4 4" xfId="11322"/>
    <cellStyle name="40% - Accent4 13 4 5" xfId="19277"/>
    <cellStyle name="40% - Accent4 13 4_Exh G" xfId="3088"/>
    <cellStyle name="40% - Accent4 13 5" xfId="4175"/>
    <cellStyle name="40% - Accent4 13 5 2" xfId="7767"/>
    <cellStyle name="40% - Accent4 13 5 2 2" xfId="15738"/>
    <cellStyle name="40% - Accent4 13 5 2 3" xfId="23684"/>
    <cellStyle name="40% - Accent4 13 5 3" xfId="12200"/>
    <cellStyle name="40% - Accent4 13 5 4" xfId="20155"/>
    <cellStyle name="40% - Accent4 13 6" xfId="5995"/>
    <cellStyle name="40% - Accent4 13 6 2" xfId="13979"/>
    <cellStyle name="40% - Accent4 13 6 3" xfId="21927"/>
    <cellStyle name="40% - Accent4 13 7" xfId="9548"/>
    <cellStyle name="40% - Accent4 13 7 2" xfId="17506"/>
    <cellStyle name="40% - Accent4 13 7 3" xfId="25450"/>
    <cellStyle name="40% - Accent4 13 8" xfId="10444"/>
    <cellStyle name="40% - Accent4 13 9" xfId="18399"/>
    <cellStyle name="40% - Accent4 13_Exh G" xfId="3081"/>
    <cellStyle name="40% - Accent4 14" xfId="500"/>
    <cellStyle name="40% - Accent4 14 2" xfId="501"/>
    <cellStyle name="40% - Accent4 14 2 2" xfId="1529"/>
    <cellStyle name="40% - Accent4 14 2 2 2" xfId="5059"/>
    <cellStyle name="40% - Accent4 14 2 2 2 2" xfId="8650"/>
    <cellStyle name="40% - Accent4 14 2 2 2 2 2" xfId="16621"/>
    <cellStyle name="40% - Accent4 14 2 2 2 2 3" xfId="24567"/>
    <cellStyle name="40% - Accent4 14 2 2 2 3" xfId="13083"/>
    <cellStyle name="40% - Accent4 14 2 2 2 4" xfId="21038"/>
    <cellStyle name="40% - Accent4 14 2 2 3" xfId="6891"/>
    <cellStyle name="40% - Accent4 14 2 2 3 2" xfId="14863"/>
    <cellStyle name="40% - Accent4 14 2 2 3 3" xfId="22810"/>
    <cellStyle name="40% - Accent4 14 2 2 4" xfId="11327"/>
    <cellStyle name="40% - Accent4 14 2 2 5" xfId="19282"/>
    <cellStyle name="40% - Accent4 14 2 2_Exh G" xfId="3091"/>
    <cellStyle name="40% - Accent4 14 2 3" xfId="4180"/>
    <cellStyle name="40% - Accent4 14 2 3 2" xfId="7772"/>
    <cellStyle name="40% - Accent4 14 2 3 2 2" xfId="15743"/>
    <cellStyle name="40% - Accent4 14 2 3 2 3" xfId="23689"/>
    <cellStyle name="40% - Accent4 14 2 3 3" xfId="12205"/>
    <cellStyle name="40% - Accent4 14 2 3 4" xfId="20160"/>
    <cellStyle name="40% - Accent4 14 2 4" xfId="6000"/>
    <cellStyle name="40% - Accent4 14 2 4 2" xfId="13984"/>
    <cellStyle name="40% - Accent4 14 2 4 3" xfId="21932"/>
    <cellStyle name="40% - Accent4 14 2 5" xfId="9553"/>
    <cellStyle name="40% - Accent4 14 2 5 2" xfId="17511"/>
    <cellStyle name="40% - Accent4 14 2 5 3" xfId="25455"/>
    <cellStyle name="40% - Accent4 14 2 6" xfId="10449"/>
    <cellStyle name="40% - Accent4 14 2 7" xfId="18404"/>
    <cellStyle name="40% - Accent4 14 2_Exh G" xfId="3090"/>
    <cellStyle name="40% - Accent4 14 3" xfId="1528"/>
    <cellStyle name="40% - Accent4 14 3 2" xfId="5058"/>
    <cellStyle name="40% - Accent4 14 3 2 2" xfId="8649"/>
    <cellStyle name="40% - Accent4 14 3 2 2 2" xfId="16620"/>
    <cellStyle name="40% - Accent4 14 3 2 2 3" xfId="24566"/>
    <cellStyle name="40% - Accent4 14 3 2 3" xfId="13082"/>
    <cellStyle name="40% - Accent4 14 3 2 4" xfId="21037"/>
    <cellStyle name="40% - Accent4 14 3 3" xfId="6890"/>
    <cellStyle name="40% - Accent4 14 3 3 2" xfId="14862"/>
    <cellStyle name="40% - Accent4 14 3 3 3" xfId="22809"/>
    <cellStyle name="40% - Accent4 14 3 4" xfId="11326"/>
    <cellStyle name="40% - Accent4 14 3 5" xfId="19281"/>
    <cellStyle name="40% - Accent4 14 3_Exh G" xfId="3092"/>
    <cellStyle name="40% - Accent4 14 4" xfId="4179"/>
    <cellStyle name="40% - Accent4 14 4 2" xfId="7771"/>
    <cellStyle name="40% - Accent4 14 4 2 2" xfId="15742"/>
    <cellStyle name="40% - Accent4 14 4 2 3" xfId="23688"/>
    <cellStyle name="40% - Accent4 14 4 3" xfId="12204"/>
    <cellStyle name="40% - Accent4 14 4 4" xfId="20159"/>
    <cellStyle name="40% - Accent4 14 5" xfId="5999"/>
    <cellStyle name="40% - Accent4 14 5 2" xfId="13983"/>
    <cellStyle name="40% - Accent4 14 5 3" xfId="21931"/>
    <cellStyle name="40% - Accent4 14 6" xfId="9552"/>
    <cellStyle name="40% - Accent4 14 6 2" xfId="17510"/>
    <cellStyle name="40% - Accent4 14 6 3" xfId="25454"/>
    <cellStyle name="40% - Accent4 14 7" xfId="10448"/>
    <cellStyle name="40% - Accent4 14 8" xfId="18403"/>
    <cellStyle name="40% - Accent4 14_Exh G" xfId="3089"/>
    <cellStyle name="40% - Accent4 15" xfId="502"/>
    <cellStyle name="40% - Accent4 15 2" xfId="1530"/>
    <cellStyle name="40% - Accent4 15 2 2" xfId="5060"/>
    <cellStyle name="40% - Accent4 15 2 2 2" xfId="8651"/>
    <cellStyle name="40% - Accent4 15 2 2 2 2" xfId="16622"/>
    <cellStyle name="40% - Accent4 15 2 2 2 3" xfId="24568"/>
    <cellStyle name="40% - Accent4 15 2 2 3" xfId="13084"/>
    <cellStyle name="40% - Accent4 15 2 2 4" xfId="21039"/>
    <cellStyle name="40% - Accent4 15 2 3" xfId="6892"/>
    <cellStyle name="40% - Accent4 15 2 3 2" xfId="14864"/>
    <cellStyle name="40% - Accent4 15 2 3 3" xfId="22811"/>
    <cellStyle name="40% - Accent4 15 2 4" xfId="11328"/>
    <cellStyle name="40% - Accent4 15 2 5" xfId="19283"/>
    <cellStyle name="40% - Accent4 15 2_Exh G" xfId="3094"/>
    <cellStyle name="40% - Accent4 15 3" xfId="4181"/>
    <cellStyle name="40% - Accent4 15 3 2" xfId="7773"/>
    <cellStyle name="40% - Accent4 15 3 2 2" xfId="15744"/>
    <cellStyle name="40% - Accent4 15 3 2 3" xfId="23690"/>
    <cellStyle name="40% - Accent4 15 3 3" xfId="12206"/>
    <cellStyle name="40% - Accent4 15 3 4" xfId="20161"/>
    <cellStyle name="40% - Accent4 15 4" xfId="6001"/>
    <cellStyle name="40% - Accent4 15 4 2" xfId="13985"/>
    <cellStyle name="40% - Accent4 15 4 3" xfId="21933"/>
    <cellStyle name="40% - Accent4 15 5" xfId="9554"/>
    <cellStyle name="40% - Accent4 15 5 2" xfId="17512"/>
    <cellStyle name="40% - Accent4 15 5 3" xfId="25456"/>
    <cellStyle name="40% - Accent4 15 6" xfId="10450"/>
    <cellStyle name="40% - Accent4 15 7" xfId="18405"/>
    <cellStyle name="40% - Accent4 15_Exh G" xfId="3093"/>
    <cellStyle name="40% - Accent4 16" xfId="852"/>
    <cellStyle name="40% - Accent4 16 2" xfId="1791"/>
    <cellStyle name="40% - Accent4 16 2 2" xfId="5312"/>
    <cellStyle name="40% - Accent4 16 2 2 2" xfId="8903"/>
    <cellStyle name="40% - Accent4 16 2 2 2 2" xfId="16874"/>
    <cellStyle name="40% - Accent4 16 2 2 2 3" xfId="24820"/>
    <cellStyle name="40% - Accent4 16 2 2 3" xfId="13336"/>
    <cellStyle name="40% - Accent4 16 2 2 4" xfId="21291"/>
    <cellStyle name="40% - Accent4 16 2 3" xfId="7144"/>
    <cellStyle name="40% - Accent4 16 2 3 2" xfId="15116"/>
    <cellStyle name="40% - Accent4 16 2 3 3" xfId="23063"/>
    <cellStyle name="40% - Accent4 16 2 4" xfId="11580"/>
    <cellStyle name="40% - Accent4 16 2 5" xfId="19535"/>
    <cellStyle name="40% - Accent4 16 2_Exh G" xfId="3096"/>
    <cellStyle name="40% - Accent4 16 3" xfId="4433"/>
    <cellStyle name="40% - Accent4 16 3 2" xfId="8025"/>
    <cellStyle name="40% - Accent4 16 3 2 2" xfId="15996"/>
    <cellStyle name="40% - Accent4 16 3 2 3" xfId="23942"/>
    <cellStyle name="40% - Accent4 16 3 3" xfId="12458"/>
    <cellStyle name="40% - Accent4 16 3 4" xfId="20413"/>
    <cellStyle name="40% - Accent4 16 4" xfId="6263"/>
    <cellStyle name="40% - Accent4 16 4 2" xfId="14238"/>
    <cellStyle name="40% - Accent4 16 4 3" xfId="22185"/>
    <cellStyle name="40% - Accent4 16 5" xfId="9806"/>
    <cellStyle name="40% - Accent4 16 5 2" xfId="17764"/>
    <cellStyle name="40% - Accent4 16 5 3" xfId="25708"/>
    <cellStyle name="40% - Accent4 16 6" xfId="10702"/>
    <cellStyle name="40% - Accent4 16 7" xfId="18657"/>
    <cellStyle name="40% - Accent4 16_Exh G" xfId="3095"/>
    <cellStyle name="40% - Accent4 2" xfId="503"/>
    <cellStyle name="40% - Accent4 2 10" xfId="18406"/>
    <cellStyle name="40% - Accent4 2 2" xfId="504"/>
    <cellStyle name="40% - Accent4 2 2 2" xfId="505"/>
    <cellStyle name="40% - Accent4 2 2 2 2" xfId="1533"/>
    <cellStyle name="40% - Accent4 2 2 2 2 2" xfId="5063"/>
    <cellStyle name="40% - Accent4 2 2 2 2 2 2" xfId="8654"/>
    <cellStyle name="40% - Accent4 2 2 2 2 2 2 2" xfId="16625"/>
    <cellStyle name="40% - Accent4 2 2 2 2 2 2 3" xfId="24571"/>
    <cellStyle name="40% - Accent4 2 2 2 2 2 3" xfId="13087"/>
    <cellStyle name="40% - Accent4 2 2 2 2 2 4" xfId="21042"/>
    <cellStyle name="40% - Accent4 2 2 2 2 3" xfId="6895"/>
    <cellStyle name="40% - Accent4 2 2 2 2 3 2" xfId="14867"/>
    <cellStyle name="40% - Accent4 2 2 2 2 3 3" xfId="22814"/>
    <cellStyle name="40% - Accent4 2 2 2 2 4" xfId="11331"/>
    <cellStyle name="40% - Accent4 2 2 2 2 5" xfId="19286"/>
    <cellStyle name="40% - Accent4 2 2 2 2_Exh G" xfId="3100"/>
    <cellStyle name="40% - Accent4 2 2 2 3" xfId="4184"/>
    <cellStyle name="40% - Accent4 2 2 2 3 2" xfId="7776"/>
    <cellStyle name="40% - Accent4 2 2 2 3 2 2" xfId="15747"/>
    <cellStyle name="40% - Accent4 2 2 2 3 2 3" xfId="23693"/>
    <cellStyle name="40% - Accent4 2 2 2 3 3" xfId="12209"/>
    <cellStyle name="40% - Accent4 2 2 2 3 4" xfId="20164"/>
    <cellStyle name="40% - Accent4 2 2 2 4" xfId="6004"/>
    <cellStyle name="40% - Accent4 2 2 2 4 2" xfId="13988"/>
    <cellStyle name="40% - Accent4 2 2 2 4 3" xfId="21936"/>
    <cellStyle name="40% - Accent4 2 2 2 5" xfId="9557"/>
    <cellStyle name="40% - Accent4 2 2 2 5 2" xfId="17515"/>
    <cellStyle name="40% - Accent4 2 2 2 5 3" xfId="25459"/>
    <cellStyle name="40% - Accent4 2 2 2 6" xfId="10453"/>
    <cellStyle name="40% - Accent4 2 2 2 7" xfId="18408"/>
    <cellStyle name="40% - Accent4 2 2 2_Exh G" xfId="3099"/>
    <cellStyle name="40% - Accent4 2 2 3" xfId="972"/>
    <cellStyle name="40% - Accent4 2 2 3 2" xfId="1890"/>
    <cellStyle name="40% - Accent4 2 2 3 2 2" xfId="5408"/>
    <cellStyle name="40% - Accent4 2 2 3 2 2 2" xfId="8999"/>
    <cellStyle name="40% - Accent4 2 2 3 2 2 2 2" xfId="16970"/>
    <cellStyle name="40% - Accent4 2 2 3 2 2 2 3" xfId="24916"/>
    <cellStyle name="40% - Accent4 2 2 3 2 2 3" xfId="13432"/>
    <cellStyle name="40% - Accent4 2 2 3 2 2 4" xfId="21387"/>
    <cellStyle name="40% - Accent4 2 2 3 2 3" xfId="7240"/>
    <cellStyle name="40% - Accent4 2 2 3 2 3 2" xfId="15212"/>
    <cellStyle name="40% - Accent4 2 2 3 2 3 3" xfId="23159"/>
    <cellStyle name="40% - Accent4 2 2 3 2 4" xfId="11676"/>
    <cellStyle name="40% - Accent4 2 2 3 2 5" xfId="19631"/>
    <cellStyle name="40% - Accent4 2 2 3 2_Exh G" xfId="3102"/>
    <cellStyle name="40% - Accent4 2 2 3 3" xfId="4529"/>
    <cellStyle name="40% - Accent4 2 2 3 3 2" xfId="8121"/>
    <cellStyle name="40% - Accent4 2 2 3 3 2 2" xfId="16092"/>
    <cellStyle name="40% - Accent4 2 2 3 3 2 3" xfId="24038"/>
    <cellStyle name="40% - Accent4 2 2 3 3 3" xfId="12554"/>
    <cellStyle name="40% - Accent4 2 2 3 3 4" xfId="20509"/>
    <cellStyle name="40% - Accent4 2 2 3 4" xfId="6359"/>
    <cellStyle name="40% - Accent4 2 2 3 4 2" xfId="14334"/>
    <cellStyle name="40% - Accent4 2 2 3 4 3" xfId="22281"/>
    <cellStyle name="40% - Accent4 2 2 3 5" xfId="9902"/>
    <cellStyle name="40% - Accent4 2 2 3 5 2" xfId="17860"/>
    <cellStyle name="40% - Accent4 2 2 3 5 3" xfId="25804"/>
    <cellStyle name="40% - Accent4 2 2 3 6" xfId="10798"/>
    <cellStyle name="40% - Accent4 2 2 3 7" xfId="18753"/>
    <cellStyle name="40% - Accent4 2 2 3_Exh G" xfId="3101"/>
    <cellStyle name="40% - Accent4 2 2 4" xfId="1532"/>
    <cellStyle name="40% - Accent4 2 2 4 2" xfId="5062"/>
    <cellStyle name="40% - Accent4 2 2 4 2 2" xfId="8653"/>
    <cellStyle name="40% - Accent4 2 2 4 2 2 2" xfId="16624"/>
    <cellStyle name="40% - Accent4 2 2 4 2 2 3" xfId="24570"/>
    <cellStyle name="40% - Accent4 2 2 4 2 3" xfId="13086"/>
    <cellStyle name="40% - Accent4 2 2 4 2 4" xfId="21041"/>
    <cellStyle name="40% - Accent4 2 2 4 3" xfId="6894"/>
    <cellStyle name="40% - Accent4 2 2 4 3 2" xfId="14866"/>
    <cellStyle name="40% - Accent4 2 2 4 3 3" xfId="22813"/>
    <cellStyle name="40% - Accent4 2 2 4 4" xfId="11330"/>
    <cellStyle name="40% - Accent4 2 2 4 5" xfId="19285"/>
    <cellStyle name="40% - Accent4 2 2 4_Exh G" xfId="3103"/>
    <cellStyle name="40% - Accent4 2 2 5" xfId="4183"/>
    <cellStyle name="40% - Accent4 2 2 5 2" xfId="7775"/>
    <cellStyle name="40% - Accent4 2 2 5 2 2" xfId="15746"/>
    <cellStyle name="40% - Accent4 2 2 5 2 3" xfId="23692"/>
    <cellStyle name="40% - Accent4 2 2 5 3" xfId="12208"/>
    <cellStyle name="40% - Accent4 2 2 5 4" xfId="20163"/>
    <cellStyle name="40% - Accent4 2 2 6" xfId="6003"/>
    <cellStyle name="40% - Accent4 2 2 6 2" xfId="13987"/>
    <cellStyle name="40% - Accent4 2 2 6 3" xfId="21935"/>
    <cellStyle name="40% - Accent4 2 2 7" xfId="9556"/>
    <cellStyle name="40% - Accent4 2 2 7 2" xfId="17514"/>
    <cellStyle name="40% - Accent4 2 2 7 3" xfId="25458"/>
    <cellStyle name="40% - Accent4 2 2 8" xfId="10452"/>
    <cellStyle name="40% - Accent4 2 2 9" xfId="18407"/>
    <cellStyle name="40% - Accent4 2 2_Exh G" xfId="3098"/>
    <cellStyle name="40% - Accent4 2 3" xfId="506"/>
    <cellStyle name="40% - Accent4 2 3 2" xfId="1534"/>
    <cellStyle name="40% - Accent4 2 3 2 2" xfId="5064"/>
    <cellStyle name="40% - Accent4 2 3 2 2 2" xfId="8655"/>
    <cellStyle name="40% - Accent4 2 3 2 2 2 2" xfId="16626"/>
    <cellStyle name="40% - Accent4 2 3 2 2 2 3" xfId="24572"/>
    <cellStyle name="40% - Accent4 2 3 2 2 3" xfId="13088"/>
    <cellStyle name="40% - Accent4 2 3 2 2 4" xfId="21043"/>
    <cellStyle name="40% - Accent4 2 3 2 3" xfId="6896"/>
    <cellStyle name="40% - Accent4 2 3 2 3 2" xfId="14868"/>
    <cellStyle name="40% - Accent4 2 3 2 3 3" xfId="22815"/>
    <cellStyle name="40% - Accent4 2 3 2 4" xfId="11332"/>
    <cellStyle name="40% - Accent4 2 3 2 5" xfId="19287"/>
    <cellStyle name="40% - Accent4 2 3 2_Exh G" xfId="3105"/>
    <cellStyle name="40% - Accent4 2 3 3" xfId="4185"/>
    <cellStyle name="40% - Accent4 2 3 3 2" xfId="7777"/>
    <cellStyle name="40% - Accent4 2 3 3 2 2" xfId="15748"/>
    <cellStyle name="40% - Accent4 2 3 3 2 3" xfId="23694"/>
    <cellStyle name="40% - Accent4 2 3 3 3" xfId="12210"/>
    <cellStyle name="40% - Accent4 2 3 3 4" xfId="20165"/>
    <cellStyle name="40% - Accent4 2 3 4" xfId="6005"/>
    <cellStyle name="40% - Accent4 2 3 4 2" xfId="13989"/>
    <cellStyle name="40% - Accent4 2 3 4 3" xfId="21937"/>
    <cellStyle name="40% - Accent4 2 3 5" xfId="9558"/>
    <cellStyle name="40% - Accent4 2 3 5 2" xfId="17516"/>
    <cellStyle name="40% - Accent4 2 3 5 3" xfId="25460"/>
    <cellStyle name="40% - Accent4 2 3 6" xfId="10454"/>
    <cellStyle name="40% - Accent4 2 3 7" xfId="18409"/>
    <cellStyle name="40% - Accent4 2 3_Exh G" xfId="3104"/>
    <cellStyle name="40% - Accent4 2 4" xfId="971"/>
    <cellStyle name="40% - Accent4 2 4 2" xfId="1889"/>
    <cellStyle name="40% - Accent4 2 4 2 2" xfId="5407"/>
    <cellStyle name="40% - Accent4 2 4 2 2 2" xfId="8998"/>
    <cellStyle name="40% - Accent4 2 4 2 2 2 2" xfId="16969"/>
    <cellStyle name="40% - Accent4 2 4 2 2 2 3" xfId="24915"/>
    <cellStyle name="40% - Accent4 2 4 2 2 3" xfId="13431"/>
    <cellStyle name="40% - Accent4 2 4 2 2 4" xfId="21386"/>
    <cellStyle name="40% - Accent4 2 4 2 3" xfId="7239"/>
    <cellStyle name="40% - Accent4 2 4 2 3 2" xfId="15211"/>
    <cellStyle name="40% - Accent4 2 4 2 3 3" xfId="23158"/>
    <cellStyle name="40% - Accent4 2 4 2 4" xfId="11675"/>
    <cellStyle name="40% - Accent4 2 4 2 5" xfId="19630"/>
    <cellStyle name="40% - Accent4 2 4 2_Exh G" xfId="3107"/>
    <cellStyle name="40% - Accent4 2 4 3" xfId="4528"/>
    <cellStyle name="40% - Accent4 2 4 3 2" xfId="8120"/>
    <cellStyle name="40% - Accent4 2 4 3 2 2" xfId="16091"/>
    <cellStyle name="40% - Accent4 2 4 3 2 3" xfId="24037"/>
    <cellStyle name="40% - Accent4 2 4 3 3" xfId="12553"/>
    <cellStyle name="40% - Accent4 2 4 3 4" xfId="20508"/>
    <cellStyle name="40% - Accent4 2 4 4" xfId="6358"/>
    <cellStyle name="40% - Accent4 2 4 4 2" xfId="14333"/>
    <cellStyle name="40% - Accent4 2 4 4 3" xfId="22280"/>
    <cellStyle name="40% - Accent4 2 4 5" xfId="9901"/>
    <cellStyle name="40% - Accent4 2 4 5 2" xfId="17859"/>
    <cellStyle name="40% - Accent4 2 4 5 3" xfId="25803"/>
    <cellStyle name="40% - Accent4 2 4 6" xfId="10797"/>
    <cellStyle name="40% - Accent4 2 4 7" xfId="18752"/>
    <cellStyle name="40% - Accent4 2 4_Exh G" xfId="3106"/>
    <cellStyle name="40% - Accent4 2 5" xfId="1531"/>
    <cellStyle name="40% - Accent4 2 5 2" xfId="5061"/>
    <cellStyle name="40% - Accent4 2 5 2 2" xfId="8652"/>
    <cellStyle name="40% - Accent4 2 5 2 2 2" xfId="16623"/>
    <cellStyle name="40% - Accent4 2 5 2 2 3" xfId="24569"/>
    <cellStyle name="40% - Accent4 2 5 2 3" xfId="13085"/>
    <cellStyle name="40% - Accent4 2 5 2 4" xfId="21040"/>
    <cellStyle name="40% - Accent4 2 5 3" xfId="6893"/>
    <cellStyle name="40% - Accent4 2 5 3 2" xfId="14865"/>
    <cellStyle name="40% - Accent4 2 5 3 3" xfId="22812"/>
    <cellStyle name="40% - Accent4 2 5 4" xfId="11329"/>
    <cellStyle name="40% - Accent4 2 5 5" xfId="19284"/>
    <cellStyle name="40% - Accent4 2 5_Exh G" xfId="3108"/>
    <cellStyle name="40% - Accent4 2 6" xfId="4182"/>
    <cellStyle name="40% - Accent4 2 6 2" xfId="7774"/>
    <cellStyle name="40% - Accent4 2 6 2 2" xfId="15745"/>
    <cellStyle name="40% - Accent4 2 6 2 3" xfId="23691"/>
    <cellStyle name="40% - Accent4 2 6 3" xfId="12207"/>
    <cellStyle name="40% - Accent4 2 6 4" xfId="20162"/>
    <cellStyle name="40% - Accent4 2 7" xfId="6002"/>
    <cellStyle name="40% - Accent4 2 7 2" xfId="13986"/>
    <cellStyle name="40% - Accent4 2 7 3" xfId="21934"/>
    <cellStyle name="40% - Accent4 2 8" xfId="9555"/>
    <cellStyle name="40% - Accent4 2 8 2" xfId="17513"/>
    <cellStyle name="40% - Accent4 2 8 3" xfId="25457"/>
    <cellStyle name="40% - Accent4 2 9" xfId="10451"/>
    <cellStyle name="40% - Accent4 2_Exh G" xfId="3097"/>
    <cellStyle name="40% - Accent4 3" xfId="507"/>
    <cellStyle name="40% - Accent4 3 10" xfId="18410"/>
    <cellStyle name="40% - Accent4 3 2" xfId="508"/>
    <cellStyle name="40% - Accent4 3 2 2" xfId="509"/>
    <cellStyle name="40% - Accent4 3 2 2 2" xfId="1537"/>
    <cellStyle name="40% - Accent4 3 2 2 2 2" xfId="5067"/>
    <cellStyle name="40% - Accent4 3 2 2 2 2 2" xfId="8658"/>
    <cellStyle name="40% - Accent4 3 2 2 2 2 2 2" xfId="16629"/>
    <cellStyle name="40% - Accent4 3 2 2 2 2 2 3" xfId="24575"/>
    <cellStyle name="40% - Accent4 3 2 2 2 2 3" xfId="13091"/>
    <cellStyle name="40% - Accent4 3 2 2 2 2 4" xfId="21046"/>
    <cellStyle name="40% - Accent4 3 2 2 2 3" xfId="6899"/>
    <cellStyle name="40% - Accent4 3 2 2 2 3 2" xfId="14871"/>
    <cellStyle name="40% - Accent4 3 2 2 2 3 3" xfId="22818"/>
    <cellStyle name="40% - Accent4 3 2 2 2 4" xfId="11335"/>
    <cellStyle name="40% - Accent4 3 2 2 2 5" xfId="19290"/>
    <cellStyle name="40% - Accent4 3 2 2 2_Exh G" xfId="3112"/>
    <cellStyle name="40% - Accent4 3 2 2 3" xfId="4188"/>
    <cellStyle name="40% - Accent4 3 2 2 3 2" xfId="7780"/>
    <cellStyle name="40% - Accent4 3 2 2 3 2 2" xfId="15751"/>
    <cellStyle name="40% - Accent4 3 2 2 3 2 3" xfId="23697"/>
    <cellStyle name="40% - Accent4 3 2 2 3 3" xfId="12213"/>
    <cellStyle name="40% - Accent4 3 2 2 3 4" xfId="20168"/>
    <cellStyle name="40% - Accent4 3 2 2 4" xfId="6008"/>
    <cellStyle name="40% - Accent4 3 2 2 4 2" xfId="13992"/>
    <cellStyle name="40% - Accent4 3 2 2 4 3" xfId="21940"/>
    <cellStyle name="40% - Accent4 3 2 2 5" xfId="9561"/>
    <cellStyle name="40% - Accent4 3 2 2 5 2" xfId="17519"/>
    <cellStyle name="40% - Accent4 3 2 2 5 3" xfId="25463"/>
    <cellStyle name="40% - Accent4 3 2 2 6" xfId="10457"/>
    <cellStyle name="40% - Accent4 3 2 2 7" xfId="18412"/>
    <cellStyle name="40% - Accent4 3 2 2_Exh G" xfId="3111"/>
    <cellStyle name="40% - Accent4 3 2 3" xfId="974"/>
    <cellStyle name="40% - Accent4 3 2 3 2" xfId="1892"/>
    <cellStyle name="40% - Accent4 3 2 3 2 2" xfId="5410"/>
    <cellStyle name="40% - Accent4 3 2 3 2 2 2" xfId="9001"/>
    <cellStyle name="40% - Accent4 3 2 3 2 2 2 2" xfId="16972"/>
    <cellStyle name="40% - Accent4 3 2 3 2 2 2 3" xfId="24918"/>
    <cellStyle name="40% - Accent4 3 2 3 2 2 3" xfId="13434"/>
    <cellStyle name="40% - Accent4 3 2 3 2 2 4" xfId="21389"/>
    <cellStyle name="40% - Accent4 3 2 3 2 3" xfId="7242"/>
    <cellStyle name="40% - Accent4 3 2 3 2 3 2" xfId="15214"/>
    <cellStyle name="40% - Accent4 3 2 3 2 3 3" xfId="23161"/>
    <cellStyle name="40% - Accent4 3 2 3 2 4" xfId="11678"/>
    <cellStyle name="40% - Accent4 3 2 3 2 5" xfId="19633"/>
    <cellStyle name="40% - Accent4 3 2 3 2_Exh G" xfId="3114"/>
    <cellStyle name="40% - Accent4 3 2 3 3" xfId="4531"/>
    <cellStyle name="40% - Accent4 3 2 3 3 2" xfId="8123"/>
    <cellStyle name="40% - Accent4 3 2 3 3 2 2" xfId="16094"/>
    <cellStyle name="40% - Accent4 3 2 3 3 2 3" xfId="24040"/>
    <cellStyle name="40% - Accent4 3 2 3 3 3" xfId="12556"/>
    <cellStyle name="40% - Accent4 3 2 3 3 4" xfId="20511"/>
    <cellStyle name="40% - Accent4 3 2 3 4" xfId="6361"/>
    <cellStyle name="40% - Accent4 3 2 3 4 2" xfId="14336"/>
    <cellStyle name="40% - Accent4 3 2 3 4 3" xfId="22283"/>
    <cellStyle name="40% - Accent4 3 2 3 5" xfId="9904"/>
    <cellStyle name="40% - Accent4 3 2 3 5 2" xfId="17862"/>
    <cellStyle name="40% - Accent4 3 2 3 5 3" xfId="25806"/>
    <cellStyle name="40% - Accent4 3 2 3 6" xfId="10800"/>
    <cellStyle name="40% - Accent4 3 2 3 7" xfId="18755"/>
    <cellStyle name="40% - Accent4 3 2 3_Exh G" xfId="3113"/>
    <cellStyle name="40% - Accent4 3 2 4" xfId="1536"/>
    <cellStyle name="40% - Accent4 3 2 4 2" xfId="5066"/>
    <cellStyle name="40% - Accent4 3 2 4 2 2" xfId="8657"/>
    <cellStyle name="40% - Accent4 3 2 4 2 2 2" xfId="16628"/>
    <cellStyle name="40% - Accent4 3 2 4 2 2 3" xfId="24574"/>
    <cellStyle name="40% - Accent4 3 2 4 2 3" xfId="13090"/>
    <cellStyle name="40% - Accent4 3 2 4 2 4" xfId="21045"/>
    <cellStyle name="40% - Accent4 3 2 4 3" xfId="6898"/>
    <cellStyle name="40% - Accent4 3 2 4 3 2" xfId="14870"/>
    <cellStyle name="40% - Accent4 3 2 4 3 3" xfId="22817"/>
    <cellStyle name="40% - Accent4 3 2 4 4" xfId="11334"/>
    <cellStyle name="40% - Accent4 3 2 4 5" xfId="19289"/>
    <cellStyle name="40% - Accent4 3 2 4_Exh G" xfId="3115"/>
    <cellStyle name="40% - Accent4 3 2 5" xfId="4187"/>
    <cellStyle name="40% - Accent4 3 2 5 2" xfId="7779"/>
    <cellStyle name="40% - Accent4 3 2 5 2 2" xfId="15750"/>
    <cellStyle name="40% - Accent4 3 2 5 2 3" xfId="23696"/>
    <cellStyle name="40% - Accent4 3 2 5 3" xfId="12212"/>
    <cellStyle name="40% - Accent4 3 2 5 4" xfId="20167"/>
    <cellStyle name="40% - Accent4 3 2 6" xfId="6007"/>
    <cellStyle name="40% - Accent4 3 2 6 2" xfId="13991"/>
    <cellStyle name="40% - Accent4 3 2 6 3" xfId="21939"/>
    <cellStyle name="40% - Accent4 3 2 7" xfId="9560"/>
    <cellStyle name="40% - Accent4 3 2 7 2" xfId="17518"/>
    <cellStyle name="40% - Accent4 3 2 7 3" xfId="25462"/>
    <cellStyle name="40% - Accent4 3 2 8" xfId="10456"/>
    <cellStyle name="40% - Accent4 3 2 9" xfId="18411"/>
    <cellStyle name="40% - Accent4 3 2_Exh G" xfId="3110"/>
    <cellStyle name="40% - Accent4 3 3" xfId="510"/>
    <cellStyle name="40% - Accent4 3 3 2" xfId="1538"/>
    <cellStyle name="40% - Accent4 3 3 2 2" xfId="5068"/>
    <cellStyle name="40% - Accent4 3 3 2 2 2" xfId="8659"/>
    <cellStyle name="40% - Accent4 3 3 2 2 2 2" xfId="16630"/>
    <cellStyle name="40% - Accent4 3 3 2 2 2 3" xfId="24576"/>
    <cellStyle name="40% - Accent4 3 3 2 2 3" xfId="13092"/>
    <cellStyle name="40% - Accent4 3 3 2 2 4" xfId="21047"/>
    <cellStyle name="40% - Accent4 3 3 2 3" xfId="6900"/>
    <cellStyle name="40% - Accent4 3 3 2 3 2" xfId="14872"/>
    <cellStyle name="40% - Accent4 3 3 2 3 3" xfId="22819"/>
    <cellStyle name="40% - Accent4 3 3 2 4" xfId="11336"/>
    <cellStyle name="40% - Accent4 3 3 2 5" xfId="19291"/>
    <cellStyle name="40% - Accent4 3 3 2_Exh G" xfId="3117"/>
    <cellStyle name="40% - Accent4 3 3 3" xfId="4189"/>
    <cellStyle name="40% - Accent4 3 3 3 2" xfId="7781"/>
    <cellStyle name="40% - Accent4 3 3 3 2 2" xfId="15752"/>
    <cellStyle name="40% - Accent4 3 3 3 2 3" xfId="23698"/>
    <cellStyle name="40% - Accent4 3 3 3 3" xfId="12214"/>
    <cellStyle name="40% - Accent4 3 3 3 4" xfId="20169"/>
    <cellStyle name="40% - Accent4 3 3 4" xfId="6009"/>
    <cellStyle name="40% - Accent4 3 3 4 2" xfId="13993"/>
    <cellStyle name="40% - Accent4 3 3 4 3" xfId="21941"/>
    <cellStyle name="40% - Accent4 3 3 5" xfId="9562"/>
    <cellStyle name="40% - Accent4 3 3 5 2" xfId="17520"/>
    <cellStyle name="40% - Accent4 3 3 5 3" xfId="25464"/>
    <cellStyle name="40% - Accent4 3 3 6" xfId="10458"/>
    <cellStyle name="40% - Accent4 3 3 7" xfId="18413"/>
    <cellStyle name="40% - Accent4 3 3_Exh G" xfId="3116"/>
    <cellStyle name="40% - Accent4 3 4" xfId="973"/>
    <cellStyle name="40% - Accent4 3 4 2" xfId="1891"/>
    <cellStyle name="40% - Accent4 3 4 2 2" xfId="5409"/>
    <cellStyle name="40% - Accent4 3 4 2 2 2" xfId="9000"/>
    <cellStyle name="40% - Accent4 3 4 2 2 2 2" xfId="16971"/>
    <cellStyle name="40% - Accent4 3 4 2 2 2 3" xfId="24917"/>
    <cellStyle name="40% - Accent4 3 4 2 2 3" xfId="13433"/>
    <cellStyle name="40% - Accent4 3 4 2 2 4" xfId="21388"/>
    <cellStyle name="40% - Accent4 3 4 2 3" xfId="7241"/>
    <cellStyle name="40% - Accent4 3 4 2 3 2" xfId="15213"/>
    <cellStyle name="40% - Accent4 3 4 2 3 3" xfId="23160"/>
    <cellStyle name="40% - Accent4 3 4 2 4" xfId="11677"/>
    <cellStyle name="40% - Accent4 3 4 2 5" xfId="19632"/>
    <cellStyle name="40% - Accent4 3 4 2_Exh G" xfId="3119"/>
    <cellStyle name="40% - Accent4 3 4 3" xfId="4530"/>
    <cellStyle name="40% - Accent4 3 4 3 2" xfId="8122"/>
    <cellStyle name="40% - Accent4 3 4 3 2 2" xfId="16093"/>
    <cellStyle name="40% - Accent4 3 4 3 2 3" xfId="24039"/>
    <cellStyle name="40% - Accent4 3 4 3 3" xfId="12555"/>
    <cellStyle name="40% - Accent4 3 4 3 4" xfId="20510"/>
    <cellStyle name="40% - Accent4 3 4 4" xfId="6360"/>
    <cellStyle name="40% - Accent4 3 4 4 2" xfId="14335"/>
    <cellStyle name="40% - Accent4 3 4 4 3" xfId="22282"/>
    <cellStyle name="40% - Accent4 3 4 5" xfId="9903"/>
    <cellStyle name="40% - Accent4 3 4 5 2" xfId="17861"/>
    <cellStyle name="40% - Accent4 3 4 5 3" xfId="25805"/>
    <cellStyle name="40% - Accent4 3 4 6" xfId="10799"/>
    <cellStyle name="40% - Accent4 3 4 7" xfId="18754"/>
    <cellStyle name="40% - Accent4 3 4_Exh G" xfId="3118"/>
    <cellStyle name="40% - Accent4 3 5" xfId="1535"/>
    <cellStyle name="40% - Accent4 3 5 2" xfId="5065"/>
    <cellStyle name="40% - Accent4 3 5 2 2" xfId="8656"/>
    <cellStyle name="40% - Accent4 3 5 2 2 2" xfId="16627"/>
    <cellStyle name="40% - Accent4 3 5 2 2 3" xfId="24573"/>
    <cellStyle name="40% - Accent4 3 5 2 3" xfId="13089"/>
    <cellStyle name="40% - Accent4 3 5 2 4" xfId="21044"/>
    <cellStyle name="40% - Accent4 3 5 3" xfId="6897"/>
    <cellStyle name="40% - Accent4 3 5 3 2" xfId="14869"/>
    <cellStyle name="40% - Accent4 3 5 3 3" xfId="22816"/>
    <cellStyle name="40% - Accent4 3 5 4" xfId="11333"/>
    <cellStyle name="40% - Accent4 3 5 5" xfId="19288"/>
    <cellStyle name="40% - Accent4 3 5_Exh G" xfId="3120"/>
    <cellStyle name="40% - Accent4 3 6" xfId="4186"/>
    <cellStyle name="40% - Accent4 3 6 2" xfId="7778"/>
    <cellStyle name="40% - Accent4 3 6 2 2" xfId="15749"/>
    <cellStyle name="40% - Accent4 3 6 2 3" xfId="23695"/>
    <cellStyle name="40% - Accent4 3 6 3" xfId="12211"/>
    <cellStyle name="40% - Accent4 3 6 4" xfId="20166"/>
    <cellStyle name="40% - Accent4 3 7" xfId="6006"/>
    <cellStyle name="40% - Accent4 3 7 2" xfId="13990"/>
    <cellStyle name="40% - Accent4 3 7 3" xfId="21938"/>
    <cellStyle name="40% - Accent4 3 8" xfId="9559"/>
    <cellStyle name="40% - Accent4 3 8 2" xfId="17517"/>
    <cellStyle name="40% - Accent4 3 8 3" xfId="25461"/>
    <cellStyle name="40% - Accent4 3 9" xfId="10455"/>
    <cellStyle name="40% - Accent4 3_Exh G" xfId="3109"/>
    <cellStyle name="40% - Accent4 4" xfId="511"/>
    <cellStyle name="40% - Accent4 4 10" xfId="18414"/>
    <cellStyle name="40% - Accent4 4 2" xfId="512"/>
    <cellStyle name="40% - Accent4 4 2 2" xfId="513"/>
    <cellStyle name="40% - Accent4 4 2 2 2" xfId="1541"/>
    <cellStyle name="40% - Accent4 4 2 2 2 2" xfId="5071"/>
    <cellStyle name="40% - Accent4 4 2 2 2 2 2" xfId="8662"/>
    <cellStyle name="40% - Accent4 4 2 2 2 2 2 2" xfId="16633"/>
    <cellStyle name="40% - Accent4 4 2 2 2 2 2 3" xfId="24579"/>
    <cellStyle name="40% - Accent4 4 2 2 2 2 3" xfId="13095"/>
    <cellStyle name="40% - Accent4 4 2 2 2 2 4" xfId="21050"/>
    <cellStyle name="40% - Accent4 4 2 2 2 3" xfId="6903"/>
    <cellStyle name="40% - Accent4 4 2 2 2 3 2" xfId="14875"/>
    <cellStyle name="40% - Accent4 4 2 2 2 3 3" xfId="22822"/>
    <cellStyle name="40% - Accent4 4 2 2 2 4" xfId="11339"/>
    <cellStyle name="40% - Accent4 4 2 2 2 5" xfId="19294"/>
    <cellStyle name="40% - Accent4 4 2 2 2_Exh G" xfId="3124"/>
    <cellStyle name="40% - Accent4 4 2 2 3" xfId="4192"/>
    <cellStyle name="40% - Accent4 4 2 2 3 2" xfId="7784"/>
    <cellStyle name="40% - Accent4 4 2 2 3 2 2" xfId="15755"/>
    <cellStyle name="40% - Accent4 4 2 2 3 2 3" xfId="23701"/>
    <cellStyle name="40% - Accent4 4 2 2 3 3" xfId="12217"/>
    <cellStyle name="40% - Accent4 4 2 2 3 4" xfId="20172"/>
    <cellStyle name="40% - Accent4 4 2 2 4" xfId="6012"/>
    <cellStyle name="40% - Accent4 4 2 2 4 2" xfId="13996"/>
    <cellStyle name="40% - Accent4 4 2 2 4 3" xfId="21944"/>
    <cellStyle name="40% - Accent4 4 2 2 5" xfId="9565"/>
    <cellStyle name="40% - Accent4 4 2 2 5 2" xfId="17523"/>
    <cellStyle name="40% - Accent4 4 2 2 5 3" xfId="25467"/>
    <cellStyle name="40% - Accent4 4 2 2 6" xfId="10461"/>
    <cellStyle name="40% - Accent4 4 2 2 7" xfId="18416"/>
    <cellStyle name="40% - Accent4 4 2 2_Exh G" xfId="3123"/>
    <cellStyle name="40% - Accent4 4 2 3" xfId="976"/>
    <cellStyle name="40% - Accent4 4 2 3 2" xfId="1894"/>
    <cellStyle name="40% - Accent4 4 2 3 2 2" xfId="5412"/>
    <cellStyle name="40% - Accent4 4 2 3 2 2 2" xfId="9003"/>
    <cellStyle name="40% - Accent4 4 2 3 2 2 2 2" xfId="16974"/>
    <cellStyle name="40% - Accent4 4 2 3 2 2 2 3" xfId="24920"/>
    <cellStyle name="40% - Accent4 4 2 3 2 2 3" xfId="13436"/>
    <cellStyle name="40% - Accent4 4 2 3 2 2 4" xfId="21391"/>
    <cellStyle name="40% - Accent4 4 2 3 2 3" xfId="7244"/>
    <cellStyle name="40% - Accent4 4 2 3 2 3 2" xfId="15216"/>
    <cellStyle name="40% - Accent4 4 2 3 2 3 3" xfId="23163"/>
    <cellStyle name="40% - Accent4 4 2 3 2 4" xfId="11680"/>
    <cellStyle name="40% - Accent4 4 2 3 2 5" xfId="19635"/>
    <cellStyle name="40% - Accent4 4 2 3 2_Exh G" xfId="3126"/>
    <cellStyle name="40% - Accent4 4 2 3 3" xfId="4533"/>
    <cellStyle name="40% - Accent4 4 2 3 3 2" xfId="8125"/>
    <cellStyle name="40% - Accent4 4 2 3 3 2 2" xfId="16096"/>
    <cellStyle name="40% - Accent4 4 2 3 3 2 3" xfId="24042"/>
    <cellStyle name="40% - Accent4 4 2 3 3 3" xfId="12558"/>
    <cellStyle name="40% - Accent4 4 2 3 3 4" xfId="20513"/>
    <cellStyle name="40% - Accent4 4 2 3 4" xfId="6363"/>
    <cellStyle name="40% - Accent4 4 2 3 4 2" xfId="14338"/>
    <cellStyle name="40% - Accent4 4 2 3 4 3" xfId="22285"/>
    <cellStyle name="40% - Accent4 4 2 3 5" xfId="9906"/>
    <cellStyle name="40% - Accent4 4 2 3 5 2" xfId="17864"/>
    <cellStyle name="40% - Accent4 4 2 3 5 3" xfId="25808"/>
    <cellStyle name="40% - Accent4 4 2 3 6" xfId="10802"/>
    <cellStyle name="40% - Accent4 4 2 3 7" xfId="18757"/>
    <cellStyle name="40% - Accent4 4 2 3_Exh G" xfId="3125"/>
    <cellStyle name="40% - Accent4 4 2 4" xfId="1540"/>
    <cellStyle name="40% - Accent4 4 2 4 2" xfId="5070"/>
    <cellStyle name="40% - Accent4 4 2 4 2 2" xfId="8661"/>
    <cellStyle name="40% - Accent4 4 2 4 2 2 2" xfId="16632"/>
    <cellStyle name="40% - Accent4 4 2 4 2 2 3" xfId="24578"/>
    <cellStyle name="40% - Accent4 4 2 4 2 3" xfId="13094"/>
    <cellStyle name="40% - Accent4 4 2 4 2 4" xfId="21049"/>
    <cellStyle name="40% - Accent4 4 2 4 3" xfId="6902"/>
    <cellStyle name="40% - Accent4 4 2 4 3 2" xfId="14874"/>
    <cellStyle name="40% - Accent4 4 2 4 3 3" xfId="22821"/>
    <cellStyle name="40% - Accent4 4 2 4 4" xfId="11338"/>
    <cellStyle name="40% - Accent4 4 2 4 5" xfId="19293"/>
    <cellStyle name="40% - Accent4 4 2 4_Exh G" xfId="3127"/>
    <cellStyle name="40% - Accent4 4 2 5" xfId="4191"/>
    <cellStyle name="40% - Accent4 4 2 5 2" xfId="7783"/>
    <cellStyle name="40% - Accent4 4 2 5 2 2" xfId="15754"/>
    <cellStyle name="40% - Accent4 4 2 5 2 3" xfId="23700"/>
    <cellStyle name="40% - Accent4 4 2 5 3" xfId="12216"/>
    <cellStyle name="40% - Accent4 4 2 5 4" xfId="20171"/>
    <cellStyle name="40% - Accent4 4 2 6" xfId="6011"/>
    <cellStyle name="40% - Accent4 4 2 6 2" xfId="13995"/>
    <cellStyle name="40% - Accent4 4 2 6 3" xfId="21943"/>
    <cellStyle name="40% - Accent4 4 2 7" xfId="9564"/>
    <cellStyle name="40% - Accent4 4 2 7 2" xfId="17522"/>
    <cellStyle name="40% - Accent4 4 2 7 3" xfId="25466"/>
    <cellStyle name="40% - Accent4 4 2 8" xfId="10460"/>
    <cellStyle name="40% - Accent4 4 2 9" xfId="18415"/>
    <cellStyle name="40% - Accent4 4 2_Exh G" xfId="3122"/>
    <cellStyle name="40% - Accent4 4 3" xfId="514"/>
    <cellStyle name="40% - Accent4 4 3 2" xfId="1542"/>
    <cellStyle name="40% - Accent4 4 3 2 2" xfId="5072"/>
    <cellStyle name="40% - Accent4 4 3 2 2 2" xfId="8663"/>
    <cellStyle name="40% - Accent4 4 3 2 2 2 2" xfId="16634"/>
    <cellStyle name="40% - Accent4 4 3 2 2 2 3" xfId="24580"/>
    <cellStyle name="40% - Accent4 4 3 2 2 3" xfId="13096"/>
    <cellStyle name="40% - Accent4 4 3 2 2 4" xfId="21051"/>
    <cellStyle name="40% - Accent4 4 3 2 3" xfId="6904"/>
    <cellStyle name="40% - Accent4 4 3 2 3 2" xfId="14876"/>
    <cellStyle name="40% - Accent4 4 3 2 3 3" xfId="22823"/>
    <cellStyle name="40% - Accent4 4 3 2 4" xfId="11340"/>
    <cellStyle name="40% - Accent4 4 3 2 5" xfId="19295"/>
    <cellStyle name="40% - Accent4 4 3 2_Exh G" xfId="3129"/>
    <cellStyle name="40% - Accent4 4 3 3" xfId="4193"/>
    <cellStyle name="40% - Accent4 4 3 3 2" xfId="7785"/>
    <cellStyle name="40% - Accent4 4 3 3 2 2" xfId="15756"/>
    <cellStyle name="40% - Accent4 4 3 3 2 3" xfId="23702"/>
    <cellStyle name="40% - Accent4 4 3 3 3" xfId="12218"/>
    <cellStyle name="40% - Accent4 4 3 3 4" xfId="20173"/>
    <cellStyle name="40% - Accent4 4 3 4" xfId="6013"/>
    <cellStyle name="40% - Accent4 4 3 4 2" xfId="13997"/>
    <cellStyle name="40% - Accent4 4 3 4 3" xfId="21945"/>
    <cellStyle name="40% - Accent4 4 3 5" xfId="9566"/>
    <cellStyle name="40% - Accent4 4 3 5 2" xfId="17524"/>
    <cellStyle name="40% - Accent4 4 3 5 3" xfId="25468"/>
    <cellStyle name="40% - Accent4 4 3 6" xfId="10462"/>
    <cellStyle name="40% - Accent4 4 3 7" xfId="18417"/>
    <cellStyle name="40% - Accent4 4 3_Exh G" xfId="3128"/>
    <cellStyle name="40% - Accent4 4 4" xfId="975"/>
    <cellStyle name="40% - Accent4 4 4 2" xfId="1893"/>
    <cellStyle name="40% - Accent4 4 4 2 2" xfId="5411"/>
    <cellStyle name="40% - Accent4 4 4 2 2 2" xfId="9002"/>
    <cellStyle name="40% - Accent4 4 4 2 2 2 2" xfId="16973"/>
    <cellStyle name="40% - Accent4 4 4 2 2 2 3" xfId="24919"/>
    <cellStyle name="40% - Accent4 4 4 2 2 3" xfId="13435"/>
    <cellStyle name="40% - Accent4 4 4 2 2 4" xfId="21390"/>
    <cellStyle name="40% - Accent4 4 4 2 3" xfId="7243"/>
    <cellStyle name="40% - Accent4 4 4 2 3 2" xfId="15215"/>
    <cellStyle name="40% - Accent4 4 4 2 3 3" xfId="23162"/>
    <cellStyle name="40% - Accent4 4 4 2 4" xfId="11679"/>
    <cellStyle name="40% - Accent4 4 4 2 5" xfId="19634"/>
    <cellStyle name="40% - Accent4 4 4 2_Exh G" xfId="3131"/>
    <cellStyle name="40% - Accent4 4 4 3" xfId="4532"/>
    <cellStyle name="40% - Accent4 4 4 3 2" xfId="8124"/>
    <cellStyle name="40% - Accent4 4 4 3 2 2" xfId="16095"/>
    <cellStyle name="40% - Accent4 4 4 3 2 3" xfId="24041"/>
    <cellStyle name="40% - Accent4 4 4 3 3" xfId="12557"/>
    <cellStyle name="40% - Accent4 4 4 3 4" xfId="20512"/>
    <cellStyle name="40% - Accent4 4 4 4" xfId="6362"/>
    <cellStyle name="40% - Accent4 4 4 4 2" xfId="14337"/>
    <cellStyle name="40% - Accent4 4 4 4 3" xfId="22284"/>
    <cellStyle name="40% - Accent4 4 4 5" xfId="9905"/>
    <cellStyle name="40% - Accent4 4 4 5 2" xfId="17863"/>
    <cellStyle name="40% - Accent4 4 4 5 3" xfId="25807"/>
    <cellStyle name="40% - Accent4 4 4 6" xfId="10801"/>
    <cellStyle name="40% - Accent4 4 4 7" xfId="18756"/>
    <cellStyle name="40% - Accent4 4 4_Exh G" xfId="3130"/>
    <cellStyle name="40% - Accent4 4 5" xfId="1539"/>
    <cellStyle name="40% - Accent4 4 5 2" xfId="5069"/>
    <cellStyle name="40% - Accent4 4 5 2 2" xfId="8660"/>
    <cellStyle name="40% - Accent4 4 5 2 2 2" xfId="16631"/>
    <cellStyle name="40% - Accent4 4 5 2 2 3" xfId="24577"/>
    <cellStyle name="40% - Accent4 4 5 2 3" xfId="13093"/>
    <cellStyle name="40% - Accent4 4 5 2 4" xfId="21048"/>
    <cellStyle name="40% - Accent4 4 5 3" xfId="6901"/>
    <cellStyle name="40% - Accent4 4 5 3 2" xfId="14873"/>
    <cellStyle name="40% - Accent4 4 5 3 3" xfId="22820"/>
    <cellStyle name="40% - Accent4 4 5 4" xfId="11337"/>
    <cellStyle name="40% - Accent4 4 5 5" xfId="19292"/>
    <cellStyle name="40% - Accent4 4 5_Exh G" xfId="3132"/>
    <cellStyle name="40% - Accent4 4 6" xfId="4190"/>
    <cellStyle name="40% - Accent4 4 6 2" xfId="7782"/>
    <cellStyle name="40% - Accent4 4 6 2 2" xfId="15753"/>
    <cellStyle name="40% - Accent4 4 6 2 3" xfId="23699"/>
    <cellStyle name="40% - Accent4 4 6 3" xfId="12215"/>
    <cellStyle name="40% - Accent4 4 6 4" xfId="20170"/>
    <cellStyle name="40% - Accent4 4 7" xfId="6010"/>
    <cellStyle name="40% - Accent4 4 7 2" xfId="13994"/>
    <cellStyle name="40% - Accent4 4 7 3" xfId="21942"/>
    <cellStyle name="40% - Accent4 4 8" xfId="9563"/>
    <cellStyle name="40% - Accent4 4 8 2" xfId="17521"/>
    <cellStyle name="40% - Accent4 4 8 3" xfId="25465"/>
    <cellStyle name="40% - Accent4 4 9" xfId="10459"/>
    <cellStyle name="40% - Accent4 4_Exh G" xfId="3121"/>
    <cellStyle name="40% - Accent4 5" xfId="515"/>
    <cellStyle name="40% - Accent4 5 10" xfId="18418"/>
    <cellStyle name="40% - Accent4 5 2" xfId="516"/>
    <cellStyle name="40% - Accent4 5 2 2" xfId="517"/>
    <cellStyle name="40% - Accent4 5 2 2 2" xfId="1545"/>
    <cellStyle name="40% - Accent4 5 2 2 2 2" xfId="5075"/>
    <cellStyle name="40% - Accent4 5 2 2 2 2 2" xfId="8666"/>
    <cellStyle name="40% - Accent4 5 2 2 2 2 2 2" xfId="16637"/>
    <cellStyle name="40% - Accent4 5 2 2 2 2 2 3" xfId="24583"/>
    <cellStyle name="40% - Accent4 5 2 2 2 2 3" xfId="13099"/>
    <cellStyle name="40% - Accent4 5 2 2 2 2 4" xfId="21054"/>
    <cellStyle name="40% - Accent4 5 2 2 2 3" xfId="6907"/>
    <cellStyle name="40% - Accent4 5 2 2 2 3 2" xfId="14879"/>
    <cellStyle name="40% - Accent4 5 2 2 2 3 3" xfId="22826"/>
    <cellStyle name="40% - Accent4 5 2 2 2 4" xfId="11343"/>
    <cellStyle name="40% - Accent4 5 2 2 2 5" xfId="19298"/>
    <cellStyle name="40% - Accent4 5 2 2 2_Exh G" xfId="3136"/>
    <cellStyle name="40% - Accent4 5 2 2 3" xfId="4196"/>
    <cellStyle name="40% - Accent4 5 2 2 3 2" xfId="7788"/>
    <cellStyle name="40% - Accent4 5 2 2 3 2 2" xfId="15759"/>
    <cellStyle name="40% - Accent4 5 2 2 3 2 3" xfId="23705"/>
    <cellStyle name="40% - Accent4 5 2 2 3 3" xfId="12221"/>
    <cellStyle name="40% - Accent4 5 2 2 3 4" xfId="20176"/>
    <cellStyle name="40% - Accent4 5 2 2 4" xfId="6016"/>
    <cellStyle name="40% - Accent4 5 2 2 4 2" xfId="14000"/>
    <cellStyle name="40% - Accent4 5 2 2 4 3" xfId="21948"/>
    <cellStyle name="40% - Accent4 5 2 2 5" xfId="9569"/>
    <cellStyle name="40% - Accent4 5 2 2 5 2" xfId="17527"/>
    <cellStyle name="40% - Accent4 5 2 2 5 3" xfId="25471"/>
    <cellStyle name="40% - Accent4 5 2 2 6" xfId="10465"/>
    <cellStyle name="40% - Accent4 5 2 2 7" xfId="18420"/>
    <cellStyle name="40% - Accent4 5 2 2_Exh G" xfId="3135"/>
    <cellStyle name="40% - Accent4 5 2 3" xfId="1544"/>
    <cellStyle name="40% - Accent4 5 2 3 2" xfId="5074"/>
    <cellStyle name="40% - Accent4 5 2 3 2 2" xfId="8665"/>
    <cellStyle name="40% - Accent4 5 2 3 2 2 2" xfId="16636"/>
    <cellStyle name="40% - Accent4 5 2 3 2 2 3" xfId="24582"/>
    <cellStyle name="40% - Accent4 5 2 3 2 3" xfId="13098"/>
    <cellStyle name="40% - Accent4 5 2 3 2 4" xfId="21053"/>
    <cellStyle name="40% - Accent4 5 2 3 3" xfId="6906"/>
    <cellStyle name="40% - Accent4 5 2 3 3 2" xfId="14878"/>
    <cellStyle name="40% - Accent4 5 2 3 3 3" xfId="22825"/>
    <cellStyle name="40% - Accent4 5 2 3 4" xfId="11342"/>
    <cellStyle name="40% - Accent4 5 2 3 5" xfId="19297"/>
    <cellStyle name="40% - Accent4 5 2 3_Exh G" xfId="3137"/>
    <cellStyle name="40% - Accent4 5 2 4" xfId="4195"/>
    <cellStyle name="40% - Accent4 5 2 4 2" xfId="7787"/>
    <cellStyle name="40% - Accent4 5 2 4 2 2" xfId="15758"/>
    <cellStyle name="40% - Accent4 5 2 4 2 3" xfId="23704"/>
    <cellStyle name="40% - Accent4 5 2 4 3" xfId="12220"/>
    <cellStyle name="40% - Accent4 5 2 4 4" xfId="20175"/>
    <cellStyle name="40% - Accent4 5 2 5" xfId="6015"/>
    <cellStyle name="40% - Accent4 5 2 5 2" xfId="13999"/>
    <cellStyle name="40% - Accent4 5 2 5 3" xfId="21947"/>
    <cellStyle name="40% - Accent4 5 2 6" xfId="9568"/>
    <cellStyle name="40% - Accent4 5 2 6 2" xfId="17526"/>
    <cellStyle name="40% - Accent4 5 2 6 3" xfId="25470"/>
    <cellStyle name="40% - Accent4 5 2 7" xfId="10464"/>
    <cellStyle name="40% - Accent4 5 2 8" xfId="18419"/>
    <cellStyle name="40% - Accent4 5 2_Exh G" xfId="3134"/>
    <cellStyle name="40% - Accent4 5 3" xfId="518"/>
    <cellStyle name="40% - Accent4 5 3 2" xfId="1546"/>
    <cellStyle name="40% - Accent4 5 3 2 2" xfId="5076"/>
    <cellStyle name="40% - Accent4 5 3 2 2 2" xfId="8667"/>
    <cellStyle name="40% - Accent4 5 3 2 2 2 2" xfId="16638"/>
    <cellStyle name="40% - Accent4 5 3 2 2 2 3" xfId="24584"/>
    <cellStyle name="40% - Accent4 5 3 2 2 3" xfId="13100"/>
    <cellStyle name="40% - Accent4 5 3 2 2 4" xfId="21055"/>
    <cellStyle name="40% - Accent4 5 3 2 3" xfId="6908"/>
    <cellStyle name="40% - Accent4 5 3 2 3 2" xfId="14880"/>
    <cellStyle name="40% - Accent4 5 3 2 3 3" xfId="22827"/>
    <cellStyle name="40% - Accent4 5 3 2 4" xfId="11344"/>
    <cellStyle name="40% - Accent4 5 3 2 5" xfId="19299"/>
    <cellStyle name="40% - Accent4 5 3 2_Exh G" xfId="3139"/>
    <cellStyle name="40% - Accent4 5 3 3" xfId="4197"/>
    <cellStyle name="40% - Accent4 5 3 3 2" xfId="7789"/>
    <cellStyle name="40% - Accent4 5 3 3 2 2" xfId="15760"/>
    <cellStyle name="40% - Accent4 5 3 3 2 3" xfId="23706"/>
    <cellStyle name="40% - Accent4 5 3 3 3" xfId="12222"/>
    <cellStyle name="40% - Accent4 5 3 3 4" xfId="20177"/>
    <cellStyle name="40% - Accent4 5 3 4" xfId="6017"/>
    <cellStyle name="40% - Accent4 5 3 4 2" xfId="14001"/>
    <cellStyle name="40% - Accent4 5 3 4 3" xfId="21949"/>
    <cellStyle name="40% - Accent4 5 3 5" xfId="9570"/>
    <cellStyle name="40% - Accent4 5 3 5 2" xfId="17528"/>
    <cellStyle name="40% - Accent4 5 3 5 3" xfId="25472"/>
    <cellStyle name="40% - Accent4 5 3 6" xfId="10466"/>
    <cellStyle name="40% - Accent4 5 3 7" xfId="18421"/>
    <cellStyle name="40% - Accent4 5 3_Exh G" xfId="3138"/>
    <cellStyle name="40% - Accent4 5 4" xfId="977"/>
    <cellStyle name="40% - Accent4 5 5" xfId="1543"/>
    <cellStyle name="40% - Accent4 5 5 2" xfId="5073"/>
    <cellStyle name="40% - Accent4 5 5 2 2" xfId="8664"/>
    <cellStyle name="40% - Accent4 5 5 2 2 2" xfId="16635"/>
    <cellStyle name="40% - Accent4 5 5 2 2 3" xfId="24581"/>
    <cellStyle name="40% - Accent4 5 5 2 3" xfId="13097"/>
    <cellStyle name="40% - Accent4 5 5 2 4" xfId="21052"/>
    <cellStyle name="40% - Accent4 5 5 3" xfId="6905"/>
    <cellStyle name="40% - Accent4 5 5 3 2" xfId="14877"/>
    <cellStyle name="40% - Accent4 5 5 3 3" xfId="22824"/>
    <cellStyle name="40% - Accent4 5 5 4" xfId="11341"/>
    <cellStyle name="40% - Accent4 5 5 5" xfId="19296"/>
    <cellStyle name="40% - Accent4 5 5_Exh G" xfId="3140"/>
    <cellStyle name="40% - Accent4 5 6" xfId="4194"/>
    <cellStyle name="40% - Accent4 5 6 2" xfId="7786"/>
    <cellStyle name="40% - Accent4 5 6 2 2" xfId="15757"/>
    <cellStyle name="40% - Accent4 5 6 2 3" xfId="23703"/>
    <cellStyle name="40% - Accent4 5 6 3" xfId="12219"/>
    <cellStyle name="40% - Accent4 5 6 4" xfId="20174"/>
    <cellStyle name="40% - Accent4 5 7" xfId="6014"/>
    <cellStyle name="40% - Accent4 5 7 2" xfId="13998"/>
    <cellStyle name="40% - Accent4 5 7 3" xfId="21946"/>
    <cellStyle name="40% - Accent4 5 8" xfId="9567"/>
    <cellStyle name="40% - Accent4 5 8 2" xfId="17525"/>
    <cellStyle name="40% - Accent4 5 8 3" xfId="25469"/>
    <cellStyle name="40% - Accent4 5 9" xfId="10463"/>
    <cellStyle name="40% - Accent4 5_Exh G" xfId="3133"/>
    <cellStyle name="40% - Accent4 6" xfId="519"/>
    <cellStyle name="40% - Accent4 6 10" xfId="18422"/>
    <cellStyle name="40% - Accent4 6 2" xfId="520"/>
    <cellStyle name="40% - Accent4 6 2 2" xfId="521"/>
    <cellStyle name="40% - Accent4 6 2 2 2" xfId="1549"/>
    <cellStyle name="40% - Accent4 6 2 2 2 2" xfId="5079"/>
    <cellStyle name="40% - Accent4 6 2 2 2 2 2" xfId="8670"/>
    <cellStyle name="40% - Accent4 6 2 2 2 2 2 2" xfId="16641"/>
    <cellStyle name="40% - Accent4 6 2 2 2 2 2 3" xfId="24587"/>
    <cellStyle name="40% - Accent4 6 2 2 2 2 3" xfId="13103"/>
    <cellStyle name="40% - Accent4 6 2 2 2 2 4" xfId="21058"/>
    <cellStyle name="40% - Accent4 6 2 2 2 3" xfId="6911"/>
    <cellStyle name="40% - Accent4 6 2 2 2 3 2" xfId="14883"/>
    <cellStyle name="40% - Accent4 6 2 2 2 3 3" xfId="22830"/>
    <cellStyle name="40% - Accent4 6 2 2 2 4" xfId="11347"/>
    <cellStyle name="40% - Accent4 6 2 2 2 5" xfId="19302"/>
    <cellStyle name="40% - Accent4 6 2 2 2_Exh G" xfId="3144"/>
    <cellStyle name="40% - Accent4 6 2 2 3" xfId="4200"/>
    <cellStyle name="40% - Accent4 6 2 2 3 2" xfId="7792"/>
    <cellStyle name="40% - Accent4 6 2 2 3 2 2" xfId="15763"/>
    <cellStyle name="40% - Accent4 6 2 2 3 2 3" xfId="23709"/>
    <cellStyle name="40% - Accent4 6 2 2 3 3" xfId="12225"/>
    <cellStyle name="40% - Accent4 6 2 2 3 4" xfId="20180"/>
    <cellStyle name="40% - Accent4 6 2 2 4" xfId="6020"/>
    <cellStyle name="40% - Accent4 6 2 2 4 2" xfId="14004"/>
    <cellStyle name="40% - Accent4 6 2 2 4 3" xfId="21952"/>
    <cellStyle name="40% - Accent4 6 2 2 5" xfId="9573"/>
    <cellStyle name="40% - Accent4 6 2 2 5 2" xfId="17531"/>
    <cellStyle name="40% - Accent4 6 2 2 5 3" xfId="25475"/>
    <cellStyle name="40% - Accent4 6 2 2 6" xfId="10469"/>
    <cellStyle name="40% - Accent4 6 2 2 7" xfId="18424"/>
    <cellStyle name="40% - Accent4 6 2 2_Exh G" xfId="3143"/>
    <cellStyle name="40% - Accent4 6 2 3" xfId="1548"/>
    <cellStyle name="40% - Accent4 6 2 3 2" xfId="5078"/>
    <cellStyle name="40% - Accent4 6 2 3 2 2" xfId="8669"/>
    <cellStyle name="40% - Accent4 6 2 3 2 2 2" xfId="16640"/>
    <cellStyle name="40% - Accent4 6 2 3 2 2 3" xfId="24586"/>
    <cellStyle name="40% - Accent4 6 2 3 2 3" xfId="13102"/>
    <cellStyle name="40% - Accent4 6 2 3 2 4" xfId="21057"/>
    <cellStyle name="40% - Accent4 6 2 3 3" xfId="6910"/>
    <cellStyle name="40% - Accent4 6 2 3 3 2" xfId="14882"/>
    <cellStyle name="40% - Accent4 6 2 3 3 3" xfId="22829"/>
    <cellStyle name="40% - Accent4 6 2 3 4" xfId="11346"/>
    <cellStyle name="40% - Accent4 6 2 3 5" xfId="19301"/>
    <cellStyle name="40% - Accent4 6 2 3_Exh G" xfId="3145"/>
    <cellStyle name="40% - Accent4 6 2 4" xfId="4199"/>
    <cellStyle name="40% - Accent4 6 2 4 2" xfId="7791"/>
    <cellStyle name="40% - Accent4 6 2 4 2 2" xfId="15762"/>
    <cellStyle name="40% - Accent4 6 2 4 2 3" xfId="23708"/>
    <cellStyle name="40% - Accent4 6 2 4 3" xfId="12224"/>
    <cellStyle name="40% - Accent4 6 2 4 4" xfId="20179"/>
    <cellStyle name="40% - Accent4 6 2 5" xfId="6019"/>
    <cellStyle name="40% - Accent4 6 2 5 2" xfId="14003"/>
    <cellStyle name="40% - Accent4 6 2 5 3" xfId="21951"/>
    <cellStyle name="40% - Accent4 6 2 6" xfId="9572"/>
    <cellStyle name="40% - Accent4 6 2 6 2" xfId="17530"/>
    <cellStyle name="40% - Accent4 6 2 6 3" xfId="25474"/>
    <cellStyle name="40% - Accent4 6 2 7" xfId="10468"/>
    <cellStyle name="40% - Accent4 6 2 8" xfId="18423"/>
    <cellStyle name="40% - Accent4 6 2_Exh G" xfId="3142"/>
    <cellStyle name="40% - Accent4 6 3" xfId="522"/>
    <cellStyle name="40% - Accent4 6 3 2" xfId="1550"/>
    <cellStyle name="40% - Accent4 6 3 2 2" xfId="5080"/>
    <cellStyle name="40% - Accent4 6 3 2 2 2" xfId="8671"/>
    <cellStyle name="40% - Accent4 6 3 2 2 2 2" xfId="16642"/>
    <cellStyle name="40% - Accent4 6 3 2 2 2 3" xfId="24588"/>
    <cellStyle name="40% - Accent4 6 3 2 2 3" xfId="13104"/>
    <cellStyle name="40% - Accent4 6 3 2 2 4" xfId="21059"/>
    <cellStyle name="40% - Accent4 6 3 2 3" xfId="6912"/>
    <cellStyle name="40% - Accent4 6 3 2 3 2" xfId="14884"/>
    <cellStyle name="40% - Accent4 6 3 2 3 3" xfId="22831"/>
    <cellStyle name="40% - Accent4 6 3 2 4" xfId="11348"/>
    <cellStyle name="40% - Accent4 6 3 2 5" xfId="19303"/>
    <cellStyle name="40% - Accent4 6 3 2_Exh G" xfId="3147"/>
    <cellStyle name="40% - Accent4 6 3 3" xfId="4201"/>
    <cellStyle name="40% - Accent4 6 3 3 2" xfId="7793"/>
    <cellStyle name="40% - Accent4 6 3 3 2 2" xfId="15764"/>
    <cellStyle name="40% - Accent4 6 3 3 2 3" xfId="23710"/>
    <cellStyle name="40% - Accent4 6 3 3 3" xfId="12226"/>
    <cellStyle name="40% - Accent4 6 3 3 4" xfId="20181"/>
    <cellStyle name="40% - Accent4 6 3 4" xfId="6021"/>
    <cellStyle name="40% - Accent4 6 3 4 2" xfId="14005"/>
    <cellStyle name="40% - Accent4 6 3 4 3" xfId="21953"/>
    <cellStyle name="40% - Accent4 6 3 5" xfId="9574"/>
    <cellStyle name="40% - Accent4 6 3 5 2" xfId="17532"/>
    <cellStyle name="40% - Accent4 6 3 5 3" xfId="25476"/>
    <cellStyle name="40% - Accent4 6 3 6" xfId="10470"/>
    <cellStyle name="40% - Accent4 6 3 7" xfId="18425"/>
    <cellStyle name="40% - Accent4 6 3_Exh G" xfId="3146"/>
    <cellStyle name="40% - Accent4 6 4" xfId="978"/>
    <cellStyle name="40% - Accent4 6 4 2" xfId="1895"/>
    <cellStyle name="40% - Accent4 6 4 2 2" xfId="5413"/>
    <cellStyle name="40% - Accent4 6 4 2 2 2" xfId="9004"/>
    <cellStyle name="40% - Accent4 6 4 2 2 2 2" xfId="16975"/>
    <cellStyle name="40% - Accent4 6 4 2 2 2 3" xfId="24921"/>
    <cellStyle name="40% - Accent4 6 4 2 2 3" xfId="13437"/>
    <cellStyle name="40% - Accent4 6 4 2 2 4" xfId="21392"/>
    <cellStyle name="40% - Accent4 6 4 2 3" xfId="7245"/>
    <cellStyle name="40% - Accent4 6 4 2 3 2" xfId="15217"/>
    <cellStyle name="40% - Accent4 6 4 2 3 3" xfId="23164"/>
    <cellStyle name="40% - Accent4 6 4 2 4" xfId="11681"/>
    <cellStyle name="40% - Accent4 6 4 2 5" xfId="19636"/>
    <cellStyle name="40% - Accent4 6 4 2_Exh G" xfId="3149"/>
    <cellStyle name="40% - Accent4 6 4 3" xfId="4534"/>
    <cellStyle name="40% - Accent4 6 4 3 2" xfId="8126"/>
    <cellStyle name="40% - Accent4 6 4 3 2 2" xfId="16097"/>
    <cellStyle name="40% - Accent4 6 4 3 2 3" xfId="24043"/>
    <cellStyle name="40% - Accent4 6 4 3 3" xfId="12559"/>
    <cellStyle name="40% - Accent4 6 4 3 4" xfId="20514"/>
    <cellStyle name="40% - Accent4 6 4 4" xfId="6364"/>
    <cellStyle name="40% - Accent4 6 4 4 2" xfId="14339"/>
    <cellStyle name="40% - Accent4 6 4 4 3" xfId="22286"/>
    <cellStyle name="40% - Accent4 6 4 5" xfId="9907"/>
    <cellStyle name="40% - Accent4 6 4 5 2" xfId="17865"/>
    <cellStyle name="40% - Accent4 6 4 5 3" xfId="25809"/>
    <cellStyle name="40% - Accent4 6 4 6" xfId="10803"/>
    <cellStyle name="40% - Accent4 6 4 7" xfId="18758"/>
    <cellStyle name="40% - Accent4 6 4_Exh G" xfId="3148"/>
    <cellStyle name="40% - Accent4 6 5" xfId="1547"/>
    <cellStyle name="40% - Accent4 6 5 2" xfId="5077"/>
    <cellStyle name="40% - Accent4 6 5 2 2" xfId="8668"/>
    <cellStyle name="40% - Accent4 6 5 2 2 2" xfId="16639"/>
    <cellStyle name="40% - Accent4 6 5 2 2 3" xfId="24585"/>
    <cellStyle name="40% - Accent4 6 5 2 3" xfId="13101"/>
    <cellStyle name="40% - Accent4 6 5 2 4" xfId="21056"/>
    <cellStyle name="40% - Accent4 6 5 3" xfId="6909"/>
    <cellStyle name="40% - Accent4 6 5 3 2" xfId="14881"/>
    <cellStyle name="40% - Accent4 6 5 3 3" xfId="22828"/>
    <cellStyle name="40% - Accent4 6 5 4" xfId="11345"/>
    <cellStyle name="40% - Accent4 6 5 5" xfId="19300"/>
    <cellStyle name="40% - Accent4 6 5_Exh G" xfId="3150"/>
    <cellStyle name="40% - Accent4 6 6" xfId="4198"/>
    <cellStyle name="40% - Accent4 6 6 2" xfId="7790"/>
    <cellStyle name="40% - Accent4 6 6 2 2" xfId="15761"/>
    <cellStyle name="40% - Accent4 6 6 2 3" xfId="23707"/>
    <cellStyle name="40% - Accent4 6 6 3" xfId="12223"/>
    <cellStyle name="40% - Accent4 6 6 4" xfId="20178"/>
    <cellStyle name="40% - Accent4 6 7" xfId="6018"/>
    <cellStyle name="40% - Accent4 6 7 2" xfId="14002"/>
    <cellStyle name="40% - Accent4 6 7 3" xfId="21950"/>
    <cellStyle name="40% - Accent4 6 8" xfId="9571"/>
    <cellStyle name="40% - Accent4 6 8 2" xfId="17529"/>
    <cellStyle name="40% - Accent4 6 8 3" xfId="25473"/>
    <cellStyle name="40% - Accent4 6 9" xfId="10467"/>
    <cellStyle name="40% - Accent4 6_Exh G" xfId="3141"/>
    <cellStyle name="40% - Accent4 7" xfId="523"/>
    <cellStyle name="40% - Accent4 7 10" xfId="18426"/>
    <cellStyle name="40% - Accent4 7 2" xfId="524"/>
    <cellStyle name="40% - Accent4 7 2 2" xfId="525"/>
    <cellStyle name="40% - Accent4 7 2 2 2" xfId="1553"/>
    <cellStyle name="40% - Accent4 7 2 2 2 2" xfId="5083"/>
    <cellStyle name="40% - Accent4 7 2 2 2 2 2" xfId="8674"/>
    <cellStyle name="40% - Accent4 7 2 2 2 2 2 2" xfId="16645"/>
    <cellStyle name="40% - Accent4 7 2 2 2 2 2 3" xfId="24591"/>
    <cellStyle name="40% - Accent4 7 2 2 2 2 3" xfId="13107"/>
    <cellStyle name="40% - Accent4 7 2 2 2 2 4" xfId="21062"/>
    <cellStyle name="40% - Accent4 7 2 2 2 3" xfId="6915"/>
    <cellStyle name="40% - Accent4 7 2 2 2 3 2" xfId="14887"/>
    <cellStyle name="40% - Accent4 7 2 2 2 3 3" xfId="22834"/>
    <cellStyle name="40% - Accent4 7 2 2 2 4" xfId="11351"/>
    <cellStyle name="40% - Accent4 7 2 2 2 5" xfId="19306"/>
    <cellStyle name="40% - Accent4 7 2 2 2_Exh G" xfId="3154"/>
    <cellStyle name="40% - Accent4 7 2 2 3" xfId="4204"/>
    <cellStyle name="40% - Accent4 7 2 2 3 2" xfId="7796"/>
    <cellStyle name="40% - Accent4 7 2 2 3 2 2" xfId="15767"/>
    <cellStyle name="40% - Accent4 7 2 2 3 2 3" xfId="23713"/>
    <cellStyle name="40% - Accent4 7 2 2 3 3" xfId="12229"/>
    <cellStyle name="40% - Accent4 7 2 2 3 4" xfId="20184"/>
    <cellStyle name="40% - Accent4 7 2 2 4" xfId="6024"/>
    <cellStyle name="40% - Accent4 7 2 2 4 2" xfId="14008"/>
    <cellStyle name="40% - Accent4 7 2 2 4 3" xfId="21956"/>
    <cellStyle name="40% - Accent4 7 2 2 5" xfId="9577"/>
    <cellStyle name="40% - Accent4 7 2 2 5 2" xfId="17535"/>
    <cellStyle name="40% - Accent4 7 2 2 5 3" xfId="25479"/>
    <cellStyle name="40% - Accent4 7 2 2 6" xfId="10473"/>
    <cellStyle name="40% - Accent4 7 2 2 7" xfId="18428"/>
    <cellStyle name="40% - Accent4 7 2 2_Exh G" xfId="3153"/>
    <cellStyle name="40% - Accent4 7 2 3" xfId="1552"/>
    <cellStyle name="40% - Accent4 7 2 3 2" xfId="5082"/>
    <cellStyle name="40% - Accent4 7 2 3 2 2" xfId="8673"/>
    <cellStyle name="40% - Accent4 7 2 3 2 2 2" xfId="16644"/>
    <cellStyle name="40% - Accent4 7 2 3 2 2 3" xfId="24590"/>
    <cellStyle name="40% - Accent4 7 2 3 2 3" xfId="13106"/>
    <cellStyle name="40% - Accent4 7 2 3 2 4" xfId="21061"/>
    <cellStyle name="40% - Accent4 7 2 3 3" xfId="6914"/>
    <cellStyle name="40% - Accent4 7 2 3 3 2" xfId="14886"/>
    <cellStyle name="40% - Accent4 7 2 3 3 3" xfId="22833"/>
    <cellStyle name="40% - Accent4 7 2 3 4" xfId="11350"/>
    <cellStyle name="40% - Accent4 7 2 3 5" xfId="19305"/>
    <cellStyle name="40% - Accent4 7 2 3_Exh G" xfId="3155"/>
    <cellStyle name="40% - Accent4 7 2 4" xfId="4203"/>
    <cellStyle name="40% - Accent4 7 2 4 2" xfId="7795"/>
    <cellStyle name="40% - Accent4 7 2 4 2 2" xfId="15766"/>
    <cellStyle name="40% - Accent4 7 2 4 2 3" xfId="23712"/>
    <cellStyle name="40% - Accent4 7 2 4 3" xfId="12228"/>
    <cellStyle name="40% - Accent4 7 2 4 4" xfId="20183"/>
    <cellStyle name="40% - Accent4 7 2 5" xfId="6023"/>
    <cellStyle name="40% - Accent4 7 2 5 2" xfId="14007"/>
    <cellStyle name="40% - Accent4 7 2 5 3" xfId="21955"/>
    <cellStyle name="40% - Accent4 7 2 6" xfId="9576"/>
    <cellStyle name="40% - Accent4 7 2 6 2" xfId="17534"/>
    <cellStyle name="40% - Accent4 7 2 6 3" xfId="25478"/>
    <cellStyle name="40% - Accent4 7 2 7" xfId="10472"/>
    <cellStyle name="40% - Accent4 7 2 8" xfId="18427"/>
    <cellStyle name="40% - Accent4 7 2_Exh G" xfId="3152"/>
    <cellStyle name="40% - Accent4 7 3" xfId="526"/>
    <cellStyle name="40% - Accent4 7 3 2" xfId="1554"/>
    <cellStyle name="40% - Accent4 7 3 2 2" xfId="5084"/>
    <cellStyle name="40% - Accent4 7 3 2 2 2" xfId="8675"/>
    <cellStyle name="40% - Accent4 7 3 2 2 2 2" xfId="16646"/>
    <cellStyle name="40% - Accent4 7 3 2 2 2 3" xfId="24592"/>
    <cellStyle name="40% - Accent4 7 3 2 2 3" xfId="13108"/>
    <cellStyle name="40% - Accent4 7 3 2 2 4" xfId="21063"/>
    <cellStyle name="40% - Accent4 7 3 2 3" xfId="6916"/>
    <cellStyle name="40% - Accent4 7 3 2 3 2" xfId="14888"/>
    <cellStyle name="40% - Accent4 7 3 2 3 3" xfId="22835"/>
    <cellStyle name="40% - Accent4 7 3 2 4" xfId="11352"/>
    <cellStyle name="40% - Accent4 7 3 2 5" xfId="19307"/>
    <cellStyle name="40% - Accent4 7 3 2_Exh G" xfId="3157"/>
    <cellStyle name="40% - Accent4 7 3 3" xfId="4205"/>
    <cellStyle name="40% - Accent4 7 3 3 2" xfId="7797"/>
    <cellStyle name="40% - Accent4 7 3 3 2 2" xfId="15768"/>
    <cellStyle name="40% - Accent4 7 3 3 2 3" xfId="23714"/>
    <cellStyle name="40% - Accent4 7 3 3 3" xfId="12230"/>
    <cellStyle name="40% - Accent4 7 3 3 4" xfId="20185"/>
    <cellStyle name="40% - Accent4 7 3 4" xfId="6025"/>
    <cellStyle name="40% - Accent4 7 3 4 2" xfId="14009"/>
    <cellStyle name="40% - Accent4 7 3 4 3" xfId="21957"/>
    <cellStyle name="40% - Accent4 7 3 5" xfId="9578"/>
    <cellStyle name="40% - Accent4 7 3 5 2" xfId="17536"/>
    <cellStyle name="40% - Accent4 7 3 5 3" xfId="25480"/>
    <cellStyle name="40% - Accent4 7 3 6" xfId="10474"/>
    <cellStyle name="40% - Accent4 7 3 7" xfId="18429"/>
    <cellStyle name="40% - Accent4 7 3_Exh G" xfId="3156"/>
    <cellStyle name="40% - Accent4 7 4" xfId="979"/>
    <cellStyle name="40% - Accent4 7 4 2" xfId="1896"/>
    <cellStyle name="40% - Accent4 7 4 2 2" xfId="5414"/>
    <cellStyle name="40% - Accent4 7 4 2 2 2" xfId="9005"/>
    <cellStyle name="40% - Accent4 7 4 2 2 2 2" xfId="16976"/>
    <cellStyle name="40% - Accent4 7 4 2 2 2 3" xfId="24922"/>
    <cellStyle name="40% - Accent4 7 4 2 2 3" xfId="13438"/>
    <cellStyle name="40% - Accent4 7 4 2 2 4" xfId="21393"/>
    <cellStyle name="40% - Accent4 7 4 2 3" xfId="7246"/>
    <cellStyle name="40% - Accent4 7 4 2 3 2" xfId="15218"/>
    <cellStyle name="40% - Accent4 7 4 2 3 3" xfId="23165"/>
    <cellStyle name="40% - Accent4 7 4 2 4" xfId="11682"/>
    <cellStyle name="40% - Accent4 7 4 2 5" xfId="19637"/>
    <cellStyle name="40% - Accent4 7 4 2_Exh G" xfId="3159"/>
    <cellStyle name="40% - Accent4 7 4 3" xfId="4535"/>
    <cellStyle name="40% - Accent4 7 4 3 2" xfId="8127"/>
    <cellStyle name="40% - Accent4 7 4 3 2 2" xfId="16098"/>
    <cellStyle name="40% - Accent4 7 4 3 2 3" xfId="24044"/>
    <cellStyle name="40% - Accent4 7 4 3 3" xfId="12560"/>
    <cellStyle name="40% - Accent4 7 4 3 4" xfId="20515"/>
    <cellStyle name="40% - Accent4 7 4 4" xfId="6365"/>
    <cellStyle name="40% - Accent4 7 4 4 2" xfId="14340"/>
    <cellStyle name="40% - Accent4 7 4 4 3" xfId="22287"/>
    <cellStyle name="40% - Accent4 7 4 5" xfId="9908"/>
    <cellStyle name="40% - Accent4 7 4 5 2" xfId="17866"/>
    <cellStyle name="40% - Accent4 7 4 5 3" xfId="25810"/>
    <cellStyle name="40% - Accent4 7 4 6" xfId="10804"/>
    <cellStyle name="40% - Accent4 7 4 7" xfId="18759"/>
    <cellStyle name="40% - Accent4 7 4_Exh G" xfId="3158"/>
    <cellStyle name="40% - Accent4 7 5" xfId="1551"/>
    <cellStyle name="40% - Accent4 7 5 2" xfId="5081"/>
    <cellStyle name="40% - Accent4 7 5 2 2" xfId="8672"/>
    <cellStyle name="40% - Accent4 7 5 2 2 2" xfId="16643"/>
    <cellStyle name="40% - Accent4 7 5 2 2 3" xfId="24589"/>
    <cellStyle name="40% - Accent4 7 5 2 3" xfId="13105"/>
    <cellStyle name="40% - Accent4 7 5 2 4" xfId="21060"/>
    <cellStyle name="40% - Accent4 7 5 3" xfId="6913"/>
    <cellStyle name="40% - Accent4 7 5 3 2" xfId="14885"/>
    <cellStyle name="40% - Accent4 7 5 3 3" xfId="22832"/>
    <cellStyle name="40% - Accent4 7 5 4" xfId="11349"/>
    <cellStyle name="40% - Accent4 7 5 5" xfId="19304"/>
    <cellStyle name="40% - Accent4 7 5_Exh G" xfId="3160"/>
    <cellStyle name="40% - Accent4 7 6" xfId="4202"/>
    <cellStyle name="40% - Accent4 7 6 2" xfId="7794"/>
    <cellStyle name="40% - Accent4 7 6 2 2" xfId="15765"/>
    <cellStyle name="40% - Accent4 7 6 2 3" xfId="23711"/>
    <cellStyle name="40% - Accent4 7 6 3" xfId="12227"/>
    <cellStyle name="40% - Accent4 7 6 4" xfId="20182"/>
    <cellStyle name="40% - Accent4 7 7" xfId="6022"/>
    <cellStyle name="40% - Accent4 7 7 2" xfId="14006"/>
    <cellStyle name="40% - Accent4 7 7 3" xfId="21954"/>
    <cellStyle name="40% - Accent4 7 8" xfId="9575"/>
    <cellStyle name="40% - Accent4 7 8 2" xfId="17533"/>
    <cellStyle name="40% - Accent4 7 8 3" xfId="25477"/>
    <cellStyle name="40% - Accent4 7 9" xfId="10471"/>
    <cellStyle name="40% - Accent4 7_Exh G" xfId="3151"/>
    <cellStyle name="40% - Accent4 8" xfId="527"/>
    <cellStyle name="40% - Accent4 8 10" xfId="18430"/>
    <cellStyle name="40% - Accent4 8 2" xfId="528"/>
    <cellStyle name="40% - Accent4 8 2 2" xfId="529"/>
    <cellStyle name="40% - Accent4 8 2 2 2" xfId="1557"/>
    <cellStyle name="40% - Accent4 8 2 2 2 2" xfId="5087"/>
    <cellStyle name="40% - Accent4 8 2 2 2 2 2" xfId="8678"/>
    <cellStyle name="40% - Accent4 8 2 2 2 2 2 2" xfId="16649"/>
    <cellStyle name="40% - Accent4 8 2 2 2 2 2 3" xfId="24595"/>
    <cellStyle name="40% - Accent4 8 2 2 2 2 3" xfId="13111"/>
    <cellStyle name="40% - Accent4 8 2 2 2 2 4" xfId="21066"/>
    <cellStyle name="40% - Accent4 8 2 2 2 3" xfId="6919"/>
    <cellStyle name="40% - Accent4 8 2 2 2 3 2" xfId="14891"/>
    <cellStyle name="40% - Accent4 8 2 2 2 3 3" xfId="22838"/>
    <cellStyle name="40% - Accent4 8 2 2 2 4" xfId="11355"/>
    <cellStyle name="40% - Accent4 8 2 2 2 5" xfId="19310"/>
    <cellStyle name="40% - Accent4 8 2 2 2_Exh G" xfId="3164"/>
    <cellStyle name="40% - Accent4 8 2 2 3" xfId="4208"/>
    <cellStyle name="40% - Accent4 8 2 2 3 2" xfId="7800"/>
    <cellStyle name="40% - Accent4 8 2 2 3 2 2" xfId="15771"/>
    <cellStyle name="40% - Accent4 8 2 2 3 2 3" xfId="23717"/>
    <cellStyle name="40% - Accent4 8 2 2 3 3" xfId="12233"/>
    <cellStyle name="40% - Accent4 8 2 2 3 4" xfId="20188"/>
    <cellStyle name="40% - Accent4 8 2 2 4" xfId="6028"/>
    <cellStyle name="40% - Accent4 8 2 2 4 2" xfId="14012"/>
    <cellStyle name="40% - Accent4 8 2 2 4 3" xfId="21960"/>
    <cellStyle name="40% - Accent4 8 2 2 5" xfId="9581"/>
    <cellStyle name="40% - Accent4 8 2 2 5 2" xfId="17539"/>
    <cellStyle name="40% - Accent4 8 2 2 5 3" xfId="25483"/>
    <cellStyle name="40% - Accent4 8 2 2 6" xfId="10477"/>
    <cellStyle name="40% - Accent4 8 2 2 7" xfId="18432"/>
    <cellStyle name="40% - Accent4 8 2 2_Exh G" xfId="3163"/>
    <cellStyle name="40% - Accent4 8 2 3" xfId="1556"/>
    <cellStyle name="40% - Accent4 8 2 3 2" xfId="5086"/>
    <cellStyle name="40% - Accent4 8 2 3 2 2" xfId="8677"/>
    <cellStyle name="40% - Accent4 8 2 3 2 2 2" xfId="16648"/>
    <cellStyle name="40% - Accent4 8 2 3 2 2 3" xfId="24594"/>
    <cellStyle name="40% - Accent4 8 2 3 2 3" xfId="13110"/>
    <cellStyle name="40% - Accent4 8 2 3 2 4" xfId="21065"/>
    <cellStyle name="40% - Accent4 8 2 3 3" xfId="6918"/>
    <cellStyle name="40% - Accent4 8 2 3 3 2" xfId="14890"/>
    <cellStyle name="40% - Accent4 8 2 3 3 3" xfId="22837"/>
    <cellStyle name="40% - Accent4 8 2 3 4" xfId="11354"/>
    <cellStyle name="40% - Accent4 8 2 3 5" xfId="19309"/>
    <cellStyle name="40% - Accent4 8 2 3_Exh G" xfId="3165"/>
    <cellStyle name="40% - Accent4 8 2 4" xfId="4207"/>
    <cellStyle name="40% - Accent4 8 2 4 2" xfId="7799"/>
    <cellStyle name="40% - Accent4 8 2 4 2 2" xfId="15770"/>
    <cellStyle name="40% - Accent4 8 2 4 2 3" xfId="23716"/>
    <cellStyle name="40% - Accent4 8 2 4 3" xfId="12232"/>
    <cellStyle name="40% - Accent4 8 2 4 4" xfId="20187"/>
    <cellStyle name="40% - Accent4 8 2 5" xfId="6027"/>
    <cellStyle name="40% - Accent4 8 2 5 2" xfId="14011"/>
    <cellStyle name="40% - Accent4 8 2 5 3" xfId="21959"/>
    <cellStyle name="40% - Accent4 8 2 6" xfId="9580"/>
    <cellStyle name="40% - Accent4 8 2 6 2" xfId="17538"/>
    <cellStyle name="40% - Accent4 8 2 6 3" xfId="25482"/>
    <cellStyle name="40% - Accent4 8 2 7" xfId="10476"/>
    <cellStyle name="40% - Accent4 8 2 8" xfId="18431"/>
    <cellStyle name="40% - Accent4 8 2_Exh G" xfId="3162"/>
    <cellStyle name="40% - Accent4 8 3" xfId="530"/>
    <cellStyle name="40% - Accent4 8 3 2" xfId="1558"/>
    <cellStyle name="40% - Accent4 8 3 2 2" xfId="5088"/>
    <cellStyle name="40% - Accent4 8 3 2 2 2" xfId="8679"/>
    <cellStyle name="40% - Accent4 8 3 2 2 2 2" xfId="16650"/>
    <cellStyle name="40% - Accent4 8 3 2 2 2 3" xfId="24596"/>
    <cellStyle name="40% - Accent4 8 3 2 2 3" xfId="13112"/>
    <cellStyle name="40% - Accent4 8 3 2 2 4" xfId="21067"/>
    <cellStyle name="40% - Accent4 8 3 2 3" xfId="6920"/>
    <cellStyle name="40% - Accent4 8 3 2 3 2" xfId="14892"/>
    <cellStyle name="40% - Accent4 8 3 2 3 3" xfId="22839"/>
    <cellStyle name="40% - Accent4 8 3 2 4" xfId="11356"/>
    <cellStyle name="40% - Accent4 8 3 2 5" xfId="19311"/>
    <cellStyle name="40% - Accent4 8 3 2_Exh G" xfId="3167"/>
    <cellStyle name="40% - Accent4 8 3 3" xfId="4209"/>
    <cellStyle name="40% - Accent4 8 3 3 2" xfId="7801"/>
    <cellStyle name="40% - Accent4 8 3 3 2 2" xfId="15772"/>
    <cellStyle name="40% - Accent4 8 3 3 2 3" xfId="23718"/>
    <cellStyle name="40% - Accent4 8 3 3 3" xfId="12234"/>
    <cellStyle name="40% - Accent4 8 3 3 4" xfId="20189"/>
    <cellStyle name="40% - Accent4 8 3 4" xfId="6029"/>
    <cellStyle name="40% - Accent4 8 3 4 2" xfId="14013"/>
    <cellStyle name="40% - Accent4 8 3 4 3" xfId="21961"/>
    <cellStyle name="40% - Accent4 8 3 5" xfId="9582"/>
    <cellStyle name="40% - Accent4 8 3 5 2" xfId="17540"/>
    <cellStyle name="40% - Accent4 8 3 5 3" xfId="25484"/>
    <cellStyle name="40% - Accent4 8 3 6" xfId="10478"/>
    <cellStyle name="40% - Accent4 8 3 7" xfId="18433"/>
    <cellStyle name="40% - Accent4 8 3_Exh G" xfId="3166"/>
    <cellStyle name="40% - Accent4 8 4" xfId="980"/>
    <cellStyle name="40% - Accent4 8 4 2" xfId="1897"/>
    <cellStyle name="40% - Accent4 8 4 2 2" xfId="5415"/>
    <cellStyle name="40% - Accent4 8 4 2 2 2" xfId="9006"/>
    <cellStyle name="40% - Accent4 8 4 2 2 2 2" xfId="16977"/>
    <cellStyle name="40% - Accent4 8 4 2 2 2 3" xfId="24923"/>
    <cellStyle name="40% - Accent4 8 4 2 2 3" xfId="13439"/>
    <cellStyle name="40% - Accent4 8 4 2 2 4" xfId="21394"/>
    <cellStyle name="40% - Accent4 8 4 2 3" xfId="7247"/>
    <cellStyle name="40% - Accent4 8 4 2 3 2" xfId="15219"/>
    <cellStyle name="40% - Accent4 8 4 2 3 3" xfId="23166"/>
    <cellStyle name="40% - Accent4 8 4 2 4" xfId="11683"/>
    <cellStyle name="40% - Accent4 8 4 2 5" xfId="19638"/>
    <cellStyle name="40% - Accent4 8 4 2_Exh G" xfId="3169"/>
    <cellStyle name="40% - Accent4 8 4 3" xfId="4536"/>
    <cellStyle name="40% - Accent4 8 4 3 2" xfId="8128"/>
    <cellStyle name="40% - Accent4 8 4 3 2 2" xfId="16099"/>
    <cellStyle name="40% - Accent4 8 4 3 2 3" xfId="24045"/>
    <cellStyle name="40% - Accent4 8 4 3 3" xfId="12561"/>
    <cellStyle name="40% - Accent4 8 4 3 4" xfId="20516"/>
    <cellStyle name="40% - Accent4 8 4 4" xfId="6366"/>
    <cellStyle name="40% - Accent4 8 4 4 2" xfId="14341"/>
    <cellStyle name="40% - Accent4 8 4 4 3" xfId="22288"/>
    <cellStyle name="40% - Accent4 8 4 5" xfId="9909"/>
    <cellStyle name="40% - Accent4 8 4 5 2" xfId="17867"/>
    <cellStyle name="40% - Accent4 8 4 5 3" xfId="25811"/>
    <cellStyle name="40% - Accent4 8 4 6" xfId="10805"/>
    <cellStyle name="40% - Accent4 8 4 7" xfId="18760"/>
    <cellStyle name="40% - Accent4 8 4_Exh G" xfId="3168"/>
    <cellStyle name="40% - Accent4 8 5" xfId="1555"/>
    <cellStyle name="40% - Accent4 8 5 2" xfId="5085"/>
    <cellStyle name="40% - Accent4 8 5 2 2" xfId="8676"/>
    <cellStyle name="40% - Accent4 8 5 2 2 2" xfId="16647"/>
    <cellStyle name="40% - Accent4 8 5 2 2 3" xfId="24593"/>
    <cellStyle name="40% - Accent4 8 5 2 3" xfId="13109"/>
    <cellStyle name="40% - Accent4 8 5 2 4" xfId="21064"/>
    <cellStyle name="40% - Accent4 8 5 3" xfId="6917"/>
    <cellStyle name="40% - Accent4 8 5 3 2" xfId="14889"/>
    <cellStyle name="40% - Accent4 8 5 3 3" xfId="22836"/>
    <cellStyle name="40% - Accent4 8 5 4" xfId="11353"/>
    <cellStyle name="40% - Accent4 8 5 5" xfId="19308"/>
    <cellStyle name="40% - Accent4 8 5_Exh G" xfId="3170"/>
    <cellStyle name="40% - Accent4 8 6" xfId="4206"/>
    <cellStyle name="40% - Accent4 8 6 2" xfId="7798"/>
    <cellStyle name="40% - Accent4 8 6 2 2" xfId="15769"/>
    <cellStyle name="40% - Accent4 8 6 2 3" xfId="23715"/>
    <cellStyle name="40% - Accent4 8 6 3" xfId="12231"/>
    <cellStyle name="40% - Accent4 8 6 4" xfId="20186"/>
    <cellStyle name="40% - Accent4 8 7" xfId="6026"/>
    <cellStyle name="40% - Accent4 8 7 2" xfId="14010"/>
    <cellStyle name="40% - Accent4 8 7 3" xfId="21958"/>
    <cellStyle name="40% - Accent4 8 8" xfId="9579"/>
    <cellStyle name="40% - Accent4 8 8 2" xfId="17537"/>
    <cellStyle name="40% - Accent4 8 8 3" xfId="25481"/>
    <cellStyle name="40% - Accent4 8 9" xfId="10475"/>
    <cellStyle name="40% - Accent4 8_Exh G" xfId="3161"/>
    <cellStyle name="40% - Accent4 9" xfId="531"/>
    <cellStyle name="40% - Accent4 9 10" xfId="18434"/>
    <cellStyle name="40% - Accent4 9 2" xfId="532"/>
    <cellStyle name="40% - Accent4 9 2 2" xfId="533"/>
    <cellStyle name="40% - Accent4 9 2 2 2" xfId="1561"/>
    <cellStyle name="40% - Accent4 9 2 2 2 2" xfId="5091"/>
    <cellStyle name="40% - Accent4 9 2 2 2 2 2" xfId="8682"/>
    <cellStyle name="40% - Accent4 9 2 2 2 2 2 2" xfId="16653"/>
    <cellStyle name="40% - Accent4 9 2 2 2 2 2 3" xfId="24599"/>
    <cellStyle name="40% - Accent4 9 2 2 2 2 3" xfId="13115"/>
    <cellStyle name="40% - Accent4 9 2 2 2 2 4" xfId="21070"/>
    <cellStyle name="40% - Accent4 9 2 2 2 3" xfId="6923"/>
    <cellStyle name="40% - Accent4 9 2 2 2 3 2" xfId="14895"/>
    <cellStyle name="40% - Accent4 9 2 2 2 3 3" xfId="22842"/>
    <cellStyle name="40% - Accent4 9 2 2 2 4" xfId="11359"/>
    <cellStyle name="40% - Accent4 9 2 2 2 5" xfId="19314"/>
    <cellStyle name="40% - Accent4 9 2 2 2_Exh G" xfId="3174"/>
    <cellStyle name="40% - Accent4 9 2 2 3" xfId="4212"/>
    <cellStyle name="40% - Accent4 9 2 2 3 2" xfId="7804"/>
    <cellStyle name="40% - Accent4 9 2 2 3 2 2" xfId="15775"/>
    <cellStyle name="40% - Accent4 9 2 2 3 2 3" xfId="23721"/>
    <cellStyle name="40% - Accent4 9 2 2 3 3" xfId="12237"/>
    <cellStyle name="40% - Accent4 9 2 2 3 4" xfId="20192"/>
    <cellStyle name="40% - Accent4 9 2 2 4" xfId="6032"/>
    <cellStyle name="40% - Accent4 9 2 2 4 2" xfId="14016"/>
    <cellStyle name="40% - Accent4 9 2 2 4 3" xfId="21964"/>
    <cellStyle name="40% - Accent4 9 2 2 5" xfId="9585"/>
    <cellStyle name="40% - Accent4 9 2 2 5 2" xfId="17543"/>
    <cellStyle name="40% - Accent4 9 2 2 5 3" xfId="25487"/>
    <cellStyle name="40% - Accent4 9 2 2 6" xfId="10481"/>
    <cellStyle name="40% - Accent4 9 2 2 7" xfId="18436"/>
    <cellStyle name="40% - Accent4 9 2 2_Exh G" xfId="3173"/>
    <cellStyle name="40% - Accent4 9 2 3" xfId="1560"/>
    <cellStyle name="40% - Accent4 9 2 3 2" xfId="5090"/>
    <cellStyle name="40% - Accent4 9 2 3 2 2" xfId="8681"/>
    <cellStyle name="40% - Accent4 9 2 3 2 2 2" xfId="16652"/>
    <cellStyle name="40% - Accent4 9 2 3 2 2 3" xfId="24598"/>
    <cellStyle name="40% - Accent4 9 2 3 2 3" xfId="13114"/>
    <cellStyle name="40% - Accent4 9 2 3 2 4" xfId="21069"/>
    <cellStyle name="40% - Accent4 9 2 3 3" xfId="6922"/>
    <cellStyle name="40% - Accent4 9 2 3 3 2" xfId="14894"/>
    <cellStyle name="40% - Accent4 9 2 3 3 3" xfId="22841"/>
    <cellStyle name="40% - Accent4 9 2 3 4" xfId="11358"/>
    <cellStyle name="40% - Accent4 9 2 3 5" xfId="19313"/>
    <cellStyle name="40% - Accent4 9 2 3_Exh G" xfId="3175"/>
    <cellStyle name="40% - Accent4 9 2 4" xfId="4211"/>
    <cellStyle name="40% - Accent4 9 2 4 2" xfId="7803"/>
    <cellStyle name="40% - Accent4 9 2 4 2 2" xfId="15774"/>
    <cellStyle name="40% - Accent4 9 2 4 2 3" xfId="23720"/>
    <cellStyle name="40% - Accent4 9 2 4 3" xfId="12236"/>
    <cellStyle name="40% - Accent4 9 2 4 4" xfId="20191"/>
    <cellStyle name="40% - Accent4 9 2 5" xfId="6031"/>
    <cellStyle name="40% - Accent4 9 2 5 2" xfId="14015"/>
    <cellStyle name="40% - Accent4 9 2 5 3" xfId="21963"/>
    <cellStyle name="40% - Accent4 9 2 6" xfId="9584"/>
    <cellStyle name="40% - Accent4 9 2 6 2" xfId="17542"/>
    <cellStyle name="40% - Accent4 9 2 6 3" xfId="25486"/>
    <cellStyle name="40% - Accent4 9 2 7" xfId="10480"/>
    <cellStyle name="40% - Accent4 9 2 8" xfId="18435"/>
    <cellStyle name="40% - Accent4 9 2_Exh G" xfId="3172"/>
    <cellStyle name="40% - Accent4 9 3" xfId="534"/>
    <cellStyle name="40% - Accent4 9 3 2" xfId="1562"/>
    <cellStyle name="40% - Accent4 9 3 2 2" xfId="5092"/>
    <cellStyle name="40% - Accent4 9 3 2 2 2" xfId="8683"/>
    <cellStyle name="40% - Accent4 9 3 2 2 2 2" xfId="16654"/>
    <cellStyle name="40% - Accent4 9 3 2 2 2 3" xfId="24600"/>
    <cellStyle name="40% - Accent4 9 3 2 2 3" xfId="13116"/>
    <cellStyle name="40% - Accent4 9 3 2 2 4" xfId="21071"/>
    <cellStyle name="40% - Accent4 9 3 2 3" xfId="6924"/>
    <cellStyle name="40% - Accent4 9 3 2 3 2" xfId="14896"/>
    <cellStyle name="40% - Accent4 9 3 2 3 3" xfId="22843"/>
    <cellStyle name="40% - Accent4 9 3 2 4" xfId="11360"/>
    <cellStyle name="40% - Accent4 9 3 2 5" xfId="19315"/>
    <cellStyle name="40% - Accent4 9 3 2_Exh G" xfId="3177"/>
    <cellStyle name="40% - Accent4 9 3 3" xfId="4213"/>
    <cellStyle name="40% - Accent4 9 3 3 2" xfId="7805"/>
    <cellStyle name="40% - Accent4 9 3 3 2 2" xfId="15776"/>
    <cellStyle name="40% - Accent4 9 3 3 2 3" xfId="23722"/>
    <cellStyle name="40% - Accent4 9 3 3 3" xfId="12238"/>
    <cellStyle name="40% - Accent4 9 3 3 4" xfId="20193"/>
    <cellStyle name="40% - Accent4 9 3 4" xfId="6033"/>
    <cellStyle name="40% - Accent4 9 3 4 2" xfId="14017"/>
    <cellStyle name="40% - Accent4 9 3 4 3" xfId="21965"/>
    <cellStyle name="40% - Accent4 9 3 5" xfId="9586"/>
    <cellStyle name="40% - Accent4 9 3 5 2" xfId="17544"/>
    <cellStyle name="40% - Accent4 9 3 5 3" xfId="25488"/>
    <cellStyle name="40% - Accent4 9 3 6" xfId="10482"/>
    <cellStyle name="40% - Accent4 9 3 7" xfId="18437"/>
    <cellStyle name="40% - Accent4 9 3_Exh G" xfId="3176"/>
    <cellStyle name="40% - Accent4 9 4" xfId="981"/>
    <cellStyle name="40% - Accent4 9 4 2" xfId="1898"/>
    <cellStyle name="40% - Accent4 9 4 2 2" xfId="5416"/>
    <cellStyle name="40% - Accent4 9 4 2 2 2" xfId="9007"/>
    <cellStyle name="40% - Accent4 9 4 2 2 2 2" xfId="16978"/>
    <cellStyle name="40% - Accent4 9 4 2 2 2 3" xfId="24924"/>
    <cellStyle name="40% - Accent4 9 4 2 2 3" xfId="13440"/>
    <cellStyle name="40% - Accent4 9 4 2 2 4" xfId="21395"/>
    <cellStyle name="40% - Accent4 9 4 2 3" xfId="7248"/>
    <cellStyle name="40% - Accent4 9 4 2 3 2" xfId="15220"/>
    <cellStyle name="40% - Accent4 9 4 2 3 3" xfId="23167"/>
    <cellStyle name="40% - Accent4 9 4 2 4" xfId="11684"/>
    <cellStyle name="40% - Accent4 9 4 2 5" xfId="19639"/>
    <cellStyle name="40% - Accent4 9 4 2_Exh G" xfId="3179"/>
    <cellStyle name="40% - Accent4 9 4 3" xfId="4537"/>
    <cellStyle name="40% - Accent4 9 4 3 2" xfId="8129"/>
    <cellStyle name="40% - Accent4 9 4 3 2 2" xfId="16100"/>
    <cellStyle name="40% - Accent4 9 4 3 2 3" xfId="24046"/>
    <cellStyle name="40% - Accent4 9 4 3 3" xfId="12562"/>
    <cellStyle name="40% - Accent4 9 4 3 4" xfId="20517"/>
    <cellStyle name="40% - Accent4 9 4 4" xfId="6367"/>
    <cellStyle name="40% - Accent4 9 4 4 2" xfId="14342"/>
    <cellStyle name="40% - Accent4 9 4 4 3" xfId="22289"/>
    <cellStyle name="40% - Accent4 9 4 5" xfId="9910"/>
    <cellStyle name="40% - Accent4 9 4 5 2" xfId="17868"/>
    <cellStyle name="40% - Accent4 9 4 5 3" xfId="25812"/>
    <cellStyle name="40% - Accent4 9 4 6" xfId="10806"/>
    <cellStyle name="40% - Accent4 9 4 7" xfId="18761"/>
    <cellStyle name="40% - Accent4 9 4_Exh G" xfId="3178"/>
    <cellStyle name="40% - Accent4 9 5" xfId="1559"/>
    <cellStyle name="40% - Accent4 9 5 2" xfId="5089"/>
    <cellStyle name="40% - Accent4 9 5 2 2" xfId="8680"/>
    <cellStyle name="40% - Accent4 9 5 2 2 2" xfId="16651"/>
    <cellStyle name="40% - Accent4 9 5 2 2 3" xfId="24597"/>
    <cellStyle name="40% - Accent4 9 5 2 3" xfId="13113"/>
    <cellStyle name="40% - Accent4 9 5 2 4" xfId="21068"/>
    <cellStyle name="40% - Accent4 9 5 3" xfId="6921"/>
    <cellStyle name="40% - Accent4 9 5 3 2" xfId="14893"/>
    <cellStyle name="40% - Accent4 9 5 3 3" xfId="22840"/>
    <cellStyle name="40% - Accent4 9 5 4" xfId="11357"/>
    <cellStyle name="40% - Accent4 9 5 5" xfId="19312"/>
    <cellStyle name="40% - Accent4 9 5_Exh G" xfId="3180"/>
    <cellStyle name="40% - Accent4 9 6" xfId="4210"/>
    <cellStyle name="40% - Accent4 9 6 2" xfId="7802"/>
    <cellStyle name="40% - Accent4 9 6 2 2" xfId="15773"/>
    <cellStyle name="40% - Accent4 9 6 2 3" xfId="23719"/>
    <cellStyle name="40% - Accent4 9 6 3" xfId="12235"/>
    <cellStyle name="40% - Accent4 9 6 4" xfId="20190"/>
    <cellStyle name="40% - Accent4 9 7" xfId="6030"/>
    <cellStyle name="40% - Accent4 9 7 2" xfId="14014"/>
    <cellStyle name="40% - Accent4 9 7 3" xfId="21962"/>
    <cellStyle name="40% - Accent4 9 8" xfId="9583"/>
    <cellStyle name="40% - Accent4 9 8 2" xfId="17541"/>
    <cellStyle name="40% - Accent4 9 8 3" xfId="25485"/>
    <cellStyle name="40% - Accent4 9 9" xfId="10479"/>
    <cellStyle name="40% - Accent4 9_Exh G" xfId="3171"/>
    <cellStyle name="40% - Accent5 10" xfId="535"/>
    <cellStyle name="40% - Accent5 10 10" xfId="18438"/>
    <cellStyle name="40% - Accent5 10 2" xfId="536"/>
    <cellStyle name="40% - Accent5 10 2 2" xfId="537"/>
    <cellStyle name="40% - Accent5 10 2 2 2" xfId="1565"/>
    <cellStyle name="40% - Accent5 10 2 2 2 2" xfId="5095"/>
    <cellStyle name="40% - Accent5 10 2 2 2 2 2" xfId="8686"/>
    <cellStyle name="40% - Accent5 10 2 2 2 2 2 2" xfId="16657"/>
    <cellStyle name="40% - Accent5 10 2 2 2 2 2 3" xfId="24603"/>
    <cellStyle name="40% - Accent5 10 2 2 2 2 3" xfId="13119"/>
    <cellStyle name="40% - Accent5 10 2 2 2 2 4" xfId="21074"/>
    <cellStyle name="40% - Accent5 10 2 2 2 3" xfId="6927"/>
    <cellStyle name="40% - Accent5 10 2 2 2 3 2" xfId="14899"/>
    <cellStyle name="40% - Accent5 10 2 2 2 3 3" xfId="22846"/>
    <cellStyle name="40% - Accent5 10 2 2 2 4" xfId="11363"/>
    <cellStyle name="40% - Accent5 10 2 2 2 5" xfId="19318"/>
    <cellStyle name="40% - Accent5 10 2 2 2_Exh G" xfId="3184"/>
    <cellStyle name="40% - Accent5 10 2 2 3" xfId="4216"/>
    <cellStyle name="40% - Accent5 10 2 2 3 2" xfId="7808"/>
    <cellStyle name="40% - Accent5 10 2 2 3 2 2" xfId="15779"/>
    <cellStyle name="40% - Accent5 10 2 2 3 2 3" xfId="23725"/>
    <cellStyle name="40% - Accent5 10 2 2 3 3" xfId="12241"/>
    <cellStyle name="40% - Accent5 10 2 2 3 4" xfId="20196"/>
    <cellStyle name="40% - Accent5 10 2 2 4" xfId="6036"/>
    <cellStyle name="40% - Accent5 10 2 2 4 2" xfId="14020"/>
    <cellStyle name="40% - Accent5 10 2 2 4 3" xfId="21968"/>
    <cellStyle name="40% - Accent5 10 2 2 5" xfId="9589"/>
    <cellStyle name="40% - Accent5 10 2 2 5 2" xfId="17547"/>
    <cellStyle name="40% - Accent5 10 2 2 5 3" xfId="25491"/>
    <cellStyle name="40% - Accent5 10 2 2 6" xfId="10485"/>
    <cellStyle name="40% - Accent5 10 2 2 7" xfId="18440"/>
    <cellStyle name="40% - Accent5 10 2 2_Exh G" xfId="3183"/>
    <cellStyle name="40% - Accent5 10 2 3" xfId="1564"/>
    <cellStyle name="40% - Accent5 10 2 3 2" xfId="5094"/>
    <cellStyle name="40% - Accent5 10 2 3 2 2" xfId="8685"/>
    <cellStyle name="40% - Accent5 10 2 3 2 2 2" xfId="16656"/>
    <cellStyle name="40% - Accent5 10 2 3 2 2 3" xfId="24602"/>
    <cellStyle name="40% - Accent5 10 2 3 2 3" xfId="13118"/>
    <cellStyle name="40% - Accent5 10 2 3 2 4" xfId="21073"/>
    <cellStyle name="40% - Accent5 10 2 3 3" xfId="6926"/>
    <cellStyle name="40% - Accent5 10 2 3 3 2" xfId="14898"/>
    <cellStyle name="40% - Accent5 10 2 3 3 3" xfId="22845"/>
    <cellStyle name="40% - Accent5 10 2 3 4" xfId="11362"/>
    <cellStyle name="40% - Accent5 10 2 3 5" xfId="19317"/>
    <cellStyle name="40% - Accent5 10 2 3_Exh G" xfId="3185"/>
    <cellStyle name="40% - Accent5 10 2 4" xfId="4215"/>
    <cellStyle name="40% - Accent5 10 2 4 2" xfId="7807"/>
    <cellStyle name="40% - Accent5 10 2 4 2 2" xfId="15778"/>
    <cellStyle name="40% - Accent5 10 2 4 2 3" xfId="23724"/>
    <cellStyle name="40% - Accent5 10 2 4 3" xfId="12240"/>
    <cellStyle name="40% - Accent5 10 2 4 4" xfId="20195"/>
    <cellStyle name="40% - Accent5 10 2 5" xfId="6035"/>
    <cellStyle name="40% - Accent5 10 2 5 2" xfId="14019"/>
    <cellStyle name="40% - Accent5 10 2 5 3" xfId="21967"/>
    <cellStyle name="40% - Accent5 10 2 6" xfId="9588"/>
    <cellStyle name="40% - Accent5 10 2 6 2" xfId="17546"/>
    <cellStyle name="40% - Accent5 10 2 6 3" xfId="25490"/>
    <cellStyle name="40% - Accent5 10 2 7" xfId="10484"/>
    <cellStyle name="40% - Accent5 10 2 8" xfId="18439"/>
    <cellStyle name="40% - Accent5 10 2_Exh G" xfId="3182"/>
    <cellStyle name="40% - Accent5 10 3" xfId="538"/>
    <cellStyle name="40% - Accent5 10 3 2" xfId="1566"/>
    <cellStyle name="40% - Accent5 10 3 2 2" xfId="5096"/>
    <cellStyle name="40% - Accent5 10 3 2 2 2" xfId="8687"/>
    <cellStyle name="40% - Accent5 10 3 2 2 2 2" xfId="16658"/>
    <cellStyle name="40% - Accent5 10 3 2 2 2 3" xfId="24604"/>
    <cellStyle name="40% - Accent5 10 3 2 2 3" xfId="13120"/>
    <cellStyle name="40% - Accent5 10 3 2 2 4" xfId="21075"/>
    <cellStyle name="40% - Accent5 10 3 2 3" xfId="6928"/>
    <cellStyle name="40% - Accent5 10 3 2 3 2" xfId="14900"/>
    <cellStyle name="40% - Accent5 10 3 2 3 3" xfId="22847"/>
    <cellStyle name="40% - Accent5 10 3 2 4" xfId="11364"/>
    <cellStyle name="40% - Accent5 10 3 2 5" xfId="19319"/>
    <cellStyle name="40% - Accent5 10 3 2_Exh G" xfId="3187"/>
    <cellStyle name="40% - Accent5 10 3 3" xfId="4217"/>
    <cellStyle name="40% - Accent5 10 3 3 2" xfId="7809"/>
    <cellStyle name="40% - Accent5 10 3 3 2 2" xfId="15780"/>
    <cellStyle name="40% - Accent5 10 3 3 2 3" xfId="23726"/>
    <cellStyle name="40% - Accent5 10 3 3 3" xfId="12242"/>
    <cellStyle name="40% - Accent5 10 3 3 4" xfId="20197"/>
    <cellStyle name="40% - Accent5 10 3 4" xfId="6037"/>
    <cellStyle name="40% - Accent5 10 3 4 2" xfId="14021"/>
    <cellStyle name="40% - Accent5 10 3 4 3" xfId="21969"/>
    <cellStyle name="40% - Accent5 10 3 5" xfId="9590"/>
    <cellStyle name="40% - Accent5 10 3 5 2" xfId="17548"/>
    <cellStyle name="40% - Accent5 10 3 5 3" xfId="25492"/>
    <cellStyle name="40% - Accent5 10 3 6" xfId="10486"/>
    <cellStyle name="40% - Accent5 10 3 7" xfId="18441"/>
    <cellStyle name="40% - Accent5 10 3_Exh G" xfId="3186"/>
    <cellStyle name="40% - Accent5 10 4" xfId="982"/>
    <cellStyle name="40% - Accent5 10 5" xfId="1563"/>
    <cellStyle name="40% - Accent5 10 5 2" xfId="5093"/>
    <cellStyle name="40% - Accent5 10 5 2 2" xfId="8684"/>
    <cellStyle name="40% - Accent5 10 5 2 2 2" xfId="16655"/>
    <cellStyle name="40% - Accent5 10 5 2 2 3" xfId="24601"/>
    <cellStyle name="40% - Accent5 10 5 2 3" xfId="13117"/>
    <cellStyle name="40% - Accent5 10 5 2 4" xfId="21072"/>
    <cellStyle name="40% - Accent5 10 5 3" xfId="6925"/>
    <cellStyle name="40% - Accent5 10 5 3 2" xfId="14897"/>
    <cellStyle name="40% - Accent5 10 5 3 3" xfId="22844"/>
    <cellStyle name="40% - Accent5 10 5 4" xfId="11361"/>
    <cellStyle name="40% - Accent5 10 5 5" xfId="19316"/>
    <cellStyle name="40% - Accent5 10 5_Exh G" xfId="3188"/>
    <cellStyle name="40% - Accent5 10 6" xfId="4214"/>
    <cellStyle name="40% - Accent5 10 6 2" xfId="7806"/>
    <cellStyle name="40% - Accent5 10 6 2 2" xfId="15777"/>
    <cellStyle name="40% - Accent5 10 6 2 3" xfId="23723"/>
    <cellStyle name="40% - Accent5 10 6 3" xfId="12239"/>
    <cellStyle name="40% - Accent5 10 6 4" xfId="20194"/>
    <cellStyle name="40% - Accent5 10 7" xfId="6034"/>
    <cellStyle name="40% - Accent5 10 7 2" xfId="14018"/>
    <cellStyle name="40% - Accent5 10 7 3" xfId="21966"/>
    <cellStyle name="40% - Accent5 10 8" xfId="9587"/>
    <cellStyle name="40% - Accent5 10 8 2" xfId="17545"/>
    <cellStyle name="40% - Accent5 10 8 3" xfId="25489"/>
    <cellStyle name="40% - Accent5 10 9" xfId="10483"/>
    <cellStyle name="40% - Accent5 10_Exh G" xfId="3181"/>
    <cellStyle name="40% - Accent5 11" xfId="539"/>
    <cellStyle name="40% - Accent5 11 2" xfId="540"/>
    <cellStyle name="40% - Accent5 11 2 2" xfId="541"/>
    <cellStyle name="40% - Accent5 11 2 2 2" xfId="1569"/>
    <cellStyle name="40% - Accent5 11 2 2 2 2" xfId="5099"/>
    <cellStyle name="40% - Accent5 11 2 2 2 2 2" xfId="8690"/>
    <cellStyle name="40% - Accent5 11 2 2 2 2 2 2" xfId="16661"/>
    <cellStyle name="40% - Accent5 11 2 2 2 2 2 3" xfId="24607"/>
    <cellStyle name="40% - Accent5 11 2 2 2 2 3" xfId="13123"/>
    <cellStyle name="40% - Accent5 11 2 2 2 2 4" xfId="21078"/>
    <cellStyle name="40% - Accent5 11 2 2 2 3" xfId="6931"/>
    <cellStyle name="40% - Accent5 11 2 2 2 3 2" xfId="14903"/>
    <cellStyle name="40% - Accent5 11 2 2 2 3 3" xfId="22850"/>
    <cellStyle name="40% - Accent5 11 2 2 2 4" xfId="11367"/>
    <cellStyle name="40% - Accent5 11 2 2 2 5" xfId="19322"/>
    <cellStyle name="40% - Accent5 11 2 2 2_Exh G" xfId="3192"/>
    <cellStyle name="40% - Accent5 11 2 2 3" xfId="4220"/>
    <cellStyle name="40% - Accent5 11 2 2 3 2" xfId="7812"/>
    <cellStyle name="40% - Accent5 11 2 2 3 2 2" xfId="15783"/>
    <cellStyle name="40% - Accent5 11 2 2 3 2 3" xfId="23729"/>
    <cellStyle name="40% - Accent5 11 2 2 3 3" xfId="12245"/>
    <cellStyle name="40% - Accent5 11 2 2 3 4" xfId="20200"/>
    <cellStyle name="40% - Accent5 11 2 2 4" xfId="6040"/>
    <cellStyle name="40% - Accent5 11 2 2 4 2" xfId="14024"/>
    <cellStyle name="40% - Accent5 11 2 2 4 3" xfId="21972"/>
    <cellStyle name="40% - Accent5 11 2 2 5" xfId="9593"/>
    <cellStyle name="40% - Accent5 11 2 2 5 2" xfId="17551"/>
    <cellStyle name="40% - Accent5 11 2 2 5 3" xfId="25495"/>
    <cellStyle name="40% - Accent5 11 2 2 6" xfId="10489"/>
    <cellStyle name="40% - Accent5 11 2 2 7" xfId="18444"/>
    <cellStyle name="40% - Accent5 11 2 2_Exh G" xfId="3191"/>
    <cellStyle name="40% - Accent5 11 2 3" xfId="1568"/>
    <cellStyle name="40% - Accent5 11 2 3 2" xfId="5098"/>
    <cellStyle name="40% - Accent5 11 2 3 2 2" xfId="8689"/>
    <cellStyle name="40% - Accent5 11 2 3 2 2 2" xfId="16660"/>
    <cellStyle name="40% - Accent5 11 2 3 2 2 3" xfId="24606"/>
    <cellStyle name="40% - Accent5 11 2 3 2 3" xfId="13122"/>
    <cellStyle name="40% - Accent5 11 2 3 2 4" xfId="21077"/>
    <cellStyle name="40% - Accent5 11 2 3 3" xfId="6930"/>
    <cellStyle name="40% - Accent5 11 2 3 3 2" xfId="14902"/>
    <cellStyle name="40% - Accent5 11 2 3 3 3" xfId="22849"/>
    <cellStyle name="40% - Accent5 11 2 3 4" xfId="11366"/>
    <cellStyle name="40% - Accent5 11 2 3 5" xfId="19321"/>
    <cellStyle name="40% - Accent5 11 2 3_Exh G" xfId="3193"/>
    <cellStyle name="40% - Accent5 11 2 4" xfId="4219"/>
    <cellStyle name="40% - Accent5 11 2 4 2" xfId="7811"/>
    <cellStyle name="40% - Accent5 11 2 4 2 2" xfId="15782"/>
    <cellStyle name="40% - Accent5 11 2 4 2 3" xfId="23728"/>
    <cellStyle name="40% - Accent5 11 2 4 3" xfId="12244"/>
    <cellStyle name="40% - Accent5 11 2 4 4" xfId="20199"/>
    <cellStyle name="40% - Accent5 11 2 5" xfId="6039"/>
    <cellStyle name="40% - Accent5 11 2 5 2" xfId="14023"/>
    <cellStyle name="40% - Accent5 11 2 5 3" xfId="21971"/>
    <cellStyle name="40% - Accent5 11 2 6" xfId="9592"/>
    <cellStyle name="40% - Accent5 11 2 6 2" xfId="17550"/>
    <cellStyle name="40% - Accent5 11 2 6 3" xfId="25494"/>
    <cellStyle name="40% - Accent5 11 2 7" xfId="10488"/>
    <cellStyle name="40% - Accent5 11 2 8" xfId="18443"/>
    <cellStyle name="40% - Accent5 11 2_Exh G" xfId="3190"/>
    <cellStyle name="40% - Accent5 11 3" xfId="542"/>
    <cellStyle name="40% - Accent5 11 3 2" xfId="1570"/>
    <cellStyle name="40% - Accent5 11 3 2 2" xfId="5100"/>
    <cellStyle name="40% - Accent5 11 3 2 2 2" xfId="8691"/>
    <cellStyle name="40% - Accent5 11 3 2 2 2 2" xfId="16662"/>
    <cellStyle name="40% - Accent5 11 3 2 2 2 3" xfId="24608"/>
    <cellStyle name="40% - Accent5 11 3 2 2 3" xfId="13124"/>
    <cellStyle name="40% - Accent5 11 3 2 2 4" xfId="21079"/>
    <cellStyle name="40% - Accent5 11 3 2 3" xfId="6932"/>
    <cellStyle name="40% - Accent5 11 3 2 3 2" xfId="14904"/>
    <cellStyle name="40% - Accent5 11 3 2 3 3" xfId="22851"/>
    <cellStyle name="40% - Accent5 11 3 2 4" xfId="11368"/>
    <cellStyle name="40% - Accent5 11 3 2 5" xfId="19323"/>
    <cellStyle name="40% - Accent5 11 3 2_Exh G" xfId="3195"/>
    <cellStyle name="40% - Accent5 11 3 3" xfId="4221"/>
    <cellStyle name="40% - Accent5 11 3 3 2" xfId="7813"/>
    <cellStyle name="40% - Accent5 11 3 3 2 2" xfId="15784"/>
    <cellStyle name="40% - Accent5 11 3 3 2 3" xfId="23730"/>
    <cellStyle name="40% - Accent5 11 3 3 3" xfId="12246"/>
    <cellStyle name="40% - Accent5 11 3 3 4" xfId="20201"/>
    <cellStyle name="40% - Accent5 11 3 4" xfId="6041"/>
    <cellStyle name="40% - Accent5 11 3 4 2" xfId="14025"/>
    <cellStyle name="40% - Accent5 11 3 4 3" xfId="21973"/>
    <cellStyle name="40% - Accent5 11 3 5" xfId="9594"/>
    <cellStyle name="40% - Accent5 11 3 5 2" xfId="17552"/>
    <cellStyle name="40% - Accent5 11 3 5 3" xfId="25496"/>
    <cellStyle name="40% - Accent5 11 3 6" xfId="10490"/>
    <cellStyle name="40% - Accent5 11 3 7" xfId="18445"/>
    <cellStyle name="40% - Accent5 11 3_Exh G" xfId="3194"/>
    <cellStyle name="40% - Accent5 11 4" xfId="1567"/>
    <cellStyle name="40% - Accent5 11 4 2" xfId="5097"/>
    <cellStyle name="40% - Accent5 11 4 2 2" xfId="8688"/>
    <cellStyle name="40% - Accent5 11 4 2 2 2" xfId="16659"/>
    <cellStyle name="40% - Accent5 11 4 2 2 3" xfId="24605"/>
    <cellStyle name="40% - Accent5 11 4 2 3" xfId="13121"/>
    <cellStyle name="40% - Accent5 11 4 2 4" xfId="21076"/>
    <cellStyle name="40% - Accent5 11 4 3" xfId="6929"/>
    <cellStyle name="40% - Accent5 11 4 3 2" xfId="14901"/>
    <cellStyle name="40% - Accent5 11 4 3 3" xfId="22848"/>
    <cellStyle name="40% - Accent5 11 4 4" xfId="11365"/>
    <cellStyle name="40% - Accent5 11 4 5" xfId="19320"/>
    <cellStyle name="40% - Accent5 11 4_Exh G" xfId="3196"/>
    <cellStyle name="40% - Accent5 11 5" xfId="4218"/>
    <cellStyle name="40% - Accent5 11 5 2" xfId="7810"/>
    <cellStyle name="40% - Accent5 11 5 2 2" xfId="15781"/>
    <cellStyle name="40% - Accent5 11 5 2 3" xfId="23727"/>
    <cellStyle name="40% - Accent5 11 5 3" xfId="12243"/>
    <cellStyle name="40% - Accent5 11 5 4" xfId="20198"/>
    <cellStyle name="40% - Accent5 11 6" xfId="6038"/>
    <cellStyle name="40% - Accent5 11 6 2" xfId="14022"/>
    <cellStyle name="40% - Accent5 11 6 3" xfId="21970"/>
    <cellStyle name="40% - Accent5 11 7" xfId="9591"/>
    <cellStyle name="40% - Accent5 11 7 2" xfId="17549"/>
    <cellStyle name="40% - Accent5 11 7 3" xfId="25493"/>
    <cellStyle name="40% - Accent5 11 8" xfId="10487"/>
    <cellStyle name="40% - Accent5 11 9" xfId="18442"/>
    <cellStyle name="40% - Accent5 11_Exh G" xfId="3189"/>
    <cellStyle name="40% - Accent5 12" xfId="543"/>
    <cellStyle name="40% - Accent5 12 2" xfId="544"/>
    <cellStyle name="40% - Accent5 12 2 2" xfId="545"/>
    <cellStyle name="40% - Accent5 12 2 2 2" xfId="1573"/>
    <cellStyle name="40% - Accent5 12 2 2 2 2" xfId="5103"/>
    <cellStyle name="40% - Accent5 12 2 2 2 2 2" xfId="8694"/>
    <cellStyle name="40% - Accent5 12 2 2 2 2 2 2" xfId="16665"/>
    <cellStyle name="40% - Accent5 12 2 2 2 2 2 3" xfId="24611"/>
    <cellStyle name="40% - Accent5 12 2 2 2 2 3" xfId="13127"/>
    <cellStyle name="40% - Accent5 12 2 2 2 2 4" xfId="21082"/>
    <cellStyle name="40% - Accent5 12 2 2 2 3" xfId="6935"/>
    <cellStyle name="40% - Accent5 12 2 2 2 3 2" xfId="14907"/>
    <cellStyle name="40% - Accent5 12 2 2 2 3 3" xfId="22854"/>
    <cellStyle name="40% - Accent5 12 2 2 2 4" xfId="11371"/>
    <cellStyle name="40% - Accent5 12 2 2 2 5" xfId="19326"/>
    <cellStyle name="40% - Accent5 12 2 2 2_Exh G" xfId="3200"/>
    <cellStyle name="40% - Accent5 12 2 2 3" xfId="4224"/>
    <cellStyle name="40% - Accent5 12 2 2 3 2" xfId="7816"/>
    <cellStyle name="40% - Accent5 12 2 2 3 2 2" xfId="15787"/>
    <cellStyle name="40% - Accent5 12 2 2 3 2 3" xfId="23733"/>
    <cellStyle name="40% - Accent5 12 2 2 3 3" xfId="12249"/>
    <cellStyle name="40% - Accent5 12 2 2 3 4" xfId="20204"/>
    <cellStyle name="40% - Accent5 12 2 2 4" xfId="6044"/>
    <cellStyle name="40% - Accent5 12 2 2 4 2" xfId="14028"/>
    <cellStyle name="40% - Accent5 12 2 2 4 3" xfId="21976"/>
    <cellStyle name="40% - Accent5 12 2 2 5" xfId="9597"/>
    <cellStyle name="40% - Accent5 12 2 2 5 2" xfId="17555"/>
    <cellStyle name="40% - Accent5 12 2 2 5 3" xfId="25499"/>
    <cellStyle name="40% - Accent5 12 2 2 6" xfId="10493"/>
    <cellStyle name="40% - Accent5 12 2 2 7" xfId="18448"/>
    <cellStyle name="40% - Accent5 12 2 2_Exh G" xfId="3199"/>
    <cellStyle name="40% - Accent5 12 2 3" xfId="1572"/>
    <cellStyle name="40% - Accent5 12 2 3 2" xfId="5102"/>
    <cellStyle name="40% - Accent5 12 2 3 2 2" xfId="8693"/>
    <cellStyle name="40% - Accent5 12 2 3 2 2 2" xfId="16664"/>
    <cellStyle name="40% - Accent5 12 2 3 2 2 3" xfId="24610"/>
    <cellStyle name="40% - Accent5 12 2 3 2 3" xfId="13126"/>
    <cellStyle name="40% - Accent5 12 2 3 2 4" xfId="21081"/>
    <cellStyle name="40% - Accent5 12 2 3 3" xfId="6934"/>
    <cellStyle name="40% - Accent5 12 2 3 3 2" xfId="14906"/>
    <cellStyle name="40% - Accent5 12 2 3 3 3" xfId="22853"/>
    <cellStyle name="40% - Accent5 12 2 3 4" xfId="11370"/>
    <cellStyle name="40% - Accent5 12 2 3 5" xfId="19325"/>
    <cellStyle name="40% - Accent5 12 2 3_Exh G" xfId="3201"/>
    <cellStyle name="40% - Accent5 12 2 4" xfId="4223"/>
    <cellStyle name="40% - Accent5 12 2 4 2" xfId="7815"/>
    <cellStyle name="40% - Accent5 12 2 4 2 2" xfId="15786"/>
    <cellStyle name="40% - Accent5 12 2 4 2 3" xfId="23732"/>
    <cellStyle name="40% - Accent5 12 2 4 3" xfId="12248"/>
    <cellStyle name="40% - Accent5 12 2 4 4" xfId="20203"/>
    <cellStyle name="40% - Accent5 12 2 5" xfId="6043"/>
    <cellStyle name="40% - Accent5 12 2 5 2" xfId="14027"/>
    <cellStyle name="40% - Accent5 12 2 5 3" xfId="21975"/>
    <cellStyle name="40% - Accent5 12 2 6" xfId="9596"/>
    <cellStyle name="40% - Accent5 12 2 6 2" xfId="17554"/>
    <cellStyle name="40% - Accent5 12 2 6 3" xfId="25498"/>
    <cellStyle name="40% - Accent5 12 2 7" xfId="10492"/>
    <cellStyle name="40% - Accent5 12 2 8" xfId="18447"/>
    <cellStyle name="40% - Accent5 12 2_Exh G" xfId="3198"/>
    <cellStyle name="40% - Accent5 12 3" xfId="546"/>
    <cellStyle name="40% - Accent5 12 3 2" xfId="1574"/>
    <cellStyle name="40% - Accent5 12 3 2 2" xfId="5104"/>
    <cellStyle name="40% - Accent5 12 3 2 2 2" xfId="8695"/>
    <cellStyle name="40% - Accent5 12 3 2 2 2 2" xfId="16666"/>
    <cellStyle name="40% - Accent5 12 3 2 2 2 3" xfId="24612"/>
    <cellStyle name="40% - Accent5 12 3 2 2 3" xfId="13128"/>
    <cellStyle name="40% - Accent5 12 3 2 2 4" xfId="21083"/>
    <cellStyle name="40% - Accent5 12 3 2 3" xfId="6936"/>
    <cellStyle name="40% - Accent5 12 3 2 3 2" xfId="14908"/>
    <cellStyle name="40% - Accent5 12 3 2 3 3" xfId="22855"/>
    <cellStyle name="40% - Accent5 12 3 2 4" xfId="11372"/>
    <cellStyle name="40% - Accent5 12 3 2 5" xfId="19327"/>
    <cellStyle name="40% - Accent5 12 3 2_Exh G" xfId="3203"/>
    <cellStyle name="40% - Accent5 12 3 3" xfId="4225"/>
    <cellStyle name="40% - Accent5 12 3 3 2" xfId="7817"/>
    <cellStyle name="40% - Accent5 12 3 3 2 2" xfId="15788"/>
    <cellStyle name="40% - Accent5 12 3 3 2 3" xfId="23734"/>
    <cellStyle name="40% - Accent5 12 3 3 3" xfId="12250"/>
    <cellStyle name="40% - Accent5 12 3 3 4" xfId="20205"/>
    <cellStyle name="40% - Accent5 12 3 4" xfId="6045"/>
    <cellStyle name="40% - Accent5 12 3 4 2" xfId="14029"/>
    <cellStyle name="40% - Accent5 12 3 4 3" xfId="21977"/>
    <cellStyle name="40% - Accent5 12 3 5" xfId="9598"/>
    <cellStyle name="40% - Accent5 12 3 5 2" xfId="17556"/>
    <cellStyle name="40% - Accent5 12 3 5 3" xfId="25500"/>
    <cellStyle name="40% - Accent5 12 3 6" xfId="10494"/>
    <cellStyle name="40% - Accent5 12 3 7" xfId="18449"/>
    <cellStyle name="40% - Accent5 12 3_Exh G" xfId="3202"/>
    <cellStyle name="40% - Accent5 12 4" xfId="1571"/>
    <cellStyle name="40% - Accent5 12 4 2" xfId="5101"/>
    <cellStyle name="40% - Accent5 12 4 2 2" xfId="8692"/>
    <cellStyle name="40% - Accent5 12 4 2 2 2" xfId="16663"/>
    <cellStyle name="40% - Accent5 12 4 2 2 3" xfId="24609"/>
    <cellStyle name="40% - Accent5 12 4 2 3" xfId="13125"/>
    <cellStyle name="40% - Accent5 12 4 2 4" xfId="21080"/>
    <cellStyle name="40% - Accent5 12 4 3" xfId="6933"/>
    <cellStyle name="40% - Accent5 12 4 3 2" xfId="14905"/>
    <cellStyle name="40% - Accent5 12 4 3 3" xfId="22852"/>
    <cellStyle name="40% - Accent5 12 4 4" xfId="11369"/>
    <cellStyle name="40% - Accent5 12 4 5" xfId="19324"/>
    <cellStyle name="40% - Accent5 12 4_Exh G" xfId="3204"/>
    <cellStyle name="40% - Accent5 12 5" xfId="4222"/>
    <cellStyle name="40% - Accent5 12 5 2" xfId="7814"/>
    <cellStyle name="40% - Accent5 12 5 2 2" xfId="15785"/>
    <cellStyle name="40% - Accent5 12 5 2 3" xfId="23731"/>
    <cellStyle name="40% - Accent5 12 5 3" xfId="12247"/>
    <cellStyle name="40% - Accent5 12 5 4" xfId="20202"/>
    <cellStyle name="40% - Accent5 12 6" xfId="6042"/>
    <cellStyle name="40% - Accent5 12 6 2" xfId="14026"/>
    <cellStyle name="40% - Accent5 12 6 3" xfId="21974"/>
    <cellStyle name="40% - Accent5 12 7" xfId="9595"/>
    <cellStyle name="40% - Accent5 12 7 2" xfId="17553"/>
    <cellStyle name="40% - Accent5 12 7 3" xfId="25497"/>
    <cellStyle name="40% - Accent5 12 8" xfId="10491"/>
    <cellStyle name="40% - Accent5 12 9" xfId="18446"/>
    <cellStyle name="40% - Accent5 12_Exh G" xfId="3197"/>
    <cellStyle name="40% - Accent5 13" xfId="547"/>
    <cellStyle name="40% - Accent5 13 2" xfId="548"/>
    <cellStyle name="40% - Accent5 13 2 2" xfId="549"/>
    <cellStyle name="40% - Accent5 13 2 2 2" xfId="1577"/>
    <cellStyle name="40% - Accent5 13 2 2 2 2" xfId="5107"/>
    <cellStyle name="40% - Accent5 13 2 2 2 2 2" xfId="8698"/>
    <cellStyle name="40% - Accent5 13 2 2 2 2 2 2" xfId="16669"/>
    <cellStyle name="40% - Accent5 13 2 2 2 2 2 3" xfId="24615"/>
    <cellStyle name="40% - Accent5 13 2 2 2 2 3" xfId="13131"/>
    <cellStyle name="40% - Accent5 13 2 2 2 2 4" xfId="21086"/>
    <cellStyle name="40% - Accent5 13 2 2 2 3" xfId="6939"/>
    <cellStyle name="40% - Accent5 13 2 2 2 3 2" xfId="14911"/>
    <cellStyle name="40% - Accent5 13 2 2 2 3 3" xfId="22858"/>
    <cellStyle name="40% - Accent5 13 2 2 2 4" xfId="11375"/>
    <cellStyle name="40% - Accent5 13 2 2 2 5" xfId="19330"/>
    <cellStyle name="40% - Accent5 13 2 2 2_Exh G" xfId="3208"/>
    <cellStyle name="40% - Accent5 13 2 2 3" xfId="4228"/>
    <cellStyle name="40% - Accent5 13 2 2 3 2" xfId="7820"/>
    <cellStyle name="40% - Accent5 13 2 2 3 2 2" xfId="15791"/>
    <cellStyle name="40% - Accent5 13 2 2 3 2 3" xfId="23737"/>
    <cellStyle name="40% - Accent5 13 2 2 3 3" xfId="12253"/>
    <cellStyle name="40% - Accent5 13 2 2 3 4" xfId="20208"/>
    <cellStyle name="40% - Accent5 13 2 2 4" xfId="6048"/>
    <cellStyle name="40% - Accent5 13 2 2 4 2" xfId="14032"/>
    <cellStyle name="40% - Accent5 13 2 2 4 3" xfId="21980"/>
    <cellStyle name="40% - Accent5 13 2 2 5" xfId="9601"/>
    <cellStyle name="40% - Accent5 13 2 2 5 2" xfId="17559"/>
    <cellStyle name="40% - Accent5 13 2 2 5 3" xfId="25503"/>
    <cellStyle name="40% - Accent5 13 2 2 6" xfId="10497"/>
    <cellStyle name="40% - Accent5 13 2 2 7" xfId="18452"/>
    <cellStyle name="40% - Accent5 13 2 2_Exh G" xfId="3207"/>
    <cellStyle name="40% - Accent5 13 2 3" xfId="1576"/>
    <cellStyle name="40% - Accent5 13 2 3 2" xfId="5106"/>
    <cellStyle name="40% - Accent5 13 2 3 2 2" xfId="8697"/>
    <cellStyle name="40% - Accent5 13 2 3 2 2 2" xfId="16668"/>
    <cellStyle name="40% - Accent5 13 2 3 2 2 3" xfId="24614"/>
    <cellStyle name="40% - Accent5 13 2 3 2 3" xfId="13130"/>
    <cellStyle name="40% - Accent5 13 2 3 2 4" xfId="21085"/>
    <cellStyle name="40% - Accent5 13 2 3 3" xfId="6938"/>
    <cellStyle name="40% - Accent5 13 2 3 3 2" xfId="14910"/>
    <cellStyle name="40% - Accent5 13 2 3 3 3" xfId="22857"/>
    <cellStyle name="40% - Accent5 13 2 3 4" xfId="11374"/>
    <cellStyle name="40% - Accent5 13 2 3 5" xfId="19329"/>
    <cellStyle name="40% - Accent5 13 2 3_Exh G" xfId="3209"/>
    <cellStyle name="40% - Accent5 13 2 4" xfId="4227"/>
    <cellStyle name="40% - Accent5 13 2 4 2" xfId="7819"/>
    <cellStyle name="40% - Accent5 13 2 4 2 2" xfId="15790"/>
    <cellStyle name="40% - Accent5 13 2 4 2 3" xfId="23736"/>
    <cellStyle name="40% - Accent5 13 2 4 3" xfId="12252"/>
    <cellStyle name="40% - Accent5 13 2 4 4" xfId="20207"/>
    <cellStyle name="40% - Accent5 13 2 5" xfId="6047"/>
    <cellStyle name="40% - Accent5 13 2 5 2" xfId="14031"/>
    <cellStyle name="40% - Accent5 13 2 5 3" xfId="21979"/>
    <cellStyle name="40% - Accent5 13 2 6" xfId="9600"/>
    <cellStyle name="40% - Accent5 13 2 6 2" xfId="17558"/>
    <cellStyle name="40% - Accent5 13 2 6 3" xfId="25502"/>
    <cellStyle name="40% - Accent5 13 2 7" xfId="10496"/>
    <cellStyle name="40% - Accent5 13 2 8" xfId="18451"/>
    <cellStyle name="40% - Accent5 13 2_Exh G" xfId="3206"/>
    <cellStyle name="40% - Accent5 13 3" xfId="550"/>
    <cellStyle name="40% - Accent5 13 3 2" xfId="1578"/>
    <cellStyle name="40% - Accent5 13 3 2 2" xfId="5108"/>
    <cellStyle name="40% - Accent5 13 3 2 2 2" xfId="8699"/>
    <cellStyle name="40% - Accent5 13 3 2 2 2 2" xfId="16670"/>
    <cellStyle name="40% - Accent5 13 3 2 2 2 3" xfId="24616"/>
    <cellStyle name="40% - Accent5 13 3 2 2 3" xfId="13132"/>
    <cellStyle name="40% - Accent5 13 3 2 2 4" xfId="21087"/>
    <cellStyle name="40% - Accent5 13 3 2 3" xfId="6940"/>
    <cellStyle name="40% - Accent5 13 3 2 3 2" xfId="14912"/>
    <cellStyle name="40% - Accent5 13 3 2 3 3" xfId="22859"/>
    <cellStyle name="40% - Accent5 13 3 2 4" xfId="11376"/>
    <cellStyle name="40% - Accent5 13 3 2 5" xfId="19331"/>
    <cellStyle name="40% - Accent5 13 3 2_Exh G" xfId="3211"/>
    <cellStyle name="40% - Accent5 13 3 3" xfId="4229"/>
    <cellStyle name="40% - Accent5 13 3 3 2" xfId="7821"/>
    <cellStyle name="40% - Accent5 13 3 3 2 2" xfId="15792"/>
    <cellStyle name="40% - Accent5 13 3 3 2 3" xfId="23738"/>
    <cellStyle name="40% - Accent5 13 3 3 3" xfId="12254"/>
    <cellStyle name="40% - Accent5 13 3 3 4" xfId="20209"/>
    <cellStyle name="40% - Accent5 13 3 4" xfId="6049"/>
    <cellStyle name="40% - Accent5 13 3 4 2" xfId="14033"/>
    <cellStyle name="40% - Accent5 13 3 4 3" xfId="21981"/>
    <cellStyle name="40% - Accent5 13 3 5" xfId="9602"/>
    <cellStyle name="40% - Accent5 13 3 5 2" xfId="17560"/>
    <cellStyle name="40% - Accent5 13 3 5 3" xfId="25504"/>
    <cellStyle name="40% - Accent5 13 3 6" xfId="10498"/>
    <cellStyle name="40% - Accent5 13 3 7" xfId="18453"/>
    <cellStyle name="40% - Accent5 13 3_Exh G" xfId="3210"/>
    <cellStyle name="40% - Accent5 13 4" xfId="1575"/>
    <cellStyle name="40% - Accent5 13 4 2" xfId="5105"/>
    <cellStyle name="40% - Accent5 13 4 2 2" xfId="8696"/>
    <cellStyle name="40% - Accent5 13 4 2 2 2" xfId="16667"/>
    <cellStyle name="40% - Accent5 13 4 2 2 3" xfId="24613"/>
    <cellStyle name="40% - Accent5 13 4 2 3" xfId="13129"/>
    <cellStyle name="40% - Accent5 13 4 2 4" xfId="21084"/>
    <cellStyle name="40% - Accent5 13 4 3" xfId="6937"/>
    <cellStyle name="40% - Accent5 13 4 3 2" xfId="14909"/>
    <cellStyle name="40% - Accent5 13 4 3 3" xfId="22856"/>
    <cellStyle name="40% - Accent5 13 4 4" xfId="11373"/>
    <cellStyle name="40% - Accent5 13 4 5" xfId="19328"/>
    <cellStyle name="40% - Accent5 13 4_Exh G" xfId="3212"/>
    <cellStyle name="40% - Accent5 13 5" xfId="4226"/>
    <cellStyle name="40% - Accent5 13 5 2" xfId="7818"/>
    <cellStyle name="40% - Accent5 13 5 2 2" xfId="15789"/>
    <cellStyle name="40% - Accent5 13 5 2 3" xfId="23735"/>
    <cellStyle name="40% - Accent5 13 5 3" xfId="12251"/>
    <cellStyle name="40% - Accent5 13 5 4" xfId="20206"/>
    <cellStyle name="40% - Accent5 13 6" xfId="6046"/>
    <cellStyle name="40% - Accent5 13 6 2" xfId="14030"/>
    <cellStyle name="40% - Accent5 13 6 3" xfId="21978"/>
    <cellStyle name="40% - Accent5 13 7" xfId="9599"/>
    <cellStyle name="40% - Accent5 13 7 2" xfId="17557"/>
    <cellStyle name="40% - Accent5 13 7 3" xfId="25501"/>
    <cellStyle name="40% - Accent5 13 8" xfId="10495"/>
    <cellStyle name="40% - Accent5 13 9" xfId="18450"/>
    <cellStyle name="40% - Accent5 13_Exh G" xfId="3205"/>
    <cellStyle name="40% - Accent5 14" xfId="551"/>
    <cellStyle name="40% - Accent5 14 2" xfId="552"/>
    <cellStyle name="40% - Accent5 14 2 2" xfId="1580"/>
    <cellStyle name="40% - Accent5 14 2 2 2" xfId="5110"/>
    <cellStyle name="40% - Accent5 14 2 2 2 2" xfId="8701"/>
    <cellStyle name="40% - Accent5 14 2 2 2 2 2" xfId="16672"/>
    <cellStyle name="40% - Accent5 14 2 2 2 2 3" xfId="24618"/>
    <cellStyle name="40% - Accent5 14 2 2 2 3" xfId="13134"/>
    <cellStyle name="40% - Accent5 14 2 2 2 4" xfId="21089"/>
    <cellStyle name="40% - Accent5 14 2 2 3" xfId="6942"/>
    <cellStyle name="40% - Accent5 14 2 2 3 2" xfId="14914"/>
    <cellStyle name="40% - Accent5 14 2 2 3 3" xfId="22861"/>
    <cellStyle name="40% - Accent5 14 2 2 4" xfId="11378"/>
    <cellStyle name="40% - Accent5 14 2 2 5" xfId="19333"/>
    <cellStyle name="40% - Accent5 14 2 2_Exh G" xfId="3215"/>
    <cellStyle name="40% - Accent5 14 2 3" xfId="4231"/>
    <cellStyle name="40% - Accent5 14 2 3 2" xfId="7823"/>
    <cellStyle name="40% - Accent5 14 2 3 2 2" xfId="15794"/>
    <cellStyle name="40% - Accent5 14 2 3 2 3" xfId="23740"/>
    <cellStyle name="40% - Accent5 14 2 3 3" xfId="12256"/>
    <cellStyle name="40% - Accent5 14 2 3 4" xfId="20211"/>
    <cellStyle name="40% - Accent5 14 2 4" xfId="6051"/>
    <cellStyle name="40% - Accent5 14 2 4 2" xfId="14035"/>
    <cellStyle name="40% - Accent5 14 2 4 3" xfId="21983"/>
    <cellStyle name="40% - Accent5 14 2 5" xfId="9604"/>
    <cellStyle name="40% - Accent5 14 2 5 2" xfId="17562"/>
    <cellStyle name="40% - Accent5 14 2 5 3" xfId="25506"/>
    <cellStyle name="40% - Accent5 14 2 6" xfId="10500"/>
    <cellStyle name="40% - Accent5 14 2 7" xfId="18455"/>
    <cellStyle name="40% - Accent5 14 2_Exh G" xfId="3214"/>
    <cellStyle name="40% - Accent5 14 3" xfId="1579"/>
    <cellStyle name="40% - Accent5 14 3 2" xfId="5109"/>
    <cellStyle name="40% - Accent5 14 3 2 2" xfId="8700"/>
    <cellStyle name="40% - Accent5 14 3 2 2 2" xfId="16671"/>
    <cellStyle name="40% - Accent5 14 3 2 2 3" xfId="24617"/>
    <cellStyle name="40% - Accent5 14 3 2 3" xfId="13133"/>
    <cellStyle name="40% - Accent5 14 3 2 4" xfId="21088"/>
    <cellStyle name="40% - Accent5 14 3 3" xfId="6941"/>
    <cellStyle name="40% - Accent5 14 3 3 2" xfId="14913"/>
    <cellStyle name="40% - Accent5 14 3 3 3" xfId="22860"/>
    <cellStyle name="40% - Accent5 14 3 4" xfId="11377"/>
    <cellStyle name="40% - Accent5 14 3 5" xfId="19332"/>
    <cellStyle name="40% - Accent5 14 3_Exh G" xfId="3216"/>
    <cellStyle name="40% - Accent5 14 4" xfId="4230"/>
    <cellStyle name="40% - Accent5 14 4 2" xfId="7822"/>
    <cellStyle name="40% - Accent5 14 4 2 2" xfId="15793"/>
    <cellStyle name="40% - Accent5 14 4 2 3" xfId="23739"/>
    <cellStyle name="40% - Accent5 14 4 3" xfId="12255"/>
    <cellStyle name="40% - Accent5 14 4 4" xfId="20210"/>
    <cellStyle name="40% - Accent5 14 5" xfId="6050"/>
    <cellStyle name="40% - Accent5 14 5 2" xfId="14034"/>
    <cellStyle name="40% - Accent5 14 5 3" xfId="21982"/>
    <cellStyle name="40% - Accent5 14 6" xfId="9603"/>
    <cellStyle name="40% - Accent5 14 6 2" xfId="17561"/>
    <cellStyle name="40% - Accent5 14 6 3" xfId="25505"/>
    <cellStyle name="40% - Accent5 14 7" xfId="10499"/>
    <cellStyle name="40% - Accent5 14 8" xfId="18454"/>
    <cellStyle name="40% - Accent5 14_Exh G" xfId="3213"/>
    <cellStyle name="40% - Accent5 15" xfId="553"/>
    <cellStyle name="40% - Accent5 15 2" xfId="1581"/>
    <cellStyle name="40% - Accent5 15 2 2" xfId="5111"/>
    <cellStyle name="40% - Accent5 15 2 2 2" xfId="8702"/>
    <cellStyle name="40% - Accent5 15 2 2 2 2" xfId="16673"/>
    <cellStyle name="40% - Accent5 15 2 2 2 3" xfId="24619"/>
    <cellStyle name="40% - Accent5 15 2 2 3" xfId="13135"/>
    <cellStyle name="40% - Accent5 15 2 2 4" xfId="21090"/>
    <cellStyle name="40% - Accent5 15 2 3" xfId="6943"/>
    <cellStyle name="40% - Accent5 15 2 3 2" xfId="14915"/>
    <cellStyle name="40% - Accent5 15 2 3 3" xfId="22862"/>
    <cellStyle name="40% - Accent5 15 2 4" xfId="11379"/>
    <cellStyle name="40% - Accent5 15 2 5" xfId="19334"/>
    <cellStyle name="40% - Accent5 15 2_Exh G" xfId="3218"/>
    <cellStyle name="40% - Accent5 15 3" xfId="4232"/>
    <cellStyle name="40% - Accent5 15 3 2" xfId="7824"/>
    <cellStyle name="40% - Accent5 15 3 2 2" xfId="15795"/>
    <cellStyle name="40% - Accent5 15 3 2 3" xfId="23741"/>
    <cellStyle name="40% - Accent5 15 3 3" xfId="12257"/>
    <cellStyle name="40% - Accent5 15 3 4" xfId="20212"/>
    <cellStyle name="40% - Accent5 15 4" xfId="6052"/>
    <cellStyle name="40% - Accent5 15 4 2" xfId="14036"/>
    <cellStyle name="40% - Accent5 15 4 3" xfId="21984"/>
    <cellStyle name="40% - Accent5 15 5" xfId="9605"/>
    <cellStyle name="40% - Accent5 15 5 2" xfId="17563"/>
    <cellStyle name="40% - Accent5 15 5 3" xfId="25507"/>
    <cellStyle name="40% - Accent5 15 6" xfId="10501"/>
    <cellStyle name="40% - Accent5 15 7" xfId="18456"/>
    <cellStyle name="40% - Accent5 15_Exh G" xfId="3217"/>
    <cellStyle name="40% - Accent5 16" xfId="853"/>
    <cellStyle name="40% - Accent5 16 2" xfId="1792"/>
    <cellStyle name="40% - Accent5 16 2 2" xfId="5313"/>
    <cellStyle name="40% - Accent5 16 2 2 2" xfId="8904"/>
    <cellStyle name="40% - Accent5 16 2 2 2 2" xfId="16875"/>
    <cellStyle name="40% - Accent5 16 2 2 2 3" xfId="24821"/>
    <cellStyle name="40% - Accent5 16 2 2 3" xfId="13337"/>
    <cellStyle name="40% - Accent5 16 2 2 4" xfId="21292"/>
    <cellStyle name="40% - Accent5 16 2 3" xfId="7145"/>
    <cellStyle name="40% - Accent5 16 2 3 2" xfId="15117"/>
    <cellStyle name="40% - Accent5 16 2 3 3" xfId="23064"/>
    <cellStyle name="40% - Accent5 16 2 4" xfId="11581"/>
    <cellStyle name="40% - Accent5 16 2 5" xfId="19536"/>
    <cellStyle name="40% - Accent5 16 2_Exh G" xfId="3220"/>
    <cellStyle name="40% - Accent5 16 3" xfId="4434"/>
    <cellStyle name="40% - Accent5 16 3 2" xfId="8026"/>
    <cellStyle name="40% - Accent5 16 3 2 2" xfId="15997"/>
    <cellStyle name="40% - Accent5 16 3 2 3" xfId="23943"/>
    <cellStyle name="40% - Accent5 16 3 3" xfId="12459"/>
    <cellStyle name="40% - Accent5 16 3 4" xfId="20414"/>
    <cellStyle name="40% - Accent5 16 4" xfId="6264"/>
    <cellStyle name="40% - Accent5 16 4 2" xfId="14239"/>
    <cellStyle name="40% - Accent5 16 4 3" xfId="22186"/>
    <cellStyle name="40% - Accent5 16 5" xfId="9807"/>
    <cellStyle name="40% - Accent5 16 5 2" xfId="17765"/>
    <cellStyle name="40% - Accent5 16 5 3" xfId="25709"/>
    <cellStyle name="40% - Accent5 16 6" xfId="10703"/>
    <cellStyle name="40% - Accent5 16 7" xfId="18658"/>
    <cellStyle name="40% - Accent5 16_Exh G" xfId="3219"/>
    <cellStyle name="40% - Accent5 2" xfId="554"/>
    <cellStyle name="40% - Accent5 2 10" xfId="18457"/>
    <cellStyle name="40% - Accent5 2 2" xfId="555"/>
    <cellStyle name="40% - Accent5 2 2 2" xfId="556"/>
    <cellStyle name="40% - Accent5 2 2 2 2" xfId="1584"/>
    <cellStyle name="40% - Accent5 2 2 2 2 2" xfId="5114"/>
    <cellStyle name="40% - Accent5 2 2 2 2 2 2" xfId="8705"/>
    <cellStyle name="40% - Accent5 2 2 2 2 2 2 2" xfId="16676"/>
    <cellStyle name="40% - Accent5 2 2 2 2 2 2 3" xfId="24622"/>
    <cellStyle name="40% - Accent5 2 2 2 2 2 3" xfId="13138"/>
    <cellStyle name="40% - Accent5 2 2 2 2 2 4" xfId="21093"/>
    <cellStyle name="40% - Accent5 2 2 2 2 3" xfId="6946"/>
    <cellStyle name="40% - Accent5 2 2 2 2 3 2" xfId="14918"/>
    <cellStyle name="40% - Accent5 2 2 2 2 3 3" xfId="22865"/>
    <cellStyle name="40% - Accent5 2 2 2 2 4" xfId="11382"/>
    <cellStyle name="40% - Accent5 2 2 2 2 5" xfId="19337"/>
    <cellStyle name="40% - Accent5 2 2 2 2_Exh G" xfId="3224"/>
    <cellStyle name="40% - Accent5 2 2 2 3" xfId="4235"/>
    <cellStyle name="40% - Accent5 2 2 2 3 2" xfId="7827"/>
    <cellStyle name="40% - Accent5 2 2 2 3 2 2" xfId="15798"/>
    <cellStyle name="40% - Accent5 2 2 2 3 2 3" xfId="23744"/>
    <cellStyle name="40% - Accent5 2 2 2 3 3" xfId="12260"/>
    <cellStyle name="40% - Accent5 2 2 2 3 4" xfId="20215"/>
    <cellStyle name="40% - Accent5 2 2 2 4" xfId="6055"/>
    <cellStyle name="40% - Accent5 2 2 2 4 2" xfId="14039"/>
    <cellStyle name="40% - Accent5 2 2 2 4 3" xfId="21987"/>
    <cellStyle name="40% - Accent5 2 2 2 5" xfId="9608"/>
    <cellStyle name="40% - Accent5 2 2 2 5 2" xfId="17566"/>
    <cellStyle name="40% - Accent5 2 2 2 5 3" xfId="25510"/>
    <cellStyle name="40% - Accent5 2 2 2 6" xfId="10504"/>
    <cellStyle name="40% - Accent5 2 2 2 7" xfId="18459"/>
    <cellStyle name="40% - Accent5 2 2 2_Exh G" xfId="3223"/>
    <cellStyle name="40% - Accent5 2 2 3" xfId="984"/>
    <cellStyle name="40% - Accent5 2 2 3 2" xfId="1900"/>
    <cellStyle name="40% - Accent5 2 2 3 2 2" xfId="5418"/>
    <cellStyle name="40% - Accent5 2 2 3 2 2 2" xfId="9009"/>
    <cellStyle name="40% - Accent5 2 2 3 2 2 2 2" xfId="16980"/>
    <cellStyle name="40% - Accent5 2 2 3 2 2 2 3" xfId="24926"/>
    <cellStyle name="40% - Accent5 2 2 3 2 2 3" xfId="13442"/>
    <cellStyle name="40% - Accent5 2 2 3 2 2 4" xfId="21397"/>
    <cellStyle name="40% - Accent5 2 2 3 2 3" xfId="7250"/>
    <cellStyle name="40% - Accent5 2 2 3 2 3 2" xfId="15222"/>
    <cellStyle name="40% - Accent5 2 2 3 2 3 3" xfId="23169"/>
    <cellStyle name="40% - Accent5 2 2 3 2 4" xfId="11686"/>
    <cellStyle name="40% - Accent5 2 2 3 2 5" xfId="19641"/>
    <cellStyle name="40% - Accent5 2 2 3 2_Exh G" xfId="3226"/>
    <cellStyle name="40% - Accent5 2 2 3 3" xfId="4539"/>
    <cellStyle name="40% - Accent5 2 2 3 3 2" xfId="8131"/>
    <cellStyle name="40% - Accent5 2 2 3 3 2 2" xfId="16102"/>
    <cellStyle name="40% - Accent5 2 2 3 3 2 3" xfId="24048"/>
    <cellStyle name="40% - Accent5 2 2 3 3 3" xfId="12564"/>
    <cellStyle name="40% - Accent5 2 2 3 3 4" xfId="20519"/>
    <cellStyle name="40% - Accent5 2 2 3 4" xfId="6369"/>
    <cellStyle name="40% - Accent5 2 2 3 4 2" xfId="14344"/>
    <cellStyle name="40% - Accent5 2 2 3 4 3" xfId="22291"/>
    <cellStyle name="40% - Accent5 2 2 3 5" xfId="9912"/>
    <cellStyle name="40% - Accent5 2 2 3 5 2" xfId="17870"/>
    <cellStyle name="40% - Accent5 2 2 3 5 3" xfId="25814"/>
    <cellStyle name="40% - Accent5 2 2 3 6" xfId="10808"/>
    <cellStyle name="40% - Accent5 2 2 3 7" xfId="18763"/>
    <cellStyle name="40% - Accent5 2 2 3_Exh G" xfId="3225"/>
    <cellStyle name="40% - Accent5 2 2 4" xfId="1583"/>
    <cellStyle name="40% - Accent5 2 2 4 2" xfId="5113"/>
    <cellStyle name="40% - Accent5 2 2 4 2 2" xfId="8704"/>
    <cellStyle name="40% - Accent5 2 2 4 2 2 2" xfId="16675"/>
    <cellStyle name="40% - Accent5 2 2 4 2 2 3" xfId="24621"/>
    <cellStyle name="40% - Accent5 2 2 4 2 3" xfId="13137"/>
    <cellStyle name="40% - Accent5 2 2 4 2 4" xfId="21092"/>
    <cellStyle name="40% - Accent5 2 2 4 3" xfId="6945"/>
    <cellStyle name="40% - Accent5 2 2 4 3 2" xfId="14917"/>
    <cellStyle name="40% - Accent5 2 2 4 3 3" xfId="22864"/>
    <cellStyle name="40% - Accent5 2 2 4 4" xfId="11381"/>
    <cellStyle name="40% - Accent5 2 2 4 5" xfId="19336"/>
    <cellStyle name="40% - Accent5 2 2 4_Exh G" xfId="3227"/>
    <cellStyle name="40% - Accent5 2 2 5" xfId="4234"/>
    <cellStyle name="40% - Accent5 2 2 5 2" xfId="7826"/>
    <cellStyle name="40% - Accent5 2 2 5 2 2" xfId="15797"/>
    <cellStyle name="40% - Accent5 2 2 5 2 3" xfId="23743"/>
    <cellStyle name="40% - Accent5 2 2 5 3" xfId="12259"/>
    <cellStyle name="40% - Accent5 2 2 5 4" xfId="20214"/>
    <cellStyle name="40% - Accent5 2 2 6" xfId="6054"/>
    <cellStyle name="40% - Accent5 2 2 6 2" xfId="14038"/>
    <cellStyle name="40% - Accent5 2 2 6 3" xfId="21986"/>
    <cellStyle name="40% - Accent5 2 2 7" xfId="9607"/>
    <cellStyle name="40% - Accent5 2 2 7 2" xfId="17565"/>
    <cellStyle name="40% - Accent5 2 2 7 3" xfId="25509"/>
    <cellStyle name="40% - Accent5 2 2 8" xfId="10503"/>
    <cellStyle name="40% - Accent5 2 2 9" xfId="18458"/>
    <cellStyle name="40% - Accent5 2 2_Exh G" xfId="3222"/>
    <cellStyle name="40% - Accent5 2 3" xfId="557"/>
    <cellStyle name="40% - Accent5 2 3 2" xfId="1585"/>
    <cellStyle name="40% - Accent5 2 3 2 2" xfId="5115"/>
    <cellStyle name="40% - Accent5 2 3 2 2 2" xfId="8706"/>
    <cellStyle name="40% - Accent5 2 3 2 2 2 2" xfId="16677"/>
    <cellStyle name="40% - Accent5 2 3 2 2 2 3" xfId="24623"/>
    <cellStyle name="40% - Accent5 2 3 2 2 3" xfId="13139"/>
    <cellStyle name="40% - Accent5 2 3 2 2 4" xfId="21094"/>
    <cellStyle name="40% - Accent5 2 3 2 3" xfId="6947"/>
    <cellStyle name="40% - Accent5 2 3 2 3 2" xfId="14919"/>
    <cellStyle name="40% - Accent5 2 3 2 3 3" xfId="22866"/>
    <cellStyle name="40% - Accent5 2 3 2 4" xfId="11383"/>
    <cellStyle name="40% - Accent5 2 3 2 5" xfId="19338"/>
    <cellStyle name="40% - Accent5 2 3 2_Exh G" xfId="3229"/>
    <cellStyle name="40% - Accent5 2 3 3" xfId="4236"/>
    <cellStyle name="40% - Accent5 2 3 3 2" xfId="7828"/>
    <cellStyle name="40% - Accent5 2 3 3 2 2" xfId="15799"/>
    <cellStyle name="40% - Accent5 2 3 3 2 3" xfId="23745"/>
    <cellStyle name="40% - Accent5 2 3 3 3" xfId="12261"/>
    <cellStyle name="40% - Accent5 2 3 3 4" xfId="20216"/>
    <cellStyle name="40% - Accent5 2 3 4" xfId="6056"/>
    <cellStyle name="40% - Accent5 2 3 4 2" xfId="14040"/>
    <cellStyle name="40% - Accent5 2 3 4 3" xfId="21988"/>
    <cellStyle name="40% - Accent5 2 3 5" xfId="9609"/>
    <cellStyle name="40% - Accent5 2 3 5 2" xfId="17567"/>
    <cellStyle name="40% - Accent5 2 3 5 3" xfId="25511"/>
    <cellStyle name="40% - Accent5 2 3 6" xfId="10505"/>
    <cellStyle name="40% - Accent5 2 3 7" xfId="18460"/>
    <cellStyle name="40% - Accent5 2 3_Exh G" xfId="3228"/>
    <cellStyle name="40% - Accent5 2 4" xfId="983"/>
    <cellStyle name="40% - Accent5 2 4 2" xfId="1899"/>
    <cellStyle name="40% - Accent5 2 4 2 2" xfId="5417"/>
    <cellStyle name="40% - Accent5 2 4 2 2 2" xfId="9008"/>
    <cellStyle name="40% - Accent5 2 4 2 2 2 2" xfId="16979"/>
    <cellStyle name="40% - Accent5 2 4 2 2 2 3" xfId="24925"/>
    <cellStyle name="40% - Accent5 2 4 2 2 3" xfId="13441"/>
    <cellStyle name="40% - Accent5 2 4 2 2 4" xfId="21396"/>
    <cellStyle name="40% - Accent5 2 4 2 3" xfId="7249"/>
    <cellStyle name="40% - Accent5 2 4 2 3 2" xfId="15221"/>
    <cellStyle name="40% - Accent5 2 4 2 3 3" xfId="23168"/>
    <cellStyle name="40% - Accent5 2 4 2 4" xfId="11685"/>
    <cellStyle name="40% - Accent5 2 4 2 5" xfId="19640"/>
    <cellStyle name="40% - Accent5 2 4 2_Exh G" xfId="3231"/>
    <cellStyle name="40% - Accent5 2 4 3" xfId="4538"/>
    <cellStyle name="40% - Accent5 2 4 3 2" xfId="8130"/>
    <cellStyle name="40% - Accent5 2 4 3 2 2" xfId="16101"/>
    <cellStyle name="40% - Accent5 2 4 3 2 3" xfId="24047"/>
    <cellStyle name="40% - Accent5 2 4 3 3" xfId="12563"/>
    <cellStyle name="40% - Accent5 2 4 3 4" xfId="20518"/>
    <cellStyle name="40% - Accent5 2 4 4" xfId="6368"/>
    <cellStyle name="40% - Accent5 2 4 4 2" xfId="14343"/>
    <cellStyle name="40% - Accent5 2 4 4 3" xfId="22290"/>
    <cellStyle name="40% - Accent5 2 4 5" xfId="9911"/>
    <cellStyle name="40% - Accent5 2 4 5 2" xfId="17869"/>
    <cellStyle name="40% - Accent5 2 4 5 3" xfId="25813"/>
    <cellStyle name="40% - Accent5 2 4 6" xfId="10807"/>
    <cellStyle name="40% - Accent5 2 4 7" xfId="18762"/>
    <cellStyle name="40% - Accent5 2 4_Exh G" xfId="3230"/>
    <cellStyle name="40% - Accent5 2 5" xfId="1582"/>
    <cellStyle name="40% - Accent5 2 5 2" xfId="5112"/>
    <cellStyle name="40% - Accent5 2 5 2 2" xfId="8703"/>
    <cellStyle name="40% - Accent5 2 5 2 2 2" xfId="16674"/>
    <cellStyle name="40% - Accent5 2 5 2 2 3" xfId="24620"/>
    <cellStyle name="40% - Accent5 2 5 2 3" xfId="13136"/>
    <cellStyle name="40% - Accent5 2 5 2 4" xfId="21091"/>
    <cellStyle name="40% - Accent5 2 5 3" xfId="6944"/>
    <cellStyle name="40% - Accent5 2 5 3 2" xfId="14916"/>
    <cellStyle name="40% - Accent5 2 5 3 3" xfId="22863"/>
    <cellStyle name="40% - Accent5 2 5 4" xfId="11380"/>
    <cellStyle name="40% - Accent5 2 5 5" xfId="19335"/>
    <cellStyle name="40% - Accent5 2 5_Exh G" xfId="3232"/>
    <cellStyle name="40% - Accent5 2 6" xfId="4233"/>
    <cellStyle name="40% - Accent5 2 6 2" xfId="7825"/>
    <cellStyle name="40% - Accent5 2 6 2 2" xfId="15796"/>
    <cellStyle name="40% - Accent5 2 6 2 3" xfId="23742"/>
    <cellStyle name="40% - Accent5 2 6 3" xfId="12258"/>
    <cellStyle name="40% - Accent5 2 6 4" xfId="20213"/>
    <cellStyle name="40% - Accent5 2 7" xfId="6053"/>
    <cellStyle name="40% - Accent5 2 7 2" xfId="14037"/>
    <cellStyle name="40% - Accent5 2 7 3" xfId="21985"/>
    <cellStyle name="40% - Accent5 2 8" xfId="9606"/>
    <cellStyle name="40% - Accent5 2 8 2" xfId="17564"/>
    <cellStyle name="40% - Accent5 2 8 3" xfId="25508"/>
    <cellStyle name="40% - Accent5 2 9" xfId="10502"/>
    <cellStyle name="40% - Accent5 2_Exh G" xfId="3221"/>
    <cellStyle name="40% - Accent5 3" xfId="558"/>
    <cellStyle name="40% - Accent5 3 10" xfId="18461"/>
    <cellStyle name="40% - Accent5 3 2" xfId="559"/>
    <cellStyle name="40% - Accent5 3 2 2" xfId="560"/>
    <cellStyle name="40% - Accent5 3 2 2 2" xfId="1588"/>
    <cellStyle name="40% - Accent5 3 2 2 2 2" xfId="5118"/>
    <cellStyle name="40% - Accent5 3 2 2 2 2 2" xfId="8709"/>
    <cellStyle name="40% - Accent5 3 2 2 2 2 2 2" xfId="16680"/>
    <cellStyle name="40% - Accent5 3 2 2 2 2 2 3" xfId="24626"/>
    <cellStyle name="40% - Accent5 3 2 2 2 2 3" xfId="13142"/>
    <cellStyle name="40% - Accent5 3 2 2 2 2 4" xfId="21097"/>
    <cellStyle name="40% - Accent5 3 2 2 2 3" xfId="6950"/>
    <cellStyle name="40% - Accent5 3 2 2 2 3 2" xfId="14922"/>
    <cellStyle name="40% - Accent5 3 2 2 2 3 3" xfId="22869"/>
    <cellStyle name="40% - Accent5 3 2 2 2 4" xfId="11386"/>
    <cellStyle name="40% - Accent5 3 2 2 2 5" xfId="19341"/>
    <cellStyle name="40% - Accent5 3 2 2 2_Exh G" xfId="3236"/>
    <cellStyle name="40% - Accent5 3 2 2 3" xfId="4239"/>
    <cellStyle name="40% - Accent5 3 2 2 3 2" xfId="7831"/>
    <cellStyle name="40% - Accent5 3 2 2 3 2 2" xfId="15802"/>
    <cellStyle name="40% - Accent5 3 2 2 3 2 3" xfId="23748"/>
    <cellStyle name="40% - Accent5 3 2 2 3 3" xfId="12264"/>
    <cellStyle name="40% - Accent5 3 2 2 3 4" xfId="20219"/>
    <cellStyle name="40% - Accent5 3 2 2 4" xfId="6059"/>
    <cellStyle name="40% - Accent5 3 2 2 4 2" xfId="14043"/>
    <cellStyle name="40% - Accent5 3 2 2 4 3" xfId="21991"/>
    <cellStyle name="40% - Accent5 3 2 2 5" xfId="9612"/>
    <cellStyle name="40% - Accent5 3 2 2 5 2" xfId="17570"/>
    <cellStyle name="40% - Accent5 3 2 2 5 3" xfId="25514"/>
    <cellStyle name="40% - Accent5 3 2 2 6" xfId="10508"/>
    <cellStyle name="40% - Accent5 3 2 2 7" xfId="18463"/>
    <cellStyle name="40% - Accent5 3 2 2_Exh G" xfId="3235"/>
    <cellStyle name="40% - Accent5 3 2 3" xfId="986"/>
    <cellStyle name="40% - Accent5 3 2 3 2" xfId="1902"/>
    <cellStyle name="40% - Accent5 3 2 3 2 2" xfId="5420"/>
    <cellStyle name="40% - Accent5 3 2 3 2 2 2" xfId="9011"/>
    <cellStyle name="40% - Accent5 3 2 3 2 2 2 2" xfId="16982"/>
    <cellStyle name="40% - Accent5 3 2 3 2 2 2 3" xfId="24928"/>
    <cellStyle name="40% - Accent5 3 2 3 2 2 3" xfId="13444"/>
    <cellStyle name="40% - Accent5 3 2 3 2 2 4" xfId="21399"/>
    <cellStyle name="40% - Accent5 3 2 3 2 3" xfId="7252"/>
    <cellStyle name="40% - Accent5 3 2 3 2 3 2" xfId="15224"/>
    <cellStyle name="40% - Accent5 3 2 3 2 3 3" xfId="23171"/>
    <cellStyle name="40% - Accent5 3 2 3 2 4" xfId="11688"/>
    <cellStyle name="40% - Accent5 3 2 3 2 5" xfId="19643"/>
    <cellStyle name="40% - Accent5 3 2 3 2_Exh G" xfId="3238"/>
    <cellStyle name="40% - Accent5 3 2 3 3" xfId="4541"/>
    <cellStyle name="40% - Accent5 3 2 3 3 2" xfId="8133"/>
    <cellStyle name="40% - Accent5 3 2 3 3 2 2" xfId="16104"/>
    <cellStyle name="40% - Accent5 3 2 3 3 2 3" xfId="24050"/>
    <cellStyle name="40% - Accent5 3 2 3 3 3" xfId="12566"/>
    <cellStyle name="40% - Accent5 3 2 3 3 4" xfId="20521"/>
    <cellStyle name="40% - Accent5 3 2 3 4" xfId="6371"/>
    <cellStyle name="40% - Accent5 3 2 3 4 2" xfId="14346"/>
    <cellStyle name="40% - Accent5 3 2 3 4 3" xfId="22293"/>
    <cellStyle name="40% - Accent5 3 2 3 5" xfId="9914"/>
    <cellStyle name="40% - Accent5 3 2 3 5 2" xfId="17872"/>
    <cellStyle name="40% - Accent5 3 2 3 5 3" xfId="25816"/>
    <cellStyle name="40% - Accent5 3 2 3 6" xfId="10810"/>
    <cellStyle name="40% - Accent5 3 2 3 7" xfId="18765"/>
    <cellStyle name="40% - Accent5 3 2 3_Exh G" xfId="3237"/>
    <cellStyle name="40% - Accent5 3 2 4" xfId="1587"/>
    <cellStyle name="40% - Accent5 3 2 4 2" xfId="5117"/>
    <cellStyle name="40% - Accent5 3 2 4 2 2" xfId="8708"/>
    <cellStyle name="40% - Accent5 3 2 4 2 2 2" xfId="16679"/>
    <cellStyle name="40% - Accent5 3 2 4 2 2 3" xfId="24625"/>
    <cellStyle name="40% - Accent5 3 2 4 2 3" xfId="13141"/>
    <cellStyle name="40% - Accent5 3 2 4 2 4" xfId="21096"/>
    <cellStyle name="40% - Accent5 3 2 4 3" xfId="6949"/>
    <cellStyle name="40% - Accent5 3 2 4 3 2" xfId="14921"/>
    <cellStyle name="40% - Accent5 3 2 4 3 3" xfId="22868"/>
    <cellStyle name="40% - Accent5 3 2 4 4" xfId="11385"/>
    <cellStyle name="40% - Accent5 3 2 4 5" xfId="19340"/>
    <cellStyle name="40% - Accent5 3 2 4_Exh G" xfId="3239"/>
    <cellStyle name="40% - Accent5 3 2 5" xfId="4238"/>
    <cellStyle name="40% - Accent5 3 2 5 2" xfId="7830"/>
    <cellStyle name="40% - Accent5 3 2 5 2 2" xfId="15801"/>
    <cellStyle name="40% - Accent5 3 2 5 2 3" xfId="23747"/>
    <cellStyle name="40% - Accent5 3 2 5 3" xfId="12263"/>
    <cellStyle name="40% - Accent5 3 2 5 4" xfId="20218"/>
    <cellStyle name="40% - Accent5 3 2 6" xfId="6058"/>
    <cellStyle name="40% - Accent5 3 2 6 2" xfId="14042"/>
    <cellStyle name="40% - Accent5 3 2 6 3" xfId="21990"/>
    <cellStyle name="40% - Accent5 3 2 7" xfId="9611"/>
    <cellStyle name="40% - Accent5 3 2 7 2" xfId="17569"/>
    <cellStyle name="40% - Accent5 3 2 7 3" xfId="25513"/>
    <cellStyle name="40% - Accent5 3 2 8" xfId="10507"/>
    <cellStyle name="40% - Accent5 3 2 9" xfId="18462"/>
    <cellStyle name="40% - Accent5 3 2_Exh G" xfId="3234"/>
    <cellStyle name="40% - Accent5 3 3" xfId="561"/>
    <cellStyle name="40% - Accent5 3 3 2" xfId="1589"/>
    <cellStyle name="40% - Accent5 3 3 2 2" xfId="5119"/>
    <cellStyle name="40% - Accent5 3 3 2 2 2" xfId="8710"/>
    <cellStyle name="40% - Accent5 3 3 2 2 2 2" xfId="16681"/>
    <cellStyle name="40% - Accent5 3 3 2 2 2 3" xfId="24627"/>
    <cellStyle name="40% - Accent5 3 3 2 2 3" xfId="13143"/>
    <cellStyle name="40% - Accent5 3 3 2 2 4" xfId="21098"/>
    <cellStyle name="40% - Accent5 3 3 2 3" xfId="6951"/>
    <cellStyle name="40% - Accent5 3 3 2 3 2" xfId="14923"/>
    <cellStyle name="40% - Accent5 3 3 2 3 3" xfId="22870"/>
    <cellStyle name="40% - Accent5 3 3 2 4" xfId="11387"/>
    <cellStyle name="40% - Accent5 3 3 2 5" xfId="19342"/>
    <cellStyle name="40% - Accent5 3 3 2_Exh G" xfId="3241"/>
    <cellStyle name="40% - Accent5 3 3 3" xfId="4240"/>
    <cellStyle name="40% - Accent5 3 3 3 2" xfId="7832"/>
    <cellStyle name="40% - Accent5 3 3 3 2 2" xfId="15803"/>
    <cellStyle name="40% - Accent5 3 3 3 2 3" xfId="23749"/>
    <cellStyle name="40% - Accent5 3 3 3 3" xfId="12265"/>
    <cellStyle name="40% - Accent5 3 3 3 4" xfId="20220"/>
    <cellStyle name="40% - Accent5 3 3 4" xfId="6060"/>
    <cellStyle name="40% - Accent5 3 3 4 2" xfId="14044"/>
    <cellStyle name="40% - Accent5 3 3 4 3" xfId="21992"/>
    <cellStyle name="40% - Accent5 3 3 5" xfId="9613"/>
    <cellStyle name="40% - Accent5 3 3 5 2" xfId="17571"/>
    <cellStyle name="40% - Accent5 3 3 5 3" xfId="25515"/>
    <cellStyle name="40% - Accent5 3 3 6" xfId="10509"/>
    <cellStyle name="40% - Accent5 3 3 7" xfId="18464"/>
    <cellStyle name="40% - Accent5 3 3_Exh G" xfId="3240"/>
    <cellStyle name="40% - Accent5 3 4" xfId="985"/>
    <cellStyle name="40% - Accent5 3 4 2" xfId="1901"/>
    <cellStyle name="40% - Accent5 3 4 2 2" xfId="5419"/>
    <cellStyle name="40% - Accent5 3 4 2 2 2" xfId="9010"/>
    <cellStyle name="40% - Accent5 3 4 2 2 2 2" xfId="16981"/>
    <cellStyle name="40% - Accent5 3 4 2 2 2 3" xfId="24927"/>
    <cellStyle name="40% - Accent5 3 4 2 2 3" xfId="13443"/>
    <cellStyle name="40% - Accent5 3 4 2 2 4" xfId="21398"/>
    <cellStyle name="40% - Accent5 3 4 2 3" xfId="7251"/>
    <cellStyle name="40% - Accent5 3 4 2 3 2" xfId="15223"/>
    <cellStyle name="40% - Accent5 3 4 2 3 3" xfId="23170"/>
    <cellStyle name="40% - Accent5 3 4 2 4" xfId="11687"/>
    <cellStyle name="40% - Accent5 3 4 2 5" xfId="19642"/>
    <cellStyle name="40% - Accent5 3 4 2_Exh G" xfId="3243"/>
    <cellStyle name="40% - Accent5 3 4 3" xfId="4540"/>
    <cellStyle name="40% - Accent5 3 4 3 2" xfId="8132"/>
    <cellStyle name="40% - Accent5 3 4 3 2 2" xfId="16103"/>
    <cellStyle name="40% - Accent5 3 4 3 2 3" xfId="24049"/>
    <cellStyle name="40% - Accent5 3 4 3 3" xfId="12565"/>
    <cellStyle name="40% - Accent5 3 4 3 4" xfId="20520"/>
    <cellStyle name="40% - Accent5 3 4 4" xfId="6370"/>
    <cellStyle name="40% - Accent5 3 4 4 2" xfId="14345"/>
    <cellStyle name="40% - Accent5 3 4 4 3" xfId="22292"/>
    <cellStyle name="40% - Accent5 3 4 5" xfId="9913"/>
    <cellStyle name="40% - Accent5 3 4 5 2" xfId="17871"/>
    <cellStyle name="40% - Accent5 3 4 5 3" xfId="25815"/>
    <cellStyle name="40% - Accent5 3 4 6" xfId="10809"/>
    <cellStyle name="40% - Accent5 3 4 7" xfId="18764"/>
    <cellStyle name="40% - Accent5 3 4_Exh G" xfId="3242"/>
    <cellStyle name="40% - Accent5 3 5" xfId="1586"/>
    <cellStyle name="40% - Accent5 3 5 2" xfId="5116"/>
    <cellStyle name="40% - Accent5 3 5 2 2" xfId="8707"/>
    <cellStyle name="40% - Accent5 3 5 2 2 2" xfId="16678"/>
    <cellStyle name="40% - Accent5 3 5 2 2 3" xfId="24624"/>
    <cellStyle name="40% - Accent5 3 5 2 3" xfId="13140"/>
    <cellStyle name="40% - Accent5 3 5 2 4" xfId="21095"/>
    <cellStyle name="40% - Accent5 3 5 3" xfId="6948"/>
    <cellStyle name="40% - Accent5 3 5 3 2" xfId="14920"/>
    <cellStyle name="40% - Accent5 3 5 3 3" xfId="22867"/>
    <cellStyle name="40% - Accent5 3 5 4" xfId="11384"/>
    <cellStyle name="40% - Accent5 3 5 5" xfId="19339"/>
    <cellStyle name="40% - Accent5 3 5_Exh G" xfId="3244"/>
    <cellStyle name="40% - Accent5 3 6" xfId="4237"/>
    <cellStyle name="40% - Accent5 3 6 2" xfId="7829"/>
    <cellStyle name="40% - Accent5 3 6 2 2" xfId="15800"/>
    <cellStyle name="40% - Accent5 3 6 2 3" xfId="23746"/>
    <cellStyle name="40% - Accent5 3 6 3" xfId="12262"/>
    <cellStyle name="40% - Accent5 3 6 4" xfId="20217"/>
    <cellStyle name="40% - Accent5 3 7" xfId="6057"/>
    <cellStyle name="40% - Accent5 3 7 2" xfId="14041"/>
    <cellStyle name="40% - Accent5 3 7 3" xfId="21989"/>
    <cellStyle name="40% - Accent5 3 8" xfId="9610"/>
    <cellStyle name="40% - Accent5 3 8 2" xfId="17568"/>
    <cellStyle name="40% - Accent5 3 8 3" xfId="25512"/>
    <cellStyle name="40% - Accent5 3 9" xfId="10506"/>
    <cellStyle name="40% - Accent5 3_Exh G" xfId="3233"/>
    <cellStyle name="40% - Accent5 4" xfId="562"/>
    <cellStyle name="40% - Accent5 4 10" xfId="18465"/>
    <cellStyle name="40% - Accent5 4 2" xfId="563"/>
    <cellStyle name="40% - Accent5 4 2 2" xfId="564"/>
    <cellStyle name="40% - Accent5 4 2 2 2" xfId="1592"/>
    <cellStyle name="40% - Accent5 4 2 2 2 2" xfId="5122"/>
    <cellStyle name="40% - Accent5 4 2 2 2 2 2" xfId="8713"/>
    <cellStyle name="40% - Accent5 4 2 2 2 2 2 2" xfId="16684"/>
    <cellStyle name="40% - Accent5 4 2 2 2 2 2 3" xfId="24630"/>
    <cellStyle name="40% - Accent5 4 2 2 2 2 3" xfId="13146"/>
    <cellStyle name="40% - Accent5 4 2 2 2 2 4" xfId="21101"/>
    <cellStyle name="40% - Accent5 4 2 2 2 3" xfId="6954"/>
    <cellStyle name="40% - Accent5 4 2 2 2 3 2" xfId="14926"/>
    <cellStyle name="40% - Accent5 4 2 2 2 3 3" xfId="22873"/>
    <cellStyle name="40% - Accent5 4 2 2 2 4" xfId="11390"/>
    <cellStyle name="40% - Accent5 4 2 2 2 5" xfId="19345"/>
    <cellStyle name="40% - Accent5 4 2 2 2_Exh G" xfId="3248"/>
    <cellStyle name="40% - Accent5 4 2 2 3" xfId="4243"/>
    <cellStyle name="40% - Accent5 4 2 2 3 2" xfId="7835"/>
    <cellStyle name="40% - Accent5 4 2 2 3 2 2" xfId="15806"/>
    <cellStyle name="40% - Accent5 4 2 2 3 2 3" xfId="23752"/>
    <cellStyle name="40% - Accent5 4 2 2 3 3" xfId="12268"/>
    <cellStyle name="40% - Accent5 4 2 2 3 4" xfId="20223"/>
    <cellStyle name="40% - Accent5 4 2 2 4" xfId="6063"/>
    <cellStyle name="40% - Accent5 4 2 2 4 2" xfId="14047"/>
    <cellStyle name="40% - Accent5 4 2 2 4 3" xfId="21995"/>
    <cellStyle name="40% - Accent5 4 2 2 5" xfId="9616"/>
    <cellStyle name="40% - Accent5 4 2 2 5 2" xfId="17574"/>
    <cellStyle name="40% - Accent5 4 2 2 5 3" xfId="25518"/>
    <cellStyle name="40% - Accent5 4 2 2 6" xfId="10512"/>
    <cellStyle name="40% - Accent5 4 2 2 7" xfId="18467"/>
    <cellStyle name="40% - Accent5 4 2 2_Exh G" xfId="3247"/>
    <cellStyle name="40% - Accent5 4 2 3" xfId="988"/>
    <cellStyle name="40% - Accent5 4 2 3 2" xfId="1904"/>
    <cellStyle name="40% - Accent5 4 2 3 2 2" xfId="5422"/>
    <cellStyle name="40% - Accent5 4 2 3 2 2 2" xfId="9013"/>
    <cellStyle name="40% - Accent5 4 2 3 2 2 2 2" xfId="16984"/>
    <cellStyle name="40% - Accent5 4 2 3 2 2 2 3" xfId="24930"/>
    <cellStyle name="40% - Accent5 4 2 3 2 2 3" xfId="13446"/>
    <cellStyle name="40% - Accent5 4 2 3 2 2 4" xfId="21401"/>
    <cellStyle name="40% - Accent5 4 2 3 2 3" xfId="7254"/>
    <cellStyle name="40% - Accent5 4 2 3 2 3 2" xfId="15226"/>
    <cellStyle name="40% - Accent5 4 2 3 2 3 3" xfId="23173"/>
    <cellStyle name="40% - Accent5 4 2 3 2 4" xfId="11690"/>
    <cellStyle name="40% - Accent5 4 2 3 2 5" xfId="19645"/>
    <cellStyle name="40% - Accent5 4 2 3 2_Exh G" xfId="3250"/>
    <cellStyle name="40% - Accent5 4 2 3 3" xfId="4543"/>
    <cellStyle name="40% - Accent5 4 2 3 3 2" xfId="8135"/>
    <cellStyle name="40% - Accent5 4 2 3 3 2 2" xfId="16106"/>
    <cellStyle name="40% - Accent5 4 2 3 3 2 3" xfId="24052"/>
    <cellStyle name="40% - Accent5 4 2 3 3 3" xfId="12568"/>
    <cellStyle name="40% - Accent5 4 2 3 3 4" xfId="20523"/>
    <cellStyle name="40% - Accent5 4 2 3 4" xfId="6373"/>
    <cellStyle name="40% - Accent5 4 2 3 4 2" xfId="14348"/>
    <cellStyle name="40% - Accent5 4 2 3 4 3" xfId="22295"/>
    <cellStyle name="40% - Accent5 4 2 3 5" xfId="9916"/>
    <cellStyle name="40% - Accent5 4 2 3 5 2" xfId="17874"/>
    <cellStyle name="40% - Accent5 4 2 3 5 3" xfId="25818"/>
    <cellStyle name="40% - Accent5 4 2 3 6" xfId="10812"/>
    <cellStyle name="40% - Accent5 4 2 3 7" xfId="18767"/>
    <cellStyle name="40% - Accent5 4 2 3_Exh G" xfId="3249"/>
    <cellStyle name="40% - Accent5 4 2 4" xfId="1591"/>
    <cellStyle name="40% - Accent5 4 2 4 2" xfId="5121"/>
    <cellStyle name="40% - Accent5 4 2 4 2 2" xfId="8712"/>
    <cellStyle name="40% - Accent5 4 2 4 2 2 2" xfId="16683"/>
    <cellStyle name="40% - Accent5 4 2 4 2 2 3" xfId="24629"/>
    <cellStyle name="40% - Accent5 4 2 4 2 3" xfId="13145"/>
    <cellStyle name="40% - Accent5 4 2 4 2 4" xfId="21100"/>
    <cellStyle name="40% - Accent5 4 2 4 3" xfId="6953"/>
    <cellStyle name="40% - Accent5 4 2 4 3 2" xfId="14925"/>
    <cellStyle name="40% - Accent5 4 2 4 3 3" xfId="22872"/>
    <cellStyle name="40% - Accent5 4 2 4 4" xfId="11389"/>
    <cellStyle name="40% - Accent5 4 2 4 5" xfId="19344"/>
    <cellStyle name="40% - Accent5 4 2 4_Exh G" xfId="3251"/>
    <cellStyle name="40% - Accent5 4 2 5" xfId="4242"/>
    <cellStyle name="40% - Accent5 4 2 5 2" xfId="7834"/>
    <cellStyle name="40% - Accent5 4 2 5 2 2" xfId="15805"/>
    <cellStyle name="40% - Accent5 4 2 5 2 3" xfId="23751"/>
    <cellStyle name="40% - Accent5 4 2 5 3" xfId="12267"/>
    <cellStyle name="40% - Accent5 4 2 5 4" xfId="20222"/>
    <cellStyle name="40% - Accent5 4 2 6" xfId="6062"/>
    <cellStyle name="40% - Accent5 4 2 6 2" xfId="14046"/>
    <cellStyle name="40% - Accent5 4 2 6 3" xfId="21994"/>
    <cellStyle name="40% - Accent5 4 2 7" xfId="9615"/>
    <cellStyle name="40% - Accent5 4 2 7 2" xfId="17573"/>
    <cellStyle name="40% - Accent5 4 2 7 3" xfId="25517"/>
    <cellStyle name="40% - Accent5 4 2 8" xfId="10511"/>
    <cellStyle name="40% - Accent5 4 2 9" xfId="18466"/>
    <cellStyle name="40% - Accent5 4 2_Exh G" xfId="3246"/>
    <cellStyle name="40% - Accent5 4 3" xfId="565"/>
    <cellStyle name="40% - Accent5 4 3 2" xfId="1593"/>
    <cellStyle name="40% - Accent5 4 3 2 2" xfId="5123"/>
    <cellStyle name="40% - Accent5 4 3 2 2 2" xfId="8714"/>
    <cellStyle name="40% - Accent5 4 3 2 2 2 2" xfId="16685"/>
    <cellStyle name="40% - Accent5 4 3 2 2 2 3" xfId="24631"/>
    <cellStyle name="40% - Accent5 4 3 2 2 3" xfId="13147"/>
    <cellStyle name="40% - Accent5 4 3 2 2 4" xfId="21102"/>
    <cellStyle name="40% - Accent5 4 3 2 3" xfId="6955"/>
    <cellStyle name="40% - Accent5 4 3 2 3 2" xfId="14927"/>
    <cellStyle name="40% - Accent5 4 3 2 3 3" xfId="22874"/>
    <cellStyle name="40% - Accent5 4 3 2 4" xfId="11391"/>
    <cellStyle name="40% - Accent5 4 3 2 5" xfId="19346"/>
    <cellStyle name="40% - Accent5 4 3 2_Exh G" xfId="3253"/>
    <cellStyle name="40% - Accent5 4 3 3" xfId="4244"/>
    <cellStyle name="40% - Accent5 4 3 3 2" xfId="7836"/>
    <cellStyle name="40% - Accent5 4 3 3 2 2" xfId="15807"/>
    <cellStyle name="40% - Accent5 4 3 3 2 3" xfId="23753"/>
    <cellStyle name="40% - Accent5 4 3 3 3" xfId="12269"/>
    <cellStyle name="40% - Accent5 4 3 3 4" xfId="20224"/>
    <cellStyle name="40% - Accent5 4 3 4" xfId="6064"/>
    <cellStyle name="40% - Accent5 4 3 4 2" xfId="14048"/>
    <cellStyle name="40% - Accent5 4 3 4 3" xfId="21996"/>
    <cellStyle name="40% - Accent5 4 3 5" xfId="9617"/>
    <cellStyle name="40% - Accent5 4 3 5 2" xfId="17575"/>
    <cellStyle name="40% - Accent5 4 3 5 3" xfId="25519"/>
    <cellStyle name="40% - Accent5 4 3 6" xfId="10513"/>
    <cellStyle name="40% - Accent5 4 3 7" xfId="18468"/>
    <cellStyle name="40% - Accent5 4 3_Exh G" xfId="3252"/>
    <cellStyle name="40% - Accent5 4 4" xfId="987"/>
    <cellStyle name="40% - Accent5 4 4 2" xfId="1903"/>
    <cellStyle name="40% - Accent5 4 4 2 2" xfId="5421"/>
    <cellStyle name="40% - Accent5 4 4 2 2 2" xfId="9012"/>
    <cellStyle name="40% - Accent5 4 4 2 2 2 2" xfId="16983"/>
    <cellStyle name="40% - Accent5 4 4 2 2 2 3" xfId="24929"/>
    <cellStyle name="40% - Accent5 4 4 2 2 3" xfId="13445"/>
    <cellStyle name="40% - Accent5 4 4 2 2 4" xfId="21400"/>
    <cellStyle name="40% - Accent5 4 4 2 3" xfId="7253"/>
    <cellStyle name="40% - Accent5 4 4 2 3 2" xfId="15225"/>
    <cellStyle name="40% - Accent5 4 4 2 3 3" xfId="23172"/>
    <cellStyle name="40% - Accent5 4 4 2 4" xfId="11689"/>
    <cellStyle name="40% - Accent5 4 4 2 5" xfId="19644"/>
    <cellStyle name="40% - Accent5 4 4 2_Exh G" xfId="3255"/>
    <cellStyle name="40% - Accent5 4 4 3" xfId="4542"/>
    <cellStyle name="40% - Accent5 4 4 3 2" xfId="8134"/>
    <cellStyle name="40% - Accent5 4 4 3 2 2" xfId="16105"/>
    <cellStyle name="40% - Accent5 4 4 3 2 3" xfId="24051"/>
    <cellStyle name="40% - Accent5 4 4 3 3" xfId="12567"/>
    <cellStyle name="40% - Accent5 4 4 3 4" xfId="20522"/>
    <cellStyle name="40% - Accent5 4 4 4" xfId="6372"/>
    <cellStyle name="40% - Accent5 4 4 4 2" xfId="14347"/>
    <cellStyle name="40% - Accent5 4 4 4 3" xfId="22294"/>
    <cellStyle name="40% - Accent5 4 4 5" xfId="9915"/>
    <cellStyle name="40% - Accent5 4 4 5 2" xfId="17873"/>
    <cellStyle name="40% - Accent5 4 4 5 3" xfId="25817"/>
    <cellStyle name="40% - Accent5 4 4 6" xfId="10811"/>
    <cellStyle name="40% - Accent5 4 4 7" xfId="18766"/>
    <cellStyle name="40% - Accent5 4 4_Exh G" xfId="3254"/>
    <cellStyle name="40% - Accent5 4 5" xfId="1590"/>
    <cellStyle name="40% - Accent5 4 5 2" xfId="5120"/>
    <cellStyle name="40% - Accent5 4 5 2 2" xfId="8711"/>
    <cellStyle name="40% - Accent5 4 5 2 2 2" xfId="16682"/>
    <cellStyle name="40% - Accent5 4 5 2 2 3" xfId="24628"/>
    <cellStyle name="40% - Accent5 4 5 2 3" xfId="13144"/>
    <cellStyle name="40% - Accent5 4 5 2 4" xfId="21099"/>
    <cellStyle name="40% - Accent5 4 5 3" xfId="6952"/>
    <cellStyle name="40% - Accent5 4 5 3 2" xfId="14924"/>
    <cellStyle name="40% - Accent5 4 5 3 3" xfId="22871"/>
    <cellStyle name="40% - Accent5 4 5 4" xfId="11388"/>
    <cellStyle name="40% - Accent5 4 5 5" xfId="19343"/>
    <cellStyle name="40% - Accent5 4 5_Exh G" xfId="3256"/>
    <cellStyle name="40% - Accent5 4 6" xfId="4241"/>
    <cellStyle name="40% - Accent5 4 6 2" xfId="7833"/>
    <cellStyle name="40% - Accent5 4 6 2 2" xfId="15804"/>
    <cellStyle name="40% - Accent5 4 6 2 3" xfId="23750"/>
    <cellStyle name="40% - Accent5 4 6 3" xfId="12266"/>
    <cellStyle name="40% - Accent5 4 6 4" xfId="20221"/>
    <cellStyle name="40% - Accent5 4 7" xfId="6061"/>
    <cellStyle name="40% - Accent5 4 7 2" xfId="14045"/>
    <cellStyle name="40% - Accent5 4 7 3" xfId="21993"/>
    <cellStyle name="40% - Accent5 4 8" xfId="9614"/>
    <cellStyle name="40% - Accent5 4 8 2" xfId="17572"/>
    <cellStyle name="40% - Accent5 4 8 3" xfId="25516"/>
    <cellStyle name="40% - Accent5 4 9" xfId="10510"/>
    <cellStyle name="40% - Accent5 4_Exh G" xfId="3245"/>
    <cellStyle name="40% - Accent5 5" xfId="566"/>
    <cellStyle name="40% - Accent5 5 10" xfId="18469"/>
    <cellStyle name="40% - Accent5 5 2" xfId="567"/>
    <cellStyle name="40% - Accent5 5 2 2" xfId="568"/>
    <cellStyle name="40% - Accent5 5 2 2 2" xfId="1596"/>
    <cellStyle name="40% - Accent5 5 2 2 2 2" xfId="5126"/>
    <cellStyle name="40% - Accent5 5 2 2 2 2 2" xfId="8717"/>
    <cellStyle name="40% - Accent5 5 2 2 2 2 2 2" xfId="16688"/>
    <cellStyle name="40% - Accent5 5 2 2 2 2 2 3" xfId="24634"/>
    <cellStyle name="40% - Accent5 5 2 2 2 2 3" xfId="13150"/>
    <cellStyle name="40% - Accent5 5 2 2 2 2 4" xfId="21105"/>
    <cellStyle name="40% - Accent5 5 2 2 2 3" xfId="6958"/>
    <cellStyle name="40% - Accent5 5 2 2 2 3 2" xfId="14930"/>
    <cellStyle name="40% - Accent5 5 2 2 2 3 3" xfId="22877"/>
    <cellStyle name="40% - Accent5 5 2 2 2 4" xfId="11394"/>
    <cellStyle name="40% - Accent5 5 2 2 2 5" xfId="19349"/>
    <cellStyle name="40% - Accent5 5 2 2 2_Exh G" xfId="3260"/>
    <cellStyle name="40% - Accent5 5 2 2 3" xfId="4247"/>
    <cellStyle name="40% - Accent5 5 2 2 3 2" xfId="7839"/>
    <cellStyle name="40% - Accent5 5 2 2 3 2 2" xfId="15810"/>
    <cellStyle name="40% - Accent5 5 2 2 3 2 3" xfId="23756"/>
    <cellStyle name="40% - Accent5 5 2 2 3 3" xfId="12272"/>
    <cellStyle name="40% - Accent5 5 2 2 3 4" xfId="20227"/>
    <cellStyle name="40% - Accent5 5 2 2 4" xfId="6067"/>
    <cellStyle name="40% - Accent5 5 2 2 4 2" xfId="14051"/>
    <cellStyle name="40% - Accent5 5 2 2 4 3" xfId="21999"/>
    <cellStyle name="40% - Accent5 5 2 2 5" xfId="9620"/>
    <cellStyle name="40% - Accent5 5 2 2 5 2" xfId="17578"/>
    <cellStyle name="40% - Accent5 5 2 2 5 3" xfId="25522"/>
    <cellStyle name="40% - Accent5 5 2 2 6" xfId="10516"/>
    <cellStyle name="40% - Accent5 5 2 2 7" xfId="18471"/>
    <cellStyle name="40% - Accent5 5 2 2_Exh G" xfId="3259"/>
    <cellStyle name="40% - Accent5 5 2 3" xfId="1595"/>
    <cellStyle name="40% - Accent5 5 2 3 2" xfId="5125"/>
    <cellStyle name="40% - Accent5 5 2 3 2 2" xfId="8716"/>
    <cellStyle name="40% - Accent5 5 2 3 2 2 2" xfId="16687"/>
    <cellStyle name="40% - Accent5 5 2 3 2 2 3" xfId="24633"/>
    <cellStyle name="40% - Accent5 5 2 3 2 3" xfId="13149"/>
    <cellStyle name="40% - Accent5 5 2 3 2 4" xfId="21104"/>
    <cellStyle name="40% - Accent5 5 2 3 3" xfId="6957"/>
    <cellStyle name="40% - Accent5 5 2 3 3 2" xfId="14929"/>
    <cellStyle name="40% - Accent5 5 2 3 3 3" xfId="22876"/>
    <cellStyle name="40% - Accent5 5 2 3 4" xfId="11393"/>
    <cellStyle name="40% - Accent5 5 2 3 5" xfId="19348"/>
    <cellStyle name="40% - Accent5 5 2 3_Exh G" xfId="3261"/>
    <cellStyle name="40% - Accent5 5 2 4" xfId="4246"/>
    <cellStyle name="40% - Accent5 5 2 4 2" xfId="7838"/>
    <cellStyle name="40% - Accent5 5 2 4 2 2" xfId="15809"/>
    <cellStyle name="40% - Accent5 5 2 4 2 3" xfId="23755"/>
    <cellStyle name="40% - Accent5 5 2 4 3" xfId="12271"/>
    <cellStyle name="40% - Accent5 5 2 4 4" xfId="20226"/>
    <cellStyle name="40% - Accent5 5 2 5" xfId="6066"/>
    <cellStyle name="40% - Accent5 5 2 5 2" xfId="14050"/>
    <cellStyle name="40% - Accent5 5 2 5 3" xfId="21998"/>
    <cellStyle name="40% - Accent5 5 2 6" xfId="9619"/>
    <cellStyle name="40% - Accent5 5 2 6 2" xfId="17577"/>
    <cellStyle name="40% - Accent5 5 2 6 3" xfId="25521"/>
    <cellStyle name="40% - Accent5 5 2 7" xfId="10515"/>
    <cellStyle name="40% - Accent5 5 2 8" xfId="18470"/>
    <cellStyle name="40% - Accent5 5 2_Exh G" xfId="3258"/>
    <cellStyle name="40% - Accent5 5 3" xfId="569"/>
    <cellStyle name="40% - Accent5 5 3 2" xfId="1597"/>
    <cellStyle name="40% - Accent5 5 3 2 2" xfId="5127"/>
    <cellStyle name="40% - Accent5 5 3 2 2 2" xfId="8718"/>
    <cellStyle name="40% - Accent5 5 3 2 2 2 2" xfId="16689"/>
    <cellStyle name="40% - Accent5 5 3 2 2 2 3" xfId="24635"/>
    <cellStyle name="40% - Accent5 5 3 2 2 3" xfId="13151"/>
    <cellStyle name="40% - Accent5 5 3 2 2 4" xfId="21106"/>
    <cellStyle name="40% - Accent5 5 3 2 3" xfId="6959"/>
    <cellStyle name="40% - Accent5 5 3 2 3 2" xfId="14931"/>
    <cellStyle name="40% - Accent5 5 3 2 3 3" xfId="22878"/>
    <cellStyle name="40% - Accent5 5 3 2 4" xfId="11395"/>
    <cellStyle name="40% - Accent5 5 3 2 5" xfId="19350"/>
    <cellStyle name="40% - Accent5 5 3 2_Exh G" xfId="3263"/>
    <cellStyle name="40% - Accent5 5 3 3" xfId="4248"/>
    <cellStyle name="40% - Accent5 5 3 3 2" xfId="7840"/>
    <cellStyle name="40% - Accent5 5 3 3 2 2" xfId="15811"/>
    <cellStyle name="40% - Accent5 5 3 3 2 3" xfId="23757"/>
    <cellStyle name="40% - Accent5 5 3 3 3" xfId="12273"/>
    <cellStyle name="40% - Accent5 5 3 3 4" xfId="20228"/>
    <cellStyle name="40% - Accent5 5 3 4" xfId="6068"/>
    <cellStyle name="40% - Accent5 5 3 4 2" xfId="14052"/>
    <cellStyle name="40% - Accent5 5 3 4 3" xfId="22000"/>
    <cellStyle name="40% - Accent5 5 3 5" xfId="9621"/>
    <cellStyle name="40% - Accent5 5 3 5 2" xfId="17579"/>
    <cellStyle name="40% - Accent5 5 3 5 3" xfId="25523"/>
    <cellStyle name="40% - Accent5 5 3 6" xfId="10517"/>
    <cellStyle name="40% - Accent5 5 3 7" xfId="18472"/>
    <cellStyle name="40% - Accent5 5 3_Exh G" xfId="3262"/>
    <cellStyle name="40% - Accent5 5 4" xfId="989"/>
    <cellStyle name="40% - Accent5 5 5" xfId="1594"/>
    <cellStyle name="40% - Accent5 5 5 2" xfId="5124"/>
    <cellStyle name="40% - Accent5 5 5 2 2" xfId="8715"/>
    <cellStyle name="40% - Accent5 5 5 2 2 2" xfId="16686"/>
    <cellStyle name="40% - Accent5 5 5 2 2 3" xfId="24632"/>
    <cellStyle name="40% - Accent5 5 5 2 3" xfId="13148"/>
    <cellStyle name="40% - Accent5 5 5 2 4" xfId="21103"/>
    <cellStyle name="40% - Accent5 5 5 3" xfId="6956"/>
    <cellStyle name="40% - Accent5 5 5 3 2" xfId="14928"/>
    <cellStyle name="40% - Accent5 5 5 3 3" xfId="22875"/>
    <cellStyle name="40% - Accent5 5 5 4" xfId="11392"/>
    <cellStyle name="40% - Accent5 5 5 5" xfId="19347"/>
    <cellStyle name="40% - Accent5 5 5_Exh G" xfId="3264"/>
    <cellStyle name="40% - Accent5 5 6" xfId="4245"/>
    <cellStyle name="40% - Accent5 5 6 2" xfId="7837"/>
    <cellStyle name="40% - Accent5 5 6 2 2" xfId="15808"/>
    <cellStyle name="40% - Accent5 5 6 2 3" xfId="23754"/>
    <cellStyle name="40% - Accent5 5 6 3" xfId="12270"/>
    <cellStyle name="40% - Accent5 5 6 4" xfId="20225"/>
    <cellStyle name="40% - Accent5 5 7" xfId="6065"/>
    <cellStyle name="40% - Accent5 5 7 2" xfId="14049"/>
    <cellStyle name="40% - Accent5 5 7 3" xfId="21997"/>
    <cellStyle name="40% - Accent5 5 8" xfId="9618"/>
    <cellStyle name="40% - Accent5 5 8 2" xfId="17576"/>
    <cellStyle name="40% - Accent5 5 8 3" xfId="25520"/>
    <cellStyle name="40% - Accent5 5 9" xfId="10514"/>
    <cellStyle name="40% - Accent5 5_Exh G" xfId="3257"/>
    <cellStyle name="40% - Accent5 6" xfId="570"/>
    <cellStyle name="40% - Accent5 6 10" xfId="18473"/>
    <cellStyle name="40% - Accent5 6 2" xfId="571"/>
    <cellStyle name="40% - Accent5 6 2 2" xfId="572"/>
    <cellStyle name="40% - Accent5 6 2 2 2" xfId="1600"/>
    <cellStyle name="40% - Accent5 6 2 2 2 2" xfId="5130"/>
    <cellStyle name="40% - Accent5 6 2 2 2 2 2" xfId="8721"/>
    <cellStyle name="40% - Accent5 6 2 2 2 2 2 2" xfId="16692"/>
    <cellStyle name="40% - Accent5 6 2 2 2 2 2 3" xfId="24638"/>
    <cellStyle name="40% - Accent5 6 2 2 2 2 3" xfId="13154"/>
    <cellStyle name="40% - Accent5 6 2 2 2 2 4" xfId="21109"/>
    <cellStyle name="40% - Accent5 6 2 2 2 3" xfId="6962"/>
    <cellStyle name="40% - Accent5 6 2 2 2 3 2" xfId="14934"/>
    <cellStyle name="40% - Accent5 6 2 2 2 3 3" xfId="22881"/>
    <cellStyle name="40% - Accent5 6 2 2 2 4" xfId="11398"/>
    <cellStyle name="40% - Accent5 6 2 2 2 5" xfId="19353"/>
    <cellStyle name="40% - Accent5 6 2 2 2_Exh G" xfId="3268"/>
    <cellStyle name="40% - Accent5 6 2 2 3" xfId="4251"/>
    <cellStyle name="40% - Accent5 6 2 2 3 2" xfId="7843"/>
    <cellStyle name="40% - Accent5 6 2 2 3 2 2" xfId="15814"/>
    <cellStyle name="40% - Accent5 6 2 2 3 2 3" xfId="23760"/>
    <cellStyle name="40% - Accent5 6 2 2 3 3" xfId="12276"/>
    <cellStyle name="40% - Accent5 6 2 2 3 4" xfId="20231"/>
    <cellStyle name="40% - Accent5 6 2 2 4" xfId="6071"/>
    <cellStyle name="40% - Accent5 6 2 2 4 2" xfId="14055"/>
    <cellStyle name="40% - Accent5 6 2 2 4 3" xfId="22003"/>
    <cellStyle name="40% - Accent5 6 2 2 5" xfId="9624"/>
    <cellStyle name="40% - Accent5 6 2 2 5 2" xfId="17582"/>
    <cellStyle name="40% - Accent5 6 2 2 5 3" xfId="25526"/>
    <cellStyle name="40% - Accent5 6 2 2 6" xfId="10520"/>
    <cellStyle name="40% - Accent5 6 2 2 7" xfId="18475"/>
    <cellStyle name="40% - Accent5 6 2 2_Exh G" xfId="3267"/>
    <cellStyle name="40% - Accent5 6 2 3" xfId="1599"/>
    <cellStyle name="40% - Accent5 6 2 3 2" xfId="5129"/>
    <cellStyle name="40% - Accent5 6 2 3 2 2" xfId="8720"/>
    <cellStyle name="40% - Accent5 6 2 3 2 2 2" xfId="16691"/>
    <cellStyle name="40% - Accent5 6 2 3 2 2 3" xfId="24637"/>
    <cellStyle name="40% - Accent5 6 2 3 2 3" xfId="13153"/>
    <cellStyle name="40% - Accent5 6 2 3 2 4" xfId="21108"/>
    <cellStyle name="40% - Accent5 6 2 3 3" xfId="6961"/>
    <cellStyle name="40% - Accent5 6 2 3 3 2" xfId="14933"/>
    <cellStyle name="40% - Accent5 6 2 3 3 3" xfId="22880"/>
    <cellStyle name="40% - Accent5 6 2 3 4" xfId="11397"/>
    <cellStyle name="40% - Accent5 6 2 3 5" xfId="19352"/>
    <cellStyle name="40% - Accent5 6 2 3_Exh G" xfId="3269"/>
    <cellStyle name="40% - Accent5 6 2 4" xfId="4250"/>
    <cellStyle name="40% - Accent5 6 2 4 2" xfId="7842"/>
    <cellStyle name="40% - Accent5 6 2 4 2 2" xfId="15813"/>
    <cellStyle name="40% - Accent5 6 2 4 2 3" xfId="23759"/>
    <cellStyle name="40% - Accent5 6 2 4 3" xfId="12275"/>
    <cellStyle name="40% - Accent5 6 2 4 4" xfId="20230"/>
    <cellStyle name="40% - Accent5 6 2 5" xfId="6070"/>
    <cellStyle name="40% - Accent5 6 2 5 2" xfId="14054"/>
    <cellStyle name="40% - Accent5 6 2 5 3" xfId="22002"/>
    <cellStyle name="40% - Accent5 6 2 6" xfId="9623"/>
    <cellStyle name="40% - Accent5 6 2 6 2" xfId="17581"/>
    <cellStyle name="40% - Accent5 6 2 6 3" xfId="25525"/>
    <cellStyle name="40% - Accent5 6 2 7" xfId="10519"/>
    <cellStyle name="40% - Accent5 6 2 8" xfId="18474"/>
    <cellStyle name="40% - Accent5 6 2_Exh G" xfId="3266"/>
    <cellStyle name="40% - Accent5 6 3" xfId="573"/>
    <cellStyle name="40% - Accent5 6 3 2" xfId="1601"/>
    <cellStyle name="40% - Accent5 6 3 2 2" xfId="5131"/>
    <cellStyle name="40% - Accent5 6 3 2 2 2" xfId="8722"/>
    <cellStyle name="40% - Accent5 6 3 2 2 2 2" xfId="16693"/>
    <cellStyle name="40% - Accent5 6 3 2 2 2 3" xfId="24639"/>
    <cellStyle name="40% - Accent5 6 3 2 2 3" xfId="13155"/>
    <cellStyle name="40% - Accent5 6 3 2 2 4" xfId="21110"/>
    <cellStyle name="40% - Accent5 6 3 2 3" xfId="6963"/>
    <cellStyle name="40% - Accent5 6 3 2 3 2" xfId="14935"/>
    <cellStyle name="40% - Accent5 6 3 2 3 3" xfId="22882"/>
    <cellStyle name="40% - Accent5 6 3 2 4" xfId="11399"/>
    <cellStyle name="40% - Accent5 6 3 2 5" xfId="19354"/>
    <cellStyle name="40% - Accent5 6 3 2_Exh G" xfId="3271"/>
    <cellStyle name="40% - Accent5 6 3 3" xfId="4252"/>
    <cellStyle name="40% - Accent5 6 3 3 2" xfId="7844"/>
    <cellStyle name="40% - Accent5 6 3 3 2 2" xfId="15815"/>
    <cellStyle name="40% - Accent5 6 3 3 2 3" xfId="23761"/>
    <cellStyle name="40% - Accent5 6 3 3 3" xfId="12277"/>
    <cellStyle name="40% - Accent5 6 3 3 4" xfId="20232"/>
    <cellStyle name="40% - Accent5 6 3 4" xfId="6072"/>
    <cellStyle name="40% - Accent5 6 3 4 2" xfId="14056"/>
    <cellStyle name="40% - Accent5 6 3 4 3" xfId="22004"/>
    <cellStyle name="40% - Accent5 6 3 5" xfId="9625"/>
    <cellStyle name="40% - Accent5 6 3 5 2" xfId="17583"/>
    <cellStyle name="40% - Accent5 6 3 5 3" xfId="25527"/>
    <cellStyle name="40% - Accent5 6 3 6" xfId="10521"/>
    <cellStyle name="40% - Accent5 6 3 7" xfId="18476"/>
    <cellStyle name="40% - Accent5 6 3_Exh G" xfId="3270"/>
    <cellStyle name="40% - Accent5 6 4" xfId="990"/>
    <cellStyle name="40% - Accent5 6 4 2" xfId="1905"/>
    <cellStyle name="40% - Accent5 6 4 2 2" xfId="5423"/>
    <cellStyle name="40% - Accent5 6 4 2 2 2" xfId="9014"/>
    <cellStyle name="40% - Accent5 6 4 2 2 2 2" xfId="16985"/>
    <cellStyle name="40% - Accent5 6 4 2 2 2 3" xfId="24931"/>
    <cellStyle name="40% - Accent5 6 4 2 2 3" xfId="13447"/>
    <cellStyle name="40% - Accent5 6 4 2 2 4" xfId="21402"/>
    <cellStyle name="40% - Accent5 6 4 2 3" xfId="7255"/>
    <cellStyle name="40% - Accent5 6 4 2 3 2" xfId="15227"/>
    <cellStyle name="40% - Accent5 6 4 2 3 3" xfId="23174"/>
    <cellStyle name="40% - Accent5 6 4 2 4" xfId="11691"/>
    <cellStyle name="40% - Accent5 6 4 2 5" xfId="19646"/>
    <cellStyle name="40% - Accent5 6 4 2_Exh G" xfId="3273"/>
    <cellStyle name="40% - Accent5 6 4 3" xfId="4544"/>
    <cellStyle name="40% - Accent5 6 4 3 2" xfId="8136"/>
    <cellStyle name="40% - Accent5 6 4 3 2 2" xfId="16107"/>
    <cellStyle name="40% - Accent5 6 4 3 2 3" xfId="24053"/>
    <cellStyle name="40% - Accent5 6 4 3 3" xfId="12569"/>
    <cellStyle name="40% - Accent5 6 4 3 4" xfId="20524"/>
    <cellStyle name="40% - Accent5 6 4 4" xfId="6374"/>
    <cellStyle name="40% - Accent5 6 4 4 2" xfId="14349"/>
    <cellStyle name="40% - Accent5 6 4 4 3" xfId="22296"/>
    <cellStyle name="40% - Accent5 6 4 5" xfId="9917"/>
    <cellStyle name="40% - Accent5 6 4 5 2" xfId="17875"/>
    <cellStyle name="40% - Accent5 6 4 5 3" xfId="25819"/>
    <cellStyle name="40% - Accent5 6 4 6" xfId="10813"/>
    <cellStyle name="40% - Accent5 6 4 7" xfId="18768"/>
    <cellStyle name="40% - Accent5 6 4_Exh G" xfId="3272"/>
    <cellStyle name="40% - Accent5 6 5" xfId="1598"/>
    <cellStyle name="40% - Accent5 6 5 2" xfId="5128"/>
    <cellStyle name="40% - Accent5 6 5 2 2" xfId="8719"/>
    <cellStyle name="40% - Accent5 6 5 2 2 2" xfId="16690"/>
    <cellStyle name="40% - Accent5 6 5 2 2 3" xfId="24636"/>
    <cellStyle name="40% - Accent5 6 5 2 3" xfId="13152"/>
    <cellStyle name="40% - Accent5 6 5 2 4" xfId="21107"/>
    <cellStyle name="40% - Accent5 6 5 3" xfId="6960"/>
    <cellStyle name="40% - Accent5 6 5 3 2" xfId="14932"/>
    <cellStyle name="40% - Accent5 6 5 3 3" xfId="22879"/>
    <cellStyle name="40% - Accent5 6 5 4" xfId="11396"/>
    <cellStyle name="40% - Accent5 6 5 5" xfId="19351"/>
    <cellStyle name="40% - Accent5 6 5_Exh G" xfId="3274"/>
    <cellStyle name="40% - Accent5 6 6" xfId="4249"/>
    <cellStyle name="40% - Accent5 6 6 2" xfId="7841"/>
    <cellStyle name="40% - Accent5 6 6 2 2" xfId="15812"/>
    <cellStyle name="40% - Accent5 6 6 2 3" xfId="23758"/>
    <cellStyle name="40% - Accent5 6 6 3" xfId="12274"/>
    <cellStyle name="40% - Accent5 6 6 4" xfId="20229"/>
    <cellStyle name="40% - Accent5 6 7" xfId="6069"/>
    <cellStyle name="40% - Accent5 6 7 2" xfId="14053"/>
    <cellStyle name="40% - Accent5 6 7 3" xfId="22001"/>
    <cellStyle name="40% - Accent5 6 8" xfId="9622"/>
    <cellStyle name="40% - Accent5 6 8 2" xfId="17580"/>
    <cellStyle name="40% - Accent5 6 8 3" xfId="25524"/>
    <cellStyle name="40% - Accent5 6 9" xfId="10518"/>
    <cellStyle name="40% - Accent5 6_Exh G" xfId="3265"/>
    <cellStyle name="40% - Accent5 7" xfId="574"/>
    <cellStyle name="40% - Accent5 7 10" xfId="18477"/>
    <cellStyle name="40% - Accent5 7 2" xfId="575"/>
    <cellStyle name="40% - Accent5 7 2 2" xfId="576"/>
    <cellStyle name="40% - Accent5 7 2 2 2" xfId="1604"/>
    <cellStyle name="40% - Accent5 7 2 2 2 2" xfId="5134"/>
    <cellStyle name="40% - Accent5 7 2 2 2 2 2" xfId="8725"/>
    <cellStyle name="40% - Accent5 7 2 2 2 2 2 2" xfId="16696"/>
    <cellStyle name="40% - Accent5 7 2 2 2 2 2 3" xfId="24642"/>
    <cellStyle name="40% - Accent5 7 2 2 2 2 3" xfId="13158"/>
    <cellStyle name="40% - Accent5 7 2 2 2 2 4" xfId="21113"/>
    <cellStyle name="40% - Accent5 7 2 2 2 3" xfId="6966"/>
    <cellStyle name="40% - Accent5 7 2 2 2 3 2" xfId="14938"/>
    <cellStyle name="40% - Accent5 7 2 2 2 3 3" xfId="22885"/>
    <cellStyle name="40% - Accent5 7 2 2 2 4" xfId="11402"/>
    <cellStyle name="40% - Accent5 7 2 2 2 5" xfId="19357"/>
    <cellStyle name="40% - Accent5 7 2 2 2_Exh G" xfId="3278"/>
    <cellStyle name="40% - Accent5 7 2 2 3" xfId="4255"/>
    <cellStyle name="40% - Accent5 7 2 2 3 2" xfId="7847"/>
    <cellStyle name="40% - Accent5 7 2 2 3 2 2" xfId="15818"/>
    <cellStyle name="40% - Accent5 7 2 2 3 2 3" xfId="23764"/>
    <cellStyle name="40% - Accent5 7 2 2 3 3" xfId="12280"/>
    <cellStyle name="40% - Accent5 7 2 2 3 4" xfId="20235"/>
    <cellStyle name="40% - Accent5 7 2 2 4" xfId="6075"/>
    <cellStyle name="40% - Accent5 7 2 2 4 2" xfId="14059"/>
    <cellStyle name="40% - Accent5 7 2 2 4 3" xfId="22007"/>
    <cellStyle name="40% - Accent5 7 2 2 5" xfId="9628"/>
    <cellStyle name="40% - Accent5 7 2 2 5 2" xfId="17586"/>
    <cellStyle name="40% - Accent5 7 2 2 5 3" xfId="25530"/>
    <cellStyle name="40% - Accent5 7 2 2 6" xfId="10524"/>
    <cellStyle name="40% - Accent5 7 2 2 7" xfId="18479"/>
    <cellStyle name="40% - Accent5 7 2 2_Exh G" xfId="3277"/>
    <cellStyle name="40% - Accent5 7 2 3" xfId="1603"/>
    <cellStyle name="40% - Accent5 7 2 3 2" xfId="5133"/>
    <cellStyle name="40% - Accent5 7 2 3 2 2" xfId="8724"/>
    <cellStyle name="40% - Accent5 7 2 3 2 2 2" xfId="16695"/>
    <cellStyle name="40% - Accent5 7 2 3 2 2 3" xfId="24641"/>
    <cellStyle name="40% - Accent5 7 2 3 2 3" xfId="13157"/>
    <cellStyle name="40% - Accent5 7 2 3 2 4" xfId="21112"/>
    <cellStyle name="40% - Accent5 7 2 3 3" xfId="6965"/>
    <cellStyle name="40% - Accent5 7 2 3 3 2" xfId="14937"/>
    <cellStyle name="40% - Accent5 7 2 3 3 3" xfId="22884"/>
    <cellStyle name="40% - Accent5 7 2 3 4" xfId="11401"/>
    <cellStyle name="40% - Accent5 7 2 3 5" xfId="19356"/>
    <cellStyle name="40% - Accent5 7 2 3_Exh G" xfId="3279"/>
    <cellStyle name="40% - Accent5 7 2 4" xfId="4254"/>
    <cellStyle name="40% - Accent5 7 2 4 2" xfId="7846"/>
    <cellStyle name="40% - Accent5 7 2 4 2 2" xfId="15817"/>
    <cellStyle name="40% - Accent5 7 2 4 2 3" xfId="23763"/>
    <cellStyle name="40% - Accent5 7 2 4 3" xfId="12279"/>
    <cellStyle name="40% - Accent5 7 2 4 4" xfId="20234"/>
    <cellStyle name="40% - Accent5 7 2 5" xfId="6074"/>
    <cellStyle name="40% - Accent5 7 2 5 2" xfId="14058"/>
    <cellStyle name="40% - Accent5 7 2 5 3" xfId="22006"/>
    <cellStyle name="40% - Accent5 7 2 6" xfId="9627"/>
    <cellStyle name="40% - Accent5 7 2 6 2" xfId="17585"/>
    <cellStyle name="40% - Accent5 7 2 6 3" xfId="25529"/>
    <cellStyle name="40% - Accent5 7 2 7" xfId="10523"/>
    <cellStyle name="40% - Accent5 7 2 8" xfId="18478"/>
    <cellStyle name="40% - Accent5 7 2_Exh G" xfId="3276"/>
    <cellStyle name="40% - Accent5 7 3" xfId="577"/>
    <cellStyle name="40% - Accent5 7 3 2" xfId="1605"/>
    <cellStyle name="40% - Accent5 7 3 2 2" xfId="5135"/>
    <cellStyle name="40% - Accent5 7 3 2 2 2" xfId="8726"/>
    <cellStyle name="40% - Accent5 7 3 2 2 2 2" xfId="16697"/>
    <cellStyle name="40% - Accent5 7 3 2 2 2 3" xfId="24643"/>
    <cellStyle name="40% - Accent5 7 3 2 2 3" xfId="13159"/>
    <cellStyle name="40% - Accent5 7 3 2 2 4" xfId="21114"/>
    <cellStyle name="40% - Accent5 7 3 2 3" xfId="6967"/>
    <cellStyle name="40% - Accent5 7 3 2 3 2" xfId="14939"/>
    <cellStyle name="40% - Accent5 7 3 2 3 3" xfId="22886"/>
    <cellStyle name="40% - Accent5 7 3 2 4" xfId="11403"/>
    <cellStyle name="40% - Accent5 7 3 2 5" xfId="19358"/>
    <cellStyle name="40% - Accent5 7 3 2_Exh G" xfId="3281"/>
    <cellStyle name="40% - Accent5 7 3 3" xfId="4256"/>
    <cellStyle name="40% - Accent5 7 3 3 2" xfId="7848"/>
    <cellStyle name="40% - Accent5 7 3 3 2 2" xfId="15819"/>
    <cellStyle name="40% - Accent5 7 3 3 2 3" xfId="23765"/>
    <cellStyle name="40% - Accent5 7 3 3 3" xfId="12281"/>
    <cellStyle name="40% - Accent5 7 3 3 4" xfId="20236"/>
    <cellStyle name="40% - Accent5 7 3 4" xfId="6076"/>
    <cellStyle name="40% - Accent5 7 3 4 2" xfId="14060"/>
    <cellStyle name="40% - Accent5 7 3 4 3" xfId="22008"/>
    <cellStyle name="40% - Accent5 7 3 5" xfId="9629"/>
    <cellStyle name="40% - Accent5 7 3 5 2" xfId="17587"/>
    <cellStyle name="40% - Accent5 7 3 5 3" xfId="25531"/>
    <cellStyle name="40% - Accent5 7 3 6" xfId="10525"/>
    <cellStyle name="40% - Accent5 7 3 7" xfId="18480"/>
    <cellStyle name="40% - Accent5 7 3_Exh G" xfId="3280"/>
    <cellStyle name="40% - Accent5 7 4" xfId="991"/>
    <cellStyle name="40% - Accent5 7 4 2" xfId="1906"/>
    <cellStyle name="40% - Accent5 7 4 2 2" xfId="5424"/>
    <cellStyle name="40% - Accent5 7 4 2 2 2" xfId="9015"/>
    <cellStyle name="40% - Accent5 7 4 2 2 2 2" xfId="16986"/>
    <cellStyle name="40% - Accent5 7 4 2 2 2 3" xfId="24932"/>
    <cellStyle name="40% - Accent5 7 4 2 2 3" xfId="13448"/>
    <cellStyle name="40% - Accent5 7 4 2 2 4" xfId="21403"/>
    <cellStyle name="40% - Accent5 7 4 2 3" xfId="7256"/>
    <cellStyle name="40% - Accent5 7 4 2 3 2" xfId="15228"/>
    <cellStyle name="40% - Accent5 7 4 2 3 3" xfId="23175"/>
    <cellStyle name="40% - Accent5 7 4 2 4" xfId="11692"/>
    <cellStyle name="40% - Accent5 7 4 2 5" xfId="19647"/>
    <cellStyle name="40% - Accent5 7 4 2_Exh G" xfId="3283"/>
    <cellStyle name="40% - Accent5 7 4 3" xfId="4545"/>
    <cellStyle name="40% - Accent5 7 4 3 2" xfId="8137"/>
    <cellStyle name="40% - Accent5 7 4 3 2 2" xfId="16108"/>
    <cellStyle name="40% - Accent5 7 4 3 2 3" xfId="24054"/>
    <cellStyle name="40% - Accent5 7 4 3 3" xfId="12570"/>
    <cellStyle name="40% - Accent5 7 4 3 4" xfId="20525"/>
    <cellStyle name="40% - Accent5 7 4 4" xfId="6375"/>
    <cellStyle name="40% - Accent5 7 4 4 2" xfId="14350"/>
    <cellStyle name="40% - Accent5 7 4 4 3" xfId="22297"/>
    <cellStyle name="40% - Accent5 7 4 5" xfId="9918"/>
    <cellStyle name="40% - Accent5 7 4 5 2" xfId="17876"/>
    <cellStyle name="40% - Accent5 7 4 5 3" xfId="25820"/>
    <cellStyle name="40% - Accent5 7 4 6" xfId="10814"/>
    <cellStyle name="40% - Accent5 7 4 7" xfId="18769"/>
    <cellStyle name="40% - Accent5 7 4_Exh G" xfId="3282"/>
    <cellStyle name="40% - Accent5 7 5" xfId="1602"/>
    <cellStyle name="40% - Accent5 7 5 2" xfId="5132"/>
    <cellStyle name="40% - Accent5 7 5 2 2" xfId="8723"/>
    <cellStyle name="40% - Accent5 7 5 2 2 2" xfId="16694"/>
    <cellStyle name="40% - Accent5 7 5 2 2 3" xfId="24640"/>
    <cellStyle name="40% - Accent5 7 5 2 3" xfId="13156"/>
    <cellStyle name="40% - Accent5 7 5 2 4" xfId="21111"/>
    <cellStyle name="40% - Accent5 7 5 3" xfId="6964"/>
    <cellStyle name="40% - Accent5 7 5 3 2" xfId="14936"/>
    <cellStyle name="40% - Accent5 7 5 3 3" xfId="22883"/>
    <cellStyle name="40% - Accent5 7 5 4" xfId="11400"/>
    <cellStyle name="40% - Accent5 7 5 5" xfId="19355"/>
    <cellStyle name="40% - Accent5 7 5_Exh G" xfId="3284"/>
    <cellStyle name="40% - Accent5 7 6" xfId="4253"/>
    <cellStyle name="40% - Accent5 7 6 2" xfId="7845"/>
    <cellStyle name="40% - Accent5 7 6 2 2" xfId="15816"/>
    <cellStyle name="40% - Accent5 7 6 2 3" xfId="23762"/>
    <cellStyle name="40% - Accent5 7 6 3" xfId="12278"/>
    <cellStyle name="40% - Accent5 7 6 4" xfId="20233"/>
    <cellStyle name="40% - Accent5 7 7" xfId="6073"/>
    <cellStyle name="40% - Accent5 7 7 2" xfId="14057"/>
    <cellStyle name="40% - Accent5 7 7 3" xfId="22005"/>
    <cellStyle name="40% - Accent5 7 8" xfId="9626"/>
    <cellStyle name="40% - Accent5 7 8 2" xfId="17584"/>
    <cellStyle name="40% - Accent5 7 8 3" xfId="25528"/>
    <cellStyle name="40% - Accent5 7 9" xfId="10522"/>
    <cellStyle name="40% - Accent5 7_Exh G" xfId="3275"/>
    <cellStyle name="40% - Accent5 8" xfId="578"/>
    <cellStyle name="40% - Accent5 8 10" xfId="18481"/>
    <cellStyle name="40% - Accent5 8 2" xfId="579"/>
    <cellStyle name="40% - Accent5 8 2 2" xfId="580"/>
    <cellStyle name="40% - Accent5 8 2 2 2" xfId="1608"/>
    <cellStyle name="40% - Accent5 8 2 2 2 2" xfId="5138"/>
    <cellStyle name="40% - Accent5 8 2 2 2 2 2" xfId="8729"/>
    <cellStyle name="40% - Accent5 8 2 2 2 2 2 2" xfId="16700"/>
    <cellStyle name="40% - Accent5 8 2 2 2 2 2 3" xfId="24646"/>
    <cellStyle name="40% - Accent5 8 2 2 2 2 3" xfId="13162"/>
    <cellStyle name="40% - Accent5 8 2 2 2 2 4" xfId="21117"/>
    <cellStyle name="40% - Accent5 8 2 2 2 3" xfId="6970"/>
    <cellStyle name="40% - Accent5 8 2 2 2 3 2" xfId="14942"/>
    <cellStyle name="40% - Accent5 8 2 2 2 3 3" xfId="22889"/>
    <cellStyle name="40% - Accent5 8 2 2 2 4" xfId="11406"/>
    <cellStyle name="40% - Accent5 8 2 2 2 5" xfId="19361"/>
    <cellStyle name="40% - Accent5 8 2 2 2_Exh G" xfId="3288"/>
    <cellStyle name="40% - Accent5 8 2 2 3" xfId="4259"/>
    <cellStyle name="40% - Accent5 8 2 2 3 2" xfId="7851"/>
    <cellStyle name="40% - Accent5 8 2 2 3 2 2" xfId="15822"/>
    <cellStyle name="40% - Accent5 8 2 2 3 2 3" xfId="23768"/>
    <cellStyle name="40% - Accent5 8 2 2 3 3" xfId="12284"/>
    <cellStyle name="40% - Accent5 8 2 2 3 4" xfId="20239"/>
    <cellStyle name="40% - Accent5 8 2 2 4" xfId="6079"/>
    <cellStyle name="40% - Accent5 8 2 2 4 2" xfId="14063"/>
    <cellStyle name="40% - Accent5 8 2 2 4 3" xfId="22011"/>
    <cellStyle name="40% - Accent5 8 2 2 5" xfId="9632"/>
    <cellStyle name="40% - Accent5 8 2 2 5 2" xfId="17590"/>
    <cellStyle name="40% - Accent5 8 2 2 5 3" xfId="25534"/>
    <cellStyle name="40% - Accent5 8 2 2 6" xfId="10528"/>
    <cellStyle name="40% - Accent5 8 2 2 7" xfId="18483"/>
    <cellStyle name="40% - Accent5 8 2 2_Exh G" xfId="3287"/>
    <cellStyle name="40% - Accent5 8 2 3" xfId="1607"/>
    <cellStyle name="40% - Accent5 8 2 3 2" xfId="5137"/>
    <cellStyle name="40% - Accent5 8 2 3 2 2" xfId="8728"/>
    <cellStyle name="40% - Accent5 8 2 3 2 2 2" xfId="16699"/>
    <cellStyle name="40% - Accent5 8 2 3 2 2 3" xfId="24645"/>
    <cellStyle name="40% - Accent5 8 2 3 2 3" xfId="13161"/>
    <cellStyle name="40% - Accent5 8 2 3 2 4" xfId="21116"/>
    <cellStyle name="40% - Accent5 8 2 3 3" xfId="6969"/>
    <cellStyle name="40% - Accent5 8 2 3 3 2" xfId="14941"/>
    <cellStyle name="40% - Accent5 8 2 3 3 3" xfId="22888"/>
    <cellStyle name="40% - Accent5 8 2 3 4" xfId="11405"/>
    <cellStyle name="40% - Accent5 8 2 3 5" xfId="19360"/>
    <cellStyle name="40% - Accent5 8 2 3_Exh G" xfId="3289"/>
    <cellStyle name="40% - Accent5 8 2 4" xfId="4258"/>
    <cellStyle name="40% - Accent5 8 2 4 2" xfId="7850"/>
    <cellStyle name="40% - Accent5 8 2 4 2 2" xfId="15821"/>
    <cellStyle name="40% - Accent5 8 2 4 2 3" xfId="23767"/>
    <cellStyle name="40% - Accent5 8 2 4 3" xfId="12283"/>
    <cellStyle name="40% - Accent5 8 2 4 4" xfId="20238"/>
    <cellStyle name="40% - Accent5 8 2 5" xfId="6078"/>
    <cellStyle name="40% - Accent5 8 2 5 2" xfId="14062"/>
    <cellStyle name="40% - Accent5 8 2 5 3" xfId="22010"/>
    <cellStyle name="40% - Accent5 8 2 6" xfId="9631"/>
    <cellStyle name="40% - Accent5 8 2 6 2" xfId="17589"/>
    <cellStyle name="40% - Accent5 8 2 6 3" xfId="25533"/>
    <cellStyle name="40% - Accent5 8 2 7" xfId="10527"/>
    <cellStyle name="40% - Accent5 8 2 8" xfId="18482"/>
    <cellStyle name="40% - Accent5 8 2_Exh G" xfId="3286"/>
    <cellStyle name="40% - Accent5 8 3" xfId="581"/>
    <cellStyle name="40% - Accent5 8 3 2" xfId="1609"/>
    <cellStyle name="40% - Accent5 8 3 2 2" xfId="5139"/>
    <cellStyle name="40% - Accent5 8 3 2 2 2" xfId="8730"/>
    <cellStyle name="40% - Accent5 8 3 2 2 2 2" xfId="16701"/>
    <cellStyle name="40% - Accent5 8 3 2 2 2 3" xfId="24647"/>
    <cellStyle name="40% - Accent5 8 3 2 2 3" xfId="13163"/>
    <cellStyle name="40% - Accent5 8 3 2 2 4" xfId="21118"/>
    <cellStyle name="40% - Accent5 8 3 2 3" xfId="6971"/>
    <cellStyle name="40% - Accent5 8 3 2 3 2" xfId="14943"/>
    <cellStyle name="40% - Accent5 8 3 2 3 3" xfId="22890"/>
    <cellStyle name="40% - Accent5 8 3 2 4" xfId="11407"/>
    <cellStyle name="40% - Accent5 8 3 2 5" xfId="19362"/>
    <cellStyle name="40% - Accent5 8 3 2_Exh G" xfId="3291"/>
    <cellStyle name="40% - Accent5 8 3 3" xfId="4260"/>
    <cellStyle name="40% - Accent5 8 3 3 2" xfId="7852"/>
    <cellStyle name="40% - Accent5 8 3 3 2 2" xfId="15823"/>
    <cellStyle name="40% - Accent5 8 3 3 2 3" xfId="23769"/>
    <cellStyle name="40% - Accent5 8 3 3 3" xfId="12285"/>
    <cellStyle name="40% - Accent5 8 3 3 4" xfId="20240"/>
    <cellStyle name="40% - Accent5 8 3 4" xfId="6080"/>
    <cellStyle name="40% - Accent5 8 3 4 2" xfId="14064"/>
    <cellStyle name="40% - Accent5 8 3 4 3" xfId="22012"/>
    <cellStyle name="40% - Accent5 8 3 5" xfId="9633"/>
    <cellStyle name="40% - Accent5 8 3 5 2" xfId="17591"/>
    <cellStyle name="40% - Accent5 8 3 5 3" xfId="25535"/>
    <cellStyle name="40% - Accent5 8 3 6" xfId="10529"/>
    <cellStyle name="40% - Accent5 8 3 7" xfId="18484"/>
    <cellStyle name="40% - Accent5 8 3_Exh G" xfId="3290"/>
    <cellStyle name="40% - Accent5 8 4" xfId="992"/>
    <cellStyle name="40% - Accent5 8 4 2" xfId="1907"/>
    <cellStyle name="40% - Accent5 8 4 2 2" xfId="5425"/>
    <cellStyle name="40% - Accent5 8 4 2 2 2" xfId="9016"/>
    <cellStyle name="40% - Accent5 8 4 2 2 2 2" xfId="16987"/>
    <cellStyle name="40% - Accent5 8 4 2 2 2 3" xfId="24933"/>
    <cellStyle name="40% - Accent5 8 4 2 2 3" xfId="13449"/>
    <cellStyle name="40% - Accent5 8 4 2 2 4" xfId="21404"/>
    <cellStyle name="40% - Accent5 8 4 2 3" xfId="7257"/>
    <cellStyle name="40% - Accent5 8 4 2 3 2" xfId="15229"/>
    <cellStyle name="40% - Accent5 8 4 2 3 3" xfId="23176"/>
    <cellStyle name="40% - Accent5 8 4 2 4" xfId="11693"/>
    <cellStyle name="40% - Accent5 8 4 2 5" xfId="19648"/>
    <cellStyle name="40% - Accent5 8 4 2_Exh G" xfId="3293"/>
    <cellStyle name="40% - Accent5 8 4 3" xfId="4546"/>
    <cellStyle name="40% - Accent5 8 4 3 2" xfId="8138"/>
    <cellStyle name="40% - Accent5 8 4 3 2 2" xfId="16109"/>
    <cellStyle name="40% - Accent5 8 4 3 2 3" xfId="24055"/>
    <cellStyle name="40% - Accent5 8 4 3 3" xfId="12571"/>
    <cellStyle name="40% - Accent5 8 4 3 4" xfId="20526"/>
    <cellStyle name="40% - Accent5 8 4 4" xfId="6376"/>
    <cellStyle name="40% - Accent5 8 4 4 2" xfId="14351"/>
    <cellStyle name="40% - Accent5 8 4 4 3" xfId="22298"/>
    <cellStyle name="40% - Accent5 8 4 5" xfId="9919"/>
    <cellStyle name="40% - Accent5 8 4 5 2" xfId="17877"/>
    <cellStyle name="40% - Accent5 8 4 5 3" xfId="25821"/>
    <cellStyle name="40% - Accent5 8 4 6" xfId="10815"/>
    <cellStyle name="40% - Accent5 8 4 7" xfId="18770"/>
    <cellStyle name="40% - Accent5 8 4_Exh G" xfId="3292"/>
    <cellStyle name="40% - Accent5 8 5" xfId="1606"/>
    <cellStyle name="40% - Accent5 8 5 2" xfId="5136"/>
    <cellStyle name="40% - Accent5 8 5 2 2" xfId="8727"/>
    <cellStyle name="40% - Accent5 8 5 2 2 2" xfId="16698"/>
    <cellStyle name="40% - Accent5 8 5 2 2 3" xfId="24644"/>
    <cellStyle name="40% - Accent5 8 5 2 3" xfId="13160"/>
    <cellStyle name="40% - Accent5 8 5 2 4" xfId="21115"/>
    <cellStyle name="40% - Accent5 8 5 3" xfId="6968"/>
    <cellStyle name="40% - Accent5 8 5 3 2" xfId="14940"/>
    <cellStyle name="40% - Accent5 8 5 3 3" xfId="22887"/>
    <cellStyle name="40% - Accent5 8 5 4" xfId="11404"/>
    <cellStyle name="40% - Accent5 8 5 5" xfId="19359"/>
    <cellStyle name="40% - Accent5 8 5_Exh G" xfId="3294"/>
    <cellStyle name="40% - Accent5 8 6" xfId="4257"/>
    <cellStyle name="40% - Accent5 8 6 2" xfId="7849"/>
    <cellStyle name="40% - Accent5 8 6 2 2" xfId="15820"/>
    <cellStyle name="40% - Accent5 8 6 2 3" xfId="23766"/>
    <cellStyle name="40% - Accent5 8 6 3" xfId="12282"/>
    <cellStyle name="40% - Accent5 8 6 4" xfId="20237"/>
    <cellStyle name="40% - Accent5 8 7" xfId="6077"/>
    <cellStyle name="40% - Accent5 8 7 2" xfId="14061"/>
    <cellStyle name="40% - Accent5 8 7 3" xfId="22009"/>
    <cellStyle name="40% - Accent5 8 8" xfId="9630"/>
    <cellStyle name="40% - Accent5 8 8 2" xfId="17588"/>
    <cellStyle name="40% - Accent5 8 8 3" xfId="25532"/>
    <cellStyle name="40% - Accent5 8 9" xfId="10526"/>
    <cellStyle name="40% - Accent5 8_Exh G" xfId="3285"/>
    <cellStyle name="40% - Accent5 9" xfId="582"/>
    <cellStyle name="40% - Accent5 9 10" xfId="18485"/>
    <cellStyle name="40% - Accent5 9 2" xfId="583"/>
    <cellStyle name="40% - Accent5 9 2 2" xfId="584"/>
    <cellStyle name="40% - Accent5 9 2 2 2" xfId="1612"/>
    <cellStyle name="40% - Accent5 9 2 2 2 2" xfId="5142"/>
    <cellStyle name="40% - Accent5 9 2 2 2 2 2" xfId="8733"/>
    <cellStyle name="40% - Accent5 9 2 2 2 2 2 2" xfId="16704"/>
    <cellStyle name="40% - Accent5 9 2 2 2 2 2 3" xfId="24650"/>
    <cellStyle name="40% - Accent5 9 2 2 2 2 3" xfId="13166"/>
    <cellStyle name="40% - Accent5 9 2 2 2 2 4" xfId="21121"/>
    <cellStyle name="40% - Accent5 9 2 2 2 3" xfId="6974"/>
    <cellStyle name="40% - Accent5 9 2 2 2 3 2" xfId="14946"/>
    <cellStyle name="40% - Accent5 9 2 2 2 3 3" xfId="22893"/>
    <cellStyle name="40% - Accent5 9 2 2 2 4" xfId="11410"/>
    <cellStyle name="40% - Accent5 9 2 2 2 5" xfId="19365"/>
    <cellStyle name="40% - Accent5 9 2 2 2_Exh G" xfId="3298"/>
    <cellStyle name="40% - Accent5 9 2 2 3" xfId="4263"/>
    <cellStyle name="40% - Accent5 9 2 2 3 2" xfId="7855"/>
    <cellStyle name="40% - Accent5 9 2 2 3 2 2" xfId="15826"/>
    <cellStyle name="40% - Accent5 9 2 2 3 2 3" xfId="23772"/>
    <cellStyle name="40% - Accent5 9 2 2 3 3" xfId="12288"/>
    <cellStyle name="40% - Accent5 9 2 2 3 4" xfId="20243"/>
    <cellStyle name="40% - Accent5 9 2 2 4" xfId="6083"/>
    <cellStyle name="40% - Accent5 9 2 2 4 2" xfId="14067"/>
    <cellStyle name="40% - Accent5 9 2 2 4 3" xfId="22015"/>
    <cellStyle name="40% - Accent5 9 2 2 5" xfId="9636"/>
    <cellStyle name="40% - Accent5 9 2 2 5 2" xfId="17594"/>
    <cellStyle name="40% - Accent5 9 2 2 5 3" xfId="25538"/>
    <cellStyle name="40% - Accent5 9 2 2 6" xfId="10532"/>
    <cellStyle name="40% - Accent5 9 2 2 7" xfId="18487"/>
    <cellStyle name="40% - Accent5 9 2 2_Exh G" xfId="3297"/>
    <cellStyle name="40% - Accent5 9 2 3" xfId="1611"/>
    <cellStyle name="40% - Accent5 9 2 3 2" xfId="5141"/>
    <cellStyle name="40% - Accent5 9 2 3 2 2" xfId="8732"/>
    <cellStyle name="40% - Accent5 9 2 3 2 2 2" xfId="16703"/>
    <cellStyle name="40% - Accent5 9 2 3 2 2 3" xfId="24649"/>
    <cellStyle name="40% - Accent5 9 2 3 2 3" xfId="13165"/>
    <cellStyle name="40% - Accent5 9 2 3 2 4" xfId="21120"/>
    <cellStyle name="40% - Accent5 9 2 3 3" xfId="6973"/>
    <cellStyle name="40% - Accent5 9 2 3 3 2" xfId="14945"/>
    <cellStyle name="40% - Accent5 9 2 3 3 3" xfId="22892"/>
    <cellStyle name="40% - Accent5 9 2 3 4" xfId="11409"/>
    <cellStyle name="40% - Accent5 9 2 3 5" xfId="19364"/>
    <cellStyle name="40% - Accent5 9 2 3_Exh G" xfId="3299"/>
    <cellStyle name="40% - Accent5 9 2 4" xfId="4262"/>
    <cellStyle name="40% - Accent5 9 2 4 2" xfId="7854"/>
    <cellStyle name="40% - Accent5 9 2 4 2 2" xfId="15825"/>
    <cellStyle name="40% - Accent5 9 2 4 2 3" xfId="23771"/>
    <cellStyle name="40% - Accent5 9 2 4 3" xfId="12287"/>
    <cellStyle name="40% - Accent5 9 2 4 4" xfId="20242"/>
    <cellStyle name="40% - Accent5 9 2 5" xfId="6082"/>
    <cellStyle name="40% - Accent5 9 2 5 2" xfId="14066"/>
    <cellStyle name="40% - Accent5 9 2 5 3" xfId="22014"/>
    <cellStyle name="40% - Accent5 9 2 6" xfId="9635"/>
    <cellStyle name="40% - Accent5 9 2 6 2" xfId="17593"/>
    <cellStyle name="40% - Accent5 9 2 6 3" xfId="25537"/>
    <cellStyle name="40% - Accent5 9 2 7" xfId="10531"/>
    <cellStyle name="40% - Accent5 9 2 8" xfId="18486"/>
    <cellStyle name="40% - Accent5 9 2_Exh G" xfId="3296"/>
    <cellStyle name="40% - Accent5 9 3" xfId="585"/>
    <cellStyle name="40% - Accent5 9 3 2" xfId="1613"/>
    <cellStyle name="40% - Accent5 9 3 2 2" xfId="5143"/>
    <cellStyle name="40% - Accent5 9 3 2 2 2" xfId="8734"/>
    <cellStyle name="40% - Accent5 9 3 2 2 2 2" xfId="16705"/>
    <cellStyle name="40% - Accent5 9 3 2 2 2 3" xfId="24651"/>
    <cellStyle name="40% - Accent5 9 3 2 2 3" xfId="13167"/>
    <cellStyle name="40% - Accent5 9 3 2 2 4" xfId="21122"/>
    <cellStyle name="40% - Accent5 9 3 2 3" xfId="6975"/>
    <cellStyle name="40% - Accent5 9 3 2 3 2" xfId="14947"/>
    <cellStyle name="40% - Accent5 9 3 2 3 3" xfId="22894"/>
    <cellStyle name="40% - Accent5 9 3 2 4" xfId="11411"/>
    <cellStyle name="40% - Accent5 9 3 2 5" xfId="19366"/>
    <cellStyle name="40% - Accent5 9 3 2_Exh G" xfId="3301"/>
    <cellStyle name="40% - Accent5 9 3 3" xfId="4264"/>
    <cellStyle name="40% - Accent5 9 3 3 2" xfId="7856"/>
    <cellStyle name="40% - Accent5 9 3 3 2 2" xfId="15827"/>
    <cellStyle name="40% - Accent5 9 3 3 2 3" xfId="23773"/>
    <cellStyle name="40% - Accent5 9 3 3 3" xfId="12289"/>
    <cellStyle name="40% - Accent5 9 3 3 4" xfId="20244"/>
    <cellStyle name="40% - Accent5 9 3 4" xfId="6084"/>
    <cellStyle name="40% - Accent5 9 3 4 2" xfId="14068"/>
    <cellStyle name="40% - Accent5 9 3 4 3" xfId="22016"/>
    <cellStyle name="40% - Accent5 9 3 5" xfId="9637"/>
    <cellStyle name="40% - Accent5 9 3 5 2" xfId="17595"/>
    <cellStyle name="40% - Accent5 9 3 5 3" xfId="25539"/>
    <cellStyle name="40% - Accent5 9 3 6" xfId="10533"/>
    <cellStyle name="40% - Accent5 9 3 7" xfId="18488"/>
    <cellStyle name="40% - Accent5 9 3_Exh G" xfId="3300"/>
    <cellStyle name="40% - Accent5 9 4" xfId="993"/>
    <cellStyle name="40% - Accent5 9 4 2" xfId="1908"/>
    <cellStyle name="40% - Accent5 9 4 2 2" xfId="5426"/>
    <cellStyle name="40% - Accent5 9 4 2 2 2" xfId="9017"/>
    <cellStyle name="40% - Accent5 9 4 2 2 2 2" xfId="16988"/>
    <cellStyle name="40% - Accent5 9 4 2 2 2 3" xfId="24934"/>
    <cellStyle name="40% - Accent5 9 4 2 2 3" xfId="13450"/>
    <cellStyle name="40% - Accent5 9 4 2 2 4" xfId="21405"/>
    <cellStyle name="40% - Accent5 9 4 2 3" xfId="7258"/>
    <cellStyle name="40% - Accent5 9 4 2 3 2" xfId="15230"/>
    <cellStyle name="40% - Accent5 9 4 2 3 3" xfId="23177"/>
    <cellStyle name="40% - Accent5 9 4 2 4" xfId="11694"/>
    <cellStyle name="40% - Accent5 9 4 2 5" xfId="19649"/>
    <cellStyle name="40% - Accent5 9 4 2_Exh G" xfId="3303"/>
    <cellStyle name="40% - Accent5 9 4 3" xfId="4547"/>
    <cellStyle name="40% - Accent5 9 4 3 2" xfId="8139"/>
    <cellStyle name="40% - Accent5 9 4 3 2 2" xfId="16110"/>
    <cellStyle name="40% - Accent5 9 4 3 2 3" xfId="24056"/>
    <cellStyle name="40% - Accent5 9 4 3 3" xfId="12572"/>
    <cellStyle name="40% - Accent5 9 4 3 4" xfId="20527"/>
    <cellStyle name="40% - Accent5 9 4 4" xfId="6377"/>
    <cellStyle name="40% - Accent5 9 4 4 2" xfId="14352"/>
    <cellStyle name="40% - Accent5 9 4 4 3" xfId="22299"/>
    <cellStyle name="40% - Accent5 9 4 5" xfId="9920"/>
    <cellStyle name="40% - Accent5 9 4 5 2" xfId="17878"/>
    <cellStyle name="40% - Accent5 9 4 5 3" xfId="25822"/>
    <cellStyle name="40% - Accent5 9 4 6" xfId="10816"/>
    <cellStyle name="40% - Accent5 9 4 7" xfId="18771"/>
    <cellStyle name="40% - Accent5 9 4_Exh G" xfId="3302"/>
    <cellStyle name="40% - Accent5 9 5" xfId="1610"/>
    <cellStyle name="40% - Accent5 9 5 2" xfId="5140"/>
    <cellStyle name="40% - Accent5 9 5 2 2" xfId="8731"/>
    <cellStyle name="40% - Accent5 9 5 2 2 2" xfId="16702"/>
    <cellStyle name="40% - Accent5 9 5 2 2 3" xfId="24648"/>
    <cellStyle name="40% - Accent5 9 5 2 3" xfId="13164"/>
    <cellStyle name="40% - Accent5 9 5 2 4" xfId="21119"/>
    <cellStyle name="40% - Accent5 9 5 3" xfId="6972"/>
    <cellStyle name="40% - Accent5 9 5 3 2" xfId="14944"/>
    <cellStyle name="40% - Accent5 9 5 3 3" xfId="22891"/>
    <cellStyle name="40% - Accent5 9 5 4" xfId="11408"/>
    <cellStyle name="40% - Accent5 9 5 5" xfId="19363"/>
    <cellStyle name="40% - Accent5 9 5_Exh G" xfId="3304"/>
    <cellStyle name="40% - Accent5 9 6" xfId="4261"/>
    <cellStyle name="40% - Accent5 9 6 2" xfId="7853"/>
    <cellStyle name="40% - Accent5 9 6 2 2" xfId="15824"/>
    <cellStyle name="40% - Accent5 9 6 2 3" xfId="23770"/>
    <cellStyle name="40% - Accent5 9 6 3" xfId="12286"/>
    <cellStyle name="40% - Accent5 9 6 4" xfId="20241"/>
    <cellStyle name="40% - Accent5 9 7" xfId="6081"/>
    <cellStyle name="40% - Accent5 9 7 2" xfId="14065"/>
    <cellStyle name="40% - Accent5 9 7 3" xfId="22013"/>
    <cellStyle name="40% - Accent5 9 8" xfId="9634"/>
    <cellStyle name="40% - Accent5 9 8 2" xfId="17592"/>
    <cellStyle name="40% - Accent5 9 8 3" xfId="25536"/>
    <cellStyle name="40% - Accent5 9 9" xfId="10530"/>
    <cellStyle name="40% - Accent5 9_Exh G" xfId="3295"/>
    <cellStyle name="40% - Accent6 10" xfId="586"/>
    <cellStyle name="40% - Accent6 10 10" xfId="18489"/>
    <cellStyle name="40% - Accent6 10 2" xfId="587"/>
    <cellStyle name="40% - Accent6 10 2 2" xfId="588"/>
    <cellStyle name="40% - Accent6 10 2 2 2" xfId="1616"/>
    <cellStyle name="40% - Accent6 10 2 2 2 2" xfId="5146"/>
    <cellStyle name="40% - Accent6 10 2 2 2 2 2" xfId="8737"/>
    <cellStyle name="40% - Accent6 10 2 2 2 2 2 2" xfId="16708"/>
    <cellStyle name="40% - Accent6 10 2 2 2 2 2 3" xfId="24654"/>
    <cellStyle name="40% - Accent6 10 2 2 2 2 3" xfId="13170"/>
    <cellStyle name="40% - Accent6 10 2 2 2 2 4" xfId="21125"/>
    <cellStyle name="40% - Accent6 10 2 2 2 3" xfId="6978"/>
    <cellStyle name="40% - Accent6 10 2 2 2 3 2" xfId="14950"/>
    <cellStyle name="40% - Accent6 10 2 2 2 3 3" xfId="22897"/>
    <cellStyle name="40% - Accent6 10 2 2 2 4" xfId="11414"/>
    <cellStyle name="40% - Accent6 10 2 2 2 5" xfId="19369"/>
    <cellStyle name="40% - Accent6 10 2 2 2_Exh G" xfId="3308"/>
    <cellStyle name="40% - Accent6 10 2 2 3" xfId="4267"/>
    <cellStyle name="40% - Accent6 10 2 2 3 2" xfId="7859"/>
    <cellStyle name="40% - Accent6 10 2 2 3 2 2" xfId="15830"/>
    <cellStyle name="40% - Accent6 10 2 2 3 2 3" xfId="23776"/>
    <cellStyle name="40% - Accent6 10 2 2 3 3" xfId="12292"/>
    <cellStyle name="40% - Accent6 10 2 2 3 4" xfId="20247"/>
    <cellStyle name="40% - Accent6 10 2 2 4" xfId="6087"/>
    <cellStyle name="40% - Accent6 10 2 2 4 2" xfId="14071"/>
    <cellStyle name="40% - Accent6 10 2 2 4 3" xfId="22019"/>
    <cellStyle name="40% - Accent6 10 2 2 5" xfId="9640"/>
    <cellStyle name="40% - Accent6 10 2 2 5 2" xfId="17598"/>
    <cellStyle name="40% - Accent6 10 2 2 5 3" xfId="25542"/>
    <cellStyle name="40% - Accent6 10 2 2 6" xfId="10536"/>
    <cellStyle name="40% - Accent6 10 2 2 7" xfId="18491"/>
    <cellStyle name="40% - Accent6 10 2 2_Exh G" xfId="3307"/>
    <cellStyle name="40% - Accent6 10 2 3" xfId="1615"/>
    <cellStyle name="40% - Accent6 10 2 3 2" xfId="5145"/>
    <cellStyle name="40% - Accent6 10 2 3 2 2" xfId="8736"/>
    <cellStyle name="40% - Accent6 10 2 3 2 2 2" xfId="16707"/>
    <cellStyle name="40% - Accent6 10 2 3 2 2 3" xfId="24653"/>
    <cellStyle name="40% - Accent6 10 2 3 2 3" xfId="13169"/>
    <cellStyle name="40% - Accent6 10 2 3 2 4" xfId="21124"/>
    <cellStyle name="40% - Accent6 10 2 3 3" xfId="6977"/>
    <cellStyle name="40% - Accent6 10 2 3 3 2" xfId="14949"/>
    <cellStyle name="40% - Accent6 10 2 3 3 3" xfId="22896"/>
    <cellStyle name="40% - Accent6 10 2 3 4" xfId="11413"/>
    <cellStyle name="40% - Accent6 10 2 3 5" xfId="19368"/>
    <cellStyle name="40% - Accent6 10 2 3_Exh G" xfId="3309"/>
    <cellStyle name="40% - Accent6 10 2 4" xfId="4266"/>
    <cellStyle name="40% - Accent6 10 2 4 2" xfId="7858"/>
    <cellStyle name="40% - Accent6 10 2 4 2 2" xfId="15829"/>
    <cellStyle name="40% - Accent6 10 2 4 2 3" xfId="23775"/>
    <cellStyle name="40% - Accent6 10 2 4 3" xfId="12291"/>
    <cellStyle name="40% - Accent6 10 2 4 4" xfId="20246"/>
    <cellStyle name="40% - Accent6 10 2 5" xfId="6086"/>
    <cellStyle name="40% - Accent6 10 2 5 2" xfId="14070"/>
    <cellStyle name="40% - Accent6 10 2 5 3" xfId="22018"/>
    <cellStyle name="40% - Accent6 10 2 6" xfId="9639"/>
    <cellStyle name="40% - Accent6 10 2 6 2" xfId="17597"/>
    <cellStyle name="40% - Accent6 10 2 6 3" xfId="25541"/>
    <cellStyle name="40% - Accent6 10 2 7" xfId="10535"/>
    <cellStyle name="40% - Accent6 10 2 8" xfId="18490"/>
    <cellStyle name="40% - Accent6 10 2_Exh G" xfId="3306"/>
    <cellStyle name="40% - Accent6 10 3" xfId="589"/>
    <cellStyle name="40% - Accent6 10 3 2" xfId="1617"/>
    <cellStyle name="40% - Accent6 10 3 2 2" xfId="5147"/>
    <cellStyle name="40% - Accent6 10 3 2 2 2" xfId="8738"/>
    <cellStyle name="40% - Accent6 10 3 2 2 2 2" xfId="16709"/>
    <cellStyle name="40% - Accent6 10 3 2 2 2 3" xfId="24655"/>
    <cellStyle name="40% - Accent6 10 3 2 2 3" xfId="13171"/>
    <cellStyle name="40% - Accent6 10 3 2 2 4" xfId="21126"/>
    <cellStyle name="40% - Accent6 10 3 2 3" xfId="6979"/>
    <cellStyle name="40% - Accent6 10 3 2 3 2" xfId="14951"/>
    <cellStyle name="40% - Accent6 10 3 2 3 3" xfId="22898"/>
    <cellStyle name="40% - Accent6 10 3 2 4" xfId="11415"/>
    <cellStyle name="40% - Accent6 10 3 2 5" xfId="19370"/>
    <cellStyle name="40% - Accent6 10 3 2_Exh G" xfId="3311"/>
    <cellStyle name="40% - Accent6 10 3 3" xfId="4268"/>
    <cellStyle name="40% - Accent6 10 3 3 2" xfId="7860"/>
    <cellStyle name="40% - Accent6 10 3 3 2 2" xfId="15831"/>
    <cellStyle name="40% - Accent6 10 3 3 2 3" xfId="23777"/>
    <cellStyle name="40% - Accent6 10 3 3 3" xfId="12293"/>
    <cellStyle name="40% - Accent6 10 3 3 4" xfId="20248"/>
    <cellStyle name="40% - Accent6 10 3 4" xfId="6088"/>
    <cellStyle name="40% - Accent6 10 3 4 2" xfId="14072"/>
    <cellStyle name="40% - Accent6 10 3 4 3" xfId="22020"/>
    <cellStyle name="40% - Accent6 10 3 5" xfId="9641"/>
    <cellStyle name="40% - Accent6 10 3 5 2" xfId="17599"/>
    <cellStyle name="40% - Accent6 10 3 5 3" xfId="25543"/>
    <cellStyle name="40% - Accent6 10 3 6" xfId="10537"/>
    <cellStyle name="40% - Accent6 10 3 7" xfId="18492"/>
    <cellStyle name="40% - Accent6 10 3_Exh G" xfId="3310"/>
    <cellStyle name="40% - Accent6 10 4" xfId="994"/>
    <cellStyle name="40% - Accent6 10 5" xfId="1614"/>
    <cellStyle name="40% - Accent6 10 5 2" xfId="5144"/>
    <cellStyle name="40% - Accent6 10 5 2 2" xfId="8735"/>
    <cellStyle name="40% - Accent6 10 5 2 2 2" xfId="16706"/>
    <cellStyle name="40% - Accent6 10 5 2 2 3" xfId="24652"/>
    <cellStyle name="40% - Accent6 10 5 2 3" xfId="13168"/>
    <cellStyle name="40% - Accent6 10 5 2 4" xfId="21123"/>
    <cellStyle name="40% - Accent6 10 5 3" xfId="6976"/>
    <cellStyle name="40% - Accent6 10 5 3 2" xfId="14948"/>
    <cellStyle name="40% - Accent6 10 5 3 3" xfId="22895"/>
    <cellStyle name="40% - Accent6 10 5 4" xfId="11412"/>
    <cellStyle name="40% - Accent6 10 5 5" xfId="19367"/>
    <cellStyle name="40% - Accent6 10 5_Exh G" xfId="3312"/>
    <cellStyle name="40% - Accent6 10 6" xfId="4265"/>
    <cellStyle name="40% - Accent6 10 6 2" xfId="7857"/>
    <cellStyle name="40% - Accent6 10 6 2 2" xfId="15828"/>
    <cellStyle name="40% - Accent6 10 6 2 3" xfId="23774"/>
    <cellStyle name="40% - Accent6 10 6 3" xfId="12290"/>
    <cellStyle name="40% - Accent6 10 6 4" xfId="20245"/>
    <cellStyle name="40% - Accent6 10 7" xfId="6085"/>
    <cellStyle name="40% - Accent6 10 7 2" xfId="14069"/>
    <cellStyle name="40% - Accent6 10 7 3" xfId="22017"/>
    <cellStyle name="40% - Accent6 10 8" xfId="9638"/>
    <cellStyle name="40% - Accent6 10 8 2" xfId="17596"/>
    <cellStyle name="40% - Accent6 10 8 3" xfId="25540"/>
    <cellStyle name="40% - Accent6 10 9" xfId="10534"/>
    <cellStyle name="40% - Accent6 10_Exh G" xfId="3305"/>
    <cellStyle name="40% - Accent6 11" xfId="590"/>
    <cellStyle name="40% - Accent6 11 2" xfId="591"/>
    <cellStyle name="40% - Accent6 11 2 2" xfId="592"/>
    <cellStyle name="40% - Accent6 11 2 2 2" xfId="1620"/>
    <cellStyle name="40% - Accent6 11 2 2 2 2" xfId="5150"/>
    <cellStyle name="40% - Accent6 11 2 2 2 2 2" xfId="8741"/>
    <cellStyle name="40% - Accent6 11 2 2 2 2 2 2" xfId="16712"/>
    <cellStyle name="40% - Accent6 11 2 2 2 2 2 3" xfId="24658"/>
    <cellStyle name="40% - Accent6 11 2 2 2 2 3" xfId="13174"/>
    <cellStyle name="40% - Accent6 11 2 2 2 2 4" xfId="21129"/>
    <cellStyle name="40% - Accent6 11 2 2 2 3" xfId="6982"/>
    <cellStyle name="40% - Accent6 11 2 2 2 3 2" xfId="14954"/>
    <cellStyle name="40% - Accent6 11 2 2 2 3 3" xfId="22901"/>
    <cellStyle name="40% - Accent6 11 2 2 2 4" xfId="11418"/>
    <cellStyle name="40% - Accent6 11 2 2 2 5" xfId="19373"/>
    <cellStyle name="40% - Accent6 11 2 2 2_Exh G" xfId="3316"/>
    <cellStyle name="40% - Accent6 11 2 2 3" xfId="4271"/>
    <cellStyle name="40% - Accent6 11 2 2 3 2" xfId="7863"/>
    <cellStyle name="40% - Accent6 11 2 2 3 2 2" xfId="15834"/>
    <cellStyle name="40% - Accent6 11 2 2 3 2 3" xfId="23780"/>
    <cellStyle name="40% - Accent6 11 2 2 3 3" xfId="12296"/>
    <cellStyle name="40% - Accent6 11 2 2 3 4" xfId="20251"/>
    <cellStyle name="40% - Accent6 11 2 2 4" xfId="6091"/>
    <cellStyle name="40% - Accent6 11 2 2 4 2" xfId="14075"/>
    <cellStyle name="40% - Accent6 11 2 2 4 3" xfId="22023"/>
    <cellStyle name="40% - Accent6 11 2 2 5" xfId="9644"/>
    <cellStyle name="40% - Accent6 11 2 2 5 2" xfId="17602"/>
    <cellStyle name="40% - Accent6 11 2 2 5 3" xfId="25546"/>
    <cellStyle name="40% - Accent6 11 2 2 6" xfId="10540"/>
    <cellStyle name="40% - Accent6 11 2 2 7" xfId="18495"/>
    <cellStyle name="40% - Accent6 11 2 2_Exh G" xfId="3315"/>
    <cellStyle name="40% - Accent6 11 2 3" xfId="1619"/>
    <cellStyle name="40% - Accent6 11 2 3 2" xfId="5149"/>
    <cellStyle name="40% - Accent6 11 2 3 2 2" xfId="8740"/>
    <cellStyle name="40% - Accent6 11 2 3 2 2 2" xfId="16711"/>
    <cellStyle name="40% - Accent6 11 2 3 2 2 3" xfId="24657"/>
    <cellStyle name="40% - Accent6 11 2 3 2 3" xfId="13173"/>
    <cellStyle name="40% - Accent6 11 2 3 2 4" xfId="21128"/>
    <cellStyle name="40% - Accent6 11 2 3 3" xfId="6981"/>
    <cellStyle name="40% - Accent6 11 2 3 3 2" xfId="14953"/>
    <cellStyle name="40% - Accent6 11 2 3 3 3" xfId="22900"/>
    <cellStyle name="40% - Accent6 11 2 3 4" xfId="11417"/>
    <cellStyle name="40% - Accent6 11 2 3 5" xfId="19372"/>
    <cellStyle name="40% - Accent6 11 2 3_Exh G" xfId="3317"/>
    <cellStyle name="40% - Accent6 11 2 4" xfId="4270"/>
    <cellStyle name="40% - Accent6 11 2 4 2" xfId="7862"/>
    <cellStyle name="40% - Accent6 11 2 4 2 2" xfId="15833"/>
    <cellStyle name="40% - Accent6 11 2 4 2 3" xfId="23779"/>
    <cellStyle name="40% - Accent6 11 2 4 3" xfId="12295"/>
    <cellStyle name="40% - Accent6 11 2 4 4" xfId="20250"/>
    <cellStyle name="40% - Accent6 11 2 5" xfId="6090"/>
    <cellStyle name="40% - Accent6 11 2 5 2" xfId="14074"/>
    <cellStyle name="40% - Accent6 11 2 5 3" xfId="22022"/>
    <cellStyle name="40% - Accent6 11 2 6" xfId="9643"/>
    <cellStyle name="40% - Accent6 11 2 6 2" xfId="17601"/>
    <cellStyle name="40% - Accent6 11 2 6 3" xfId="25545"/>
    <cellStyle name="40% - Accent6 11 2 7" xfId="10539"/>
    <cellStyle name="40% - Accent6 11 2 8" xfId="18494"/>
    <cellStyle name="40% - Accent6 11 2_Exh G" xfId="3314"/>
    <cellStyle name="40% - Accent6 11 3" xfId="593"/>
    <cellStyle name="40% - Accent6 11 3 2" xfId="1621"/>
    <cellStyle name="40% - Accent6 11 3 2 2" xfId="5151"/>
    <cellStyle name="40% - Accent6 11 3 2 2 2" xfId="8742"/>
    <cellStyle name="40% - Accent6 11 3 2 2 2 2" xfId="16713"/>
    <cellStyle name="40% - Accent6 11 3 2 2 2 3" xfId="24659"/>
    <cellStyle name="40% - Accent6 11 3 2 2 3" xfId="13175"/>
    <cellStyle name="40% - Accent6 11 3 2 2 4" xfId="21130"/>
    <cellStyle name="40% - Accent6 11 3 2 3" xfId="6983"/>
    <cellStyle name="40% - Accent6 11 3 2 3 2" xfId="14955"/>
    <cellStyle name="40% - Accent6 11 3 2 3 3" xfId="22902"/>
    <cellStyle name="40% - Accent6 11 3 2 4" xfId="11419"/>
    <cellStyle name="40% - Accent6 11 3 2 5" xfId="19374"/>
    <cellStyle name="40% - Accent6 11 3 2_Exh G" xfId="3319"/>
    <cellStyle name="40% - Accent6 11 3 3" xfId="4272"/>
    <cellStyle name="40% - Accent6 11 3 3 2" xfId="7864"/>
    <cellStyle name="40% - Accent6 11 3 3 2 2" xfId="15835"/>
    <cellStyle name="40% - Accent6 11 3 3 2 3" xfId="23781"/>
    <cellStyle name="40% - Accent6 11 3 3 3" xfId="12297"/>
    <cellStyle name="40% - Accent6 11 3 3 4" xfId="20252"/>
    <cellStyle name="40% - Accent6 11 3 4" xfId="6092"/>
    <cellStyle name="40% - Accent6 11 3 4 2" xfId="14076"/>
    <cellStyle name="40% - Accent6 11 3 4 3" xfId="22024"/>
    <cellStyle name="40% - Accent6 11 3 5" xfId="9645"/>
    <cellStyle name="40% - Accent6 11 3 5 2" xfId="17603"/>
    <cellStyle name="40% - Accent6 11 3 5 3" xfId="25547"/>
    <cellStyle name="40% - Accent6 11 3 6" xfId="10541"/>
    <cellStyle name="40% - Accent6 11 3 7" xfId="18496"/>
    <cellStyle name="40% - Accent6 11 3_Exh G" xfId="3318"/>
    <cellStyle name="40% - Accent6 11 4" xfId="1618"/>
    <cellStyle name="40% - Accent6 11 4 2" xfId="5148"/>
    <cellStyle name="40% - Accent6 11 4 2 2" xfId="8739"/>
    <cellStyle name="40% - Accent6 11 4 2 2 2" xfId="16710"/>
    <cellStyle name="40% - Accent6 11 4 2 2 3" xfId="24656"/>
    <cellStyle name="40% - Accent6 11 4 2 3" xfId="13172"/>
    <cellStyle name="40% - Accent6 11 4 2 4" xfId="21127"/>
    <cellStyle name="40% - Accent6 11 4 3" xfId="6980"/>
    <cellStyle name="40% - Accent6 11 4 3 2" xfId="14952"/>
    <cellStyle name="40% - Accent6 11 4 3 3" xfId="22899"/>
    <cellStyle name="40% - Accent6 11 4 4" xfId="11416"/>
    <cellStyle name="40% - Accent6 11 4 5" xfId="19371"/>
    <cellStyle name="40% - Accent6 11 4_Exh G" xfId="3320"/>
    <cellStyle name="40% - Accent6 11 5" xfId="4269"/>
    <cellStyle name="40% - Accent6 11 5 2" xfId="7861"/>
    <cellStyle name="40% - Accent6 11 5 2 2" xfId="15832"/>
    <cellStyle name="40% - Accent6 11 5 2 3" xfId="23778"/>
    <cellStyle name="40% - Accent6 11 5 3" xfId="12294"/>
    <cellStyle name="40% - Accent6 11 5 4" xfId="20249"/>
    <cellStyle name="40% - Accent6 11 6" xfId="6089"/>
    <cellStyle name="40% - Accent6 11 6 2" xfId="14073"/>
    <cellStyle name="40% - Accent6 11 6 3" xfId="22021"/>
    <cellStyle name="40% - Accent6 11 7" xfId="9642"/>
    <cellStyle name="40% - Accent6 11 7 2" xfId="17600"/>
    <cellStyle name="40% - Accent6 11 7 3" xfId="25544"/>
    <cellStyle name="40% - Accent6 11 8" xfId="10538"/>
    <cellStyle name="40% - Accent6 11 9" xfId="18493"/>
    <cellStyle name="40% - Accent6 11_Exh G" xfId="3313"/>
    <cellStyle name="40% - Accent6 12" xfId="594"/>
    <cellStyle name="40% - Accent6 12 2" xfId="595"/>
    <cellStyle name="40% - Accent6 12 2 2" xfId="596"/>
    <cellStyle name="40% - Accent6 12 2 2 2" xfId="1624"/>
    <cellStyle name="40% - Accent6 12 2 2 2 2" xfId="5154"/>
    <cellStyle name="40% - Accent6 12 2 2 2 2 2" xfId="8745"/>
    <cellStyle name="40% - Accent6 12 2 2 2 2 2 2" xfId="16716"/>
    <cellStyle name="40% - Accent6 12 2 2 2 2 2 3" xfId="24662"/>
    <cellStyle name="40% - Accent6 12 2 2 2 2 3" xfId="13178"/>
    <cellStyle name="40% - Accent6 12 2 2 2 2 4" xfId="21133"/>
    <cellStyle name="40% - Accent6 12 2 2 2 3" xfId="6986"/>
    <cellStyle name="40% - Accent6 12 2 2 2 3 2" xfId="14958"/>
    <cellStyle name="40% - Accent6 12 2 2 2 3 3" xfId="22905"/>
    <cellStyle name="40% - Accent6 12 2 2 2 4" xfId="11422"/>
    <cellStyle name="40% - Accent6 12 2 2 2 5" xfId="19377"/>
    <cellStyle name="40% - Accent6 12 2 2 2_Exh G" xfId="3324"/>
    <cellStyle name="40% - Accent6 12 2 2 3" xfId="4275"/>
    <cellStyle name="40% - Accent6 12 2 2 3 2" xfId="7867"/>
    <cellStyle name="40% - Accent6 12 2 2 3 2 2" xfId="15838"/>
    <cellStyle name="40% - Accent6 12 2 2 3 2 3" xfId="23784"/>
    <cellStyle name="40% - Accent6 12 2 2 3 3" xfId="12300"/>
    <cellStyle name="40% - Accent6 12 2 2 3 4" xfId="20255"/>
    <cellStyle name="40% - Accent6 12 2 2 4" xfId="6095"/>
    <cellStyle name="40% - Accent6 12 2 2 4 2" xfId="14079"/>
    <cellStyle name="40% - Accent6 12 2 2 4 3" xfId="22027"/>
    <cellStyle name="40% - Accent6 12 2 2 5" xfId="9648"/>
    <cellStyle name="40% - Accent6 12 2 2 5 2" xfId="17606"/>
    <cellStyle name="40% - Accent6 12 2 2 5 3" xfId="25550"/>
    <cellStyle name="40% - Accent6 12 2 2 6" xfId="10544"/>
    <cellStyle name="40% - Accent6 12 2 2 7" xfId="18499"/>
    <cellStyle name="40% - Accent6 12 2 2_Exh G" xfId="3323"/>
    <cellStyle name="40% - Accent6 12 2 3" xfId="1623"/>
    <cellStyle name="40% - Accent6 12 2 3 2" xfId="5153"/>
    <cellStyle name="40% - Accent6 12 2 3 2 2" xfId="8744"/>
    <cellStyle name="40% - Accent6 12 2 3 2 2 2" xfId="16715"/>
    <cellStyle name="40% - Accent6 12 2 3 2 2 3" xfId="24661"/>
    <cellStyle name="40% - Accent6 12 2 3 2 3" xfId="13177"/>
    <cellStyle name="40% - Accent6 12 2 3 2 4" xfId="21132"/>
    <cellStyle name="40% - Accent6 12 2 3 3" xfId="6985"/>
    <cellStyle name="40% - Accent6 12 2 3 3 2" xfId="14957"/>
    <cellStyle name="40% - Accent6 12 2 3 3 3" xfId="22904"/>
    <cellStyle name="40% - Accent6 12 2 3 4" xfId="11421"/>
    <cellStyle name="40% - Accent6 12 2 3 5" xfId="19376"/>
    <cellStyle name="40% - Accent6 12 2 3_Exh G" xfId="3325"/>
    <cellStyle name="40% - Accent6 12 2 4" xfId="4274"/>
    <cellStyle name="40% - Accent6 12 2 4 2" xfId="7866"/>
    <cellStyle name="40% - Accent6 12 2 4 2 2" xfId="15837"/>
    <cellStyle name="40% - Accent6 12 2 4 2 3" xfId="23783"/>
    <cellStyle name="40% - Accent6 12 2 4 3" xfId="12299"/>
    <cellStyle name="40% - Accent6 12 2 4 4" xfId="20254"/>
    <cellStyle name="40% - Accent6 12 2 5" xfId="6094"/>
    <cellStyle name="40% - Accent6 12 2 5 2" xfId="14078"/>
    <cellStyle name="40% - Accent6 12 2 5 3" xfId="22026"/>
    <cellStyle name="40% - Accent6 12 2 6" xfId="9647"/>
    <cellStyle name="40% - Accent6 12 2 6 2" xfId="17605"/>
    <cellStyle name="40% - Accent6 12 2 6 3" xfId="25549"/>
    <cellStyle name="40% - Accent6 12 2 7" xfId="10543"/>
    <cellStyle name="40% - Accent6 12 2 8" xfId="18498"/>
    <cellStyle name="40% - Accent6 12 2_Exh G" xfId="3322"/>
    <cellStyle name="40% - Accent6 12 3" xfId="597"/>
    <cellStyle name="40% - Accent6 12 3 2" xfId="1625"/>
    <cellStyle name="40% - Accent6 12 3 2 2" xfId="5155"/>
    <cellStyle name="40% - Accent6 12 3 2 2 2" xfId="8746"/>
    <cellStyle name="40% - Accent6 12 3 2 2 2 2" xfId="16717"/>
    <cellStyle name="40% - Accent6 12 3 2 2 2 3" xfId="24663"/>
    <cellStyle name="40% - Accent6 12 3 2 2 3" xfId="13179"/>
    <cellStyle name="40% - Accent6 12 3 2 2 4" xfId="21134"/>
    <cellStyle name="40% - Accent6 12 3 2 3" xfId="6987"/>
    <cellStyle name="40% - Accent6 12 3 2 3 2" xfId="14959"/>
    <cellStyle name="40% - Accent6 12 3 2 3 3" xfId="22906"/>
    <cellStyle name="40% - Accent6 12 3 2 4" xfId="11423"/>
    <cellStyle name="40% - Accent6 12 3 2 5" xfId="19378"/>
    <cellStyle name="40% - Accent6 12 3 2_Exh G" xfId="3327"/>
    <cellStyle name="40% - Accent6 12 3 3" xfId="4276"/>
    <cellStyle name="40% - Accent6 12 3 3 2" xfId="7868"/>
    <cellStyle name="40% - Accent6 12 3 3 2 2" xfId="15839"/>
    <cellStyle name="40% - Accent6 12 3 3 2 3" xfId="23785"/>
    <cellStyle name="40% - Accent6 12 3 3 3" xfId="12301"/>
    <cellStyle name="40% - Accent6 12 3 3 4" xfId="20256"/>
    <cellStyle name="40% - Accent6 12 3 4" xfId="6096"/>
    <cellStyle name="40% - Accent6 12 3 4 2" xfId="14080"/>
    <cellStyle name="40% - Accent6 12 3 4 3" xfId="22028"/>
    <cellStyle name="40% - Accent6 12 3 5" xfId="9649"/>
    <cellStyle name="40% - Accent6 12 3 5 2" xfId="17607"/>
    <cellStyle name="40% - Accent6 12 3 5 3" xfId="25551"/>
    <cellStyle name="40% - Accent6 12 3 6" xfId="10545"/>
    <cellStyle name="40% - Accent6 12 3 7" xfId="18500"/>
    <cellStyle name="40% - Accent6 12 3_Exh G" xfId="3326"/>
    <cellStyle name="40% - Accent6 12 4" xfId="1622"/>
    <cellStyle name="40% - Accent6 12 4 2" xfId="5152"/>
    <cellStyle name="40% - Accent6 12 4 2 2" xfId="8743"/>
    <cellStyle name="40% - Accent6 12 4 2 2 2" xfId="16714"/>
    <cellStyle name="40% - Accent6 12 4 2 2 3" xfId="24660"/>
    <cellStyle name="40% - Accent6 12 4 2 3" xfId="13176"/>
    <cellStyle name="40% - Accent6 12 4 2 4" xfId="21131"/>
    <cellStyle name="40% - Accent6 12 4 3" xfId="6984"/>
    <cellStyle name="40% - Accent6 12 4 3 2" xfId="14956"/>
    <cellStyle name="40% - Accent6 12 4 3 3" xfId="22903"/>
    <cellStyle name="40% - Accent6 12 4 4" xfId="11420"/>
    <cellStyle name="40% - Accent6 12 4 5" xfId="19375"/>
    <cellStyle name="40% - Accent6 12 4_Exh G" xfId="3328"/>
    <cellStyle name="40% - Accent6 12 5" xfId="4273"/>
    <cellStyle name="40% - Accent6 12 5 2" xfId="7865"/>
    <cellStyle name="40% - Accent6 12 5 2 2" xfId="15836"/>
    <cellStyle name="40% - Accent6 12 5 2 3" xfId="23782"/>
    <cellStyle name="40% - Accent6 12 5 3" xfId="12298"/>
    <cellStyle name="40% - Accent6 12 5 4" xfId="20253"/>
    <cellStyle name="40% - Accent6 12 6" xfId="6093"/>
    <cellStyle name="40% - Accent6 12 6 2" xfId="14077"/>
    <cellStyle name="40% - Accent6 12 6 3" xfId="22025"/>
    <cellStyle name="40% - Accent6 12 7" xfId="9646"/>
    <cellStyle name="40% - Accent6 12 7 2" xfId="17604"/>
    <cellStyle name="40% - Accent6 12 7 3" xfId="25548"/>
    <cellStyle name="40% - Accent6 12 8" xfId="10542"/>
    <cellStyle name="40% - Accent6 12 9" xfId="18497"/>
    <cellStyle name="40% - Accent6 12_Exh G" xfId="3321"/>
    <cellStyle name="40% - Accent6 13" xfId="598"/>
    <cellStyle name="40% - Accent6 13 2" xfId="599"/>
    <cellStyle name="40% - Accent6 13 2 2" xfId="600"/>
    <cellStyle name="40% - Accent6 13 2 2 2" xfId="1628"/>
    <cellStyle name="40% - Accent6 13 2 2 2 2" xfId="5158"/>
    <cellStyle name="40% - Accent6 13 2 2 2 2 2" xfId="8749"/>
    <cellStyle name="40% - Accent6 13 2 2 2 2 2 2" xfId="16720"/>
    <cellStyle name="40% - Accent6 13 2 2 2 2 2 3" xfId="24666"/>
    <cellStyle name="40% - Accent6 13 2 2 2 2 3" xfId="13182"/>
    <cellStyle name="40% - Accent6 13 2 2 2 2 4" xfId="21137"/>
    <cellStyle name="40% - Accent6 13 2 2 2 3" xfId="6990"/>
    <cellStyle name="40% - Accent6 13 2 2 2 3 2" xfId="14962"/>
    <cellStyle name="40% - Accent6 13 2 2 2 3 3" xfId="22909"/>
    <cellStyle name="40% - Accent6 13 2 2 2 4" xfId="11426"/>
    <cellStyle name="40% - Accent6 13 2 2 2 5" xfId="19381"/>
    <cellStyle name="40% - Accent6 13 2 2 2_Exh G" xfId="3332"/>
    <cellStyle name="40% - Accent6 13 2 2 3" xfId="4279"/>
    <cellStyle name="40% - Accent6 13 2 2 3 2" xfId="7871"/>
    <cellStyle name="40% - Accent6 13 2 2 3 2 2" xfId="15842"/>
    <cellStyle name="40% - Accent6 13 2 2 3 2 3" xfId="23788"/>
    <cellStyle name="40% - Accent6 13 2 2 3 3" xfId="12304"/>
    <cellStyle name="40% - Accent6 13 2 2 3 4" xfId="20259"/>
    <cellStyle name="40% - Accent6 13 2 2 4" xfId="6099"/>
    <cellStyle name="40% - Accent6 13 2 2 4 2" xfId="14083"/>
    <cellStyle name="40% - Accent6 13 2 2 4 3" xfId="22031"/>
    <cellStyle name="40% - Accent6 13 2 2 5" xfId="9652"/>
    <cellStyle name="40% - Accent6 13 2 2 5 2" xfId="17610"/>
    <cellStyle name="40% - Accent6 13 2 2 5 3" xfId="25554"/>
    <cellStyle name="40% - Accent6 13 2 2 6" xfId="10548"/>
    <cellStyle name="40% - Accent6 13 2 2 7" xfId="18503"/>
    <cellStyle name="40% - Accent6 13 2 2_Exh G" xfId="3331"/>
    <cellStyle name="40% - Accent6 13 2 3" xfId="1627"/>
    <cellStyle name="40% - Accent6 13 2 3 2" xfId="5157"/>
    <cellStyle name="40% - Accent6 13 2 3 2 2" xfId="8748"/>
    <cellStyle name="40% - Accent6 13 2 3 2 2 2" xfId="16719"/>
    <cellStyle name="40% - Accent6 13 2 3 2 2 3" xfId="24665"/>
    <cellStyle name="40% - Accent6 13 2 3 2 3" xfId="13181"/>
    <cellStyle name="40% - Accent6 13 2 3 2 4" xfId="21136"/>
    <cellStyle name="40% - Accent6 13 2 3 3" xfId="6989"/>
    <cellStyle name="40% - Accent6 13 2 3 3 2" xfId="14961"/>
    <cellStyle name="40% - Accent6 13 2 3 3 3" xfId="22908"/>
    <cellStyle name="40% - Accent6 13 2 3 4" xfId="11425"/>
    <cellStyle name="40% - Accent6 13 2 3 5" xfId="19380"/>
    <cellStyle name="40% - Accent6 13 2 3_Exh G" xfId="3333"/>
    <cellStyle name="40% - Accent6 13 2 4" xfId="4278"/>
    <cellStyle name="40% - Accent6 13 2 4 2" xfId="7870"/>
    <cellStyle name="40% - Accent6 13 2 4 2 2" xfId="15841"/>
    <cellStyle name="40% - Accent6 13 2 4 2 3" xfId="23787"/>
    <cellStyle name="40% - Accent6 13 2 4 3" xfId="12303"/>
    <cellStyle name="40% - Accent6 13 2 4 4" xfId="20258"/>
    <cellStyle name="40% - Accent6 13 2 5" xfId="6098"/>
    <cellStyle name="40% - Accent6 13 2 5 2" xfId="14082"/>
    <cellStyle name="40% - Accent6 13 2 5 3" xfId="22030"/>
    <cellStyle name="40% - Accent6 13 2 6" xfId="9651"/>
    <cellStyle name="40% - Accent6 13 2 6 2" xfId="17609"/>
    <cellStyle name="40% - Accent6 13 2 6 3" xfId="25553"/>
    <cellStyle name="40% - Accent6 13 2 7" xfId="10547"/>
    <cellStyle name="40% - Accent6 13 2 8" xfId="18502"/>
    <cellStyle name="40% - Accent6 13 2_Exh G" xfId="3330"/>
    <cellStyle name="40% - Accent6 13 3" xfId="601"/>
    <cellStyle name="40% - Accent6 13 3 2" xfId="1629"/>
    <cellStyle name="40% - Accent6 13 3 2 2" xfId="5159"/>
    <cellStyle name="40% - Accent6 13 3 2 2 2" xfId="8750"/>
    <cellStyle name="40% - Accent6 13 3 2 2 2 2" xfId="16721"/>
    <cellStyle name="40% - Accent6 13 3 2 2 2 3" xfId="24667"/>
    <cellStyle name="40% - Accent6 13 3 2 2 3" xfId="13183"/>
    <cellStyle name="40% - Accent6 13 3 2 2 4" xfId="21138"/>
    <cellStyle name="40% - Accent6 13 3 2 3" xfId="6991"/>
    <cellStyle name="40% - Accent6 13 3 2 3 2" xfId="14963"/>
    <cellStyle name="40% - Accent6 13 3 2 3 3" xfId="22910"/>
    <cellStyle name="40% - Accent6 13 3 2 4" xfId="11427"/>
    <cellStyle name="40% - Accent6 13 3 2 5" xfId="19382"/>
    <cellStyle name="40% - Accent6 13 3 2_Exh G" xfId="3335"/>
    <cellStyle name="40% - Accent6 13 3 3" xfId="4280"/>
    <cellStyle name="40% - Accent6 13 3 3 2" xfId="7872"/>
    <cellStyle name="40% - Accent6 13 3 3 2 2" xfId="15843"/>
    <cellStyle name="40% - Accent6 13 3 3 2 3" xfId="23789"/>
    <cellStyle name="40% - Accent6 13 3 3 3" xfId="12305"/>
    <cellStyle name="40% - Accent6 13 3 3 4" xfId="20260"/>
    <cellStyle name="40% - Accent6 13 3 4" xfId="6100"/>
    <cellStyle name="40% - Accent6 13 3 4 2" xfId="14084"/>
    <cellStyle name="40% - Accent6 13 3 4 3" xfId="22032"/>
    <cellStyle name="40% - Accent6 13 3 5" xfId="9653"/>
    <cellStyle name="40% - Accent6 13 3 5 2" xfId="17611"/>
    <cellStyle name="40% - Accent6 13 3 5 3" xfId="25555"/>
    <cellStyle name="40% - Accent6 13 3 6" xfId="10549"/>
    <cellStyle name="40% - Accent6 13 3 7" xfId="18504"/>
    <cellStyle name="40% - Accent6 13 3_Exh G" xfId="3334"/>
    <cellStyle name="40% - Accent6 13 4" xfId="1626"/>
    <cellStyle name="40% - Accent6 13 4 2" xfId="5156"/>
    <cellStyle name="40% - Accent6 13 4 2 2" xfId="8747"/>
    <cellStyle name="40% - Accent6 13 4 2 2 2" xfId="16718"/>
    <cellStyle name="40% - Accent6 13 4 2 2 3" xfId="24664"/>
    <cellStyle name="40% - Accent6 13 4 2 3" xfId="13180"/>
    <cellStyle name="40% - Accent6 13 4 2 4" xfId="21135"/>
    <cellStyle name="40% - Accent6 13 4 3" xfId="6988"/>
    <cellStyle name="40% - Accent6 13 4 3 2" xfId="14960"/>
    <cellStyle name="40% - Accent6 13 4 3 3" xfId="22907"/>
    <cellStyle name="40% - Accent6 13 4 4" xfId="11424"/>
    <cellStyle name="40% - Accent6 13 4 5" xfId="19379"/>
    <cellStyle name="40% - Accent6 13 4_Exh G" xfId="3336"/>
    <cellStyle name="40% - Accent6 13 5" xfId="4277"/>
    <cellStyle name="40% - Accent6 13 5 2" xfId="7869"/>
    <cellStyle name="40% - Accent6 13 5 2 2" xfId="15840"/>
    <cellStyle name="40% - Accent6 13 5 2 3" xfId="23786"/>
    <cellStyle name="40% - Accent6 13 5 3" xfId="12302"/>
    <cellStyle name="40% - Accent6 13 5 4" xfId="20257"/>
    <cellStyle name="40% - Accent6 13 6" xfId="6097"/>
    <cellStyle name="40% - Accent6 13 6 2" xfId="14081"/>
    <cellStyle name="40% - Accent6 13 6 3" xfId="22029"/>
    <cellStyle name="40% - Accent6 13 7" xfId="9650"/>
    <cellStyle name="40% - Accent6 13 7 2" xfId="17608"/>
    <cellStyle name="40% - Accent6 13 7 3" xfId="25552"/>
    <cellStyle name="40% - Accent6 13 8" xfId="10546"/>
    <cellStyle name="40% - Accent6 13 9" xfId="18501"/>
    <cellStyle name="40% - Accent6 13_Exh G" xfId="3329"/>
    <cellStyle name="40% - Accent6 14" xfId="602"/>
    <cellStyle name="40% - Accent6 14 2" xfId="603"/>
    <cellStyle name="40% - Accent6 14 2 2" xfId="1631"/>
    <cellStyle name="40% - Accent6 14 2 2 2" xfId="5161"/>
    <cellStyle name="40% - Accent6 14 2 2 2 2" xfId="8752"/>
    <cellStyle name="40% - Accent6 14 2 2 2 2 2" xfId="16723"/>
    <cellStyle name="40% - Accent6 14 2 2 2 2 3" xfId="24669"/>
    <cellStyle name="40% - Accent6 14 2 2 2 3" xfId="13185"/>
    <cellStyle name="40% - Accent6 14 2 2 2 4" xfId="21140"/>
    <cellStyle name="40% - Accent6 14 2 2 3" xfId="6993"/>
    <cellStyle name="40% - Accent6 14 2 2 3 2" xfId="14965"/>
    <cellStyle name="40% - Accent6 14 2 2 3 3" xfId="22912"/>
    <cellStyle name="40% - Accent6 14 2 2 4" xfId="11429"/>
    <cellStyle name="40% - Accent6 14 2 2 5" xfId="19384"/>
    <cellStyle name="40% - Accent6 14 2 2_Exh G" xfId="3339"/>
    <cellStyle name="40% - Accent6 14 2 3" xfId="4282"/>
    <cellStyle name="40% - Accent6 14 2 3 2" xfId="7874"/>
    <cellStyle name="40% - Accent6 14 2 3 2 2" xfId="15845"/>
    <cellStyle name="40% - Accent6 14 2 3 2 3" xfId="23791"/>
    <cellStyle name="40% - Accent6 14 2 3 3" xfId="12307"/>
    <cellStyle name="40% - Accent6 14 2 3 4" xfId="20262"/>
    <cellStyle name="40% - Accent6 14 2 4" xfId="6102"/>
    <cellStyle name="40% - Accent6 14 2 4 2" xfId="14086"/>
    <cellStyle name="40% - Accent6 14 2 4 3" xfId="22034"/>
    <cellStyle name="40% - Accent6 14 2 5" xfId="9655"/>
    <cellStyle name="40% - Accent6 14 2 5 2" xfId="17613"/>
    <cellStyle name="40% - Accent6 14 2 5 3" xfId="25557"/>
    <cellStyle name="40% - Accent6 14 2 6" xfId="10551"/>
    <cellStyle name="40% - Accent6 14 2 7" xfId="18506"/>
    <cellStyle name="40% - Accent6 14 2_Exh G" xfId="3338"/>
    <cellStyle name="40% - Accent6 14 3" xfId="1630"/>
    <cellStyle name="40% - Accent6 14 3 2" xfId="5160"/>
    <cellStyle name="40% - Accent6 14 3 2 2" xfId="8751"/>
    <cellStyle name="40% - Accent6 14 3 2 2 2" xfId="16722"/>
    <cellStyle name="40% - Accent6 14 3 2 2 3" xfId="24668"/>
    <cellStyle name="40% - Accent6 14 3 2 3" xfId="13184"/>
    <cellStyle name="40% - Accent6 14 3 2 4" xfId="21139"/>
    <cellStyle name="40% - Accent6 14 3 3" xfId="6992"/>
    <cellStyle name="40% - Accent6 14 3 3 2" xfId="14964"/>
    <cellStyle name="40% - Accent6 14 3 3 3" xfId="22911"/>
    <cellStyle name="40% - Accent6 14 3 4" xfId="11428"/>
    <cellStyle name="40% - Accent6 14 3 5" xfId="19383"/>
    <cellStyle name="40% - Accent6 14 3_Exh G" xfId="3340"/>
    <cellStyle name="40% - Accent6 14 4" xfId="4281"/>
    <cellStyle name="40% - Accent6 14 4 2" xfId="7873"/>
    <cellStyle name="40% - Accent6 14 4 2 2" xfId="15844"/>
    <cellStyle name="40% - Accent6 14 4 2 3" xfId="23790"/>
    <cellStyle name="40% - Accent6 14 4 3" xfId="12306"/>
    <cellStyle name="40% - Accent6 14 4 4" xfId="20261"/>
    <cellStyle name="40% - Accent6 14 5" xfId="6101"/>
    <cellStyle name="40% - Accent6 14 5 2" xfId="14085"/>
    <cellStyle name="40% - Accent6 14 5 3" xfId="22033"/>
    <cellStyle name="40% - Accent6 14 6" xfId="9654"/>
    <cellStyle name="40% - Accent6 14 6 2" xfId="17612"/>
    <cellStyle name="40% - Accent6 14 6 3" xfId="25556"/>
    <cellStyle name="40% - Accent6 14 7" xfId="10550"/>
    <cellStyle name="40% - Accent6 14 8" xfId="18505"/>
    <cellStyle name="40% - Accent6 14_Exh G" xfId="3337"/>
    <cellStyle name="40% - Accent6 15" xfId="604"/>
    <cellStyle name="40% - Accent6 15 2" xfId="1632"/>
    <cellStyle name="40% - Accent6 15 2 2" xfId="5162"/>
    <cellStyle name="40% - Accent6 15 2 2 2" xfId="8753"/>
    <cellStyle name="40% - Accent6 15 2 2 2 2" xfId="16724"/>
    <cellStyle name="40% - Accent6 15 2 2 2 3" xfId="24670"/>
    <cellStyle name="40% - Accent6 15 2 2 3" xfId="13186"/>
    <cellStyle name="40% - Accent6 15 2 2 4" xfId="21141"/>
    <cellStyle name="40% - Accent6 15 2 3" xfId="6994"/>
    <cellStyle name="40% - Accent6 15 2 3 2" xfId="14966"/>
    <cellStyle name="40% - Accent6 15 2 3 3" xfId="22913"/>
    <cellStyle name="40% - Accent6 15 2 4" xfId="11430"/>
    <cellStyle name="40% - Accent6 15 2 5" xfId="19385"/>
    <cellStyle name="40% - Accent6 15 2_Exh G" xfId="3342"/>
    <cellStyle name="40% - Accent6 15 3" xfId="4283"/>
    <cellStyle name="40% - Accent6 15 3 2" xfId="7875"/>
    <cellStyle name="40% - Accent6 15 3 2 2" xfId="15846"/>
    <cellStyle name="40% - Accent6 15 3 2 3" xfId="23792"/>
    <cellStyle name="40% - Accent6 15 3 3" xfId="12308"/>
    <cellStyle name="40% - Accent6 15 3 4" xfId="20263"/>
    <cellStyle name="40% - Accent6 15 4" xfId="6103"/>
    <cellStyle name="40% - Accent6 15 4 2" xfId="14087"/>
    <cellStyle name="40% - Accent6 15 4 3" xfId="22035"/>
    <cellStyle name="40% - Accent6 15 5" xfId="9656"/>
    <cellStyle name="40% - Accent6 15 5 2" xfId="17614"/>
    <cellStyle name="40% - Accent6 15 5 3" xfId="25558"/>
    <cellStyle name="40% - Accent6 15 6" xfId="10552"/>
    <cellStyle name="40% - Accent6 15 7" xfId="18507"/>
    <cellStyle name="40% - Accent6 15_Exh G" xfId="3341"/>
    <cellStyle name="40% - Accent6 16" xfId="854"/>
    <cellStyle name="40% - Accent6 16 2" xfId="1793"/>
    <cellStyle name="40% - Accent6 16 2 2" xfId="5314"/>
    <cellStyle name="40% - Accent6 16 2 2 2" xfId="8905"/>
    <cellStyle name="40% - Accent6 16 2 2 2 2" xfId="16876"/>
    <cellStyle name="40% - Accent6 16 2 2 2 3" xfId="24822"/>
    <cellStyle name="40% - Accent6 16 2 2 3" xfId="13338"/>
    <cellStyle name="40% - Accent6 16 2 2 4" xfId="21293"/>
    <cellStyle name="40% - Accent6 16 2 3" xfId="7146"/>
    <cellStyle name="40% - Accent6 16 2 3 2" xfId="15118"/>
    <cellStyle name="40% - Accent6 16 2 3 3" xfId="23065"/>
    <cellStyle name="40% - Accent6 16 2 4" xfId="11582"/>
    <cellStyle name="40% - Accent6 16 2 5" xfId="19537"/>
    <cellStyle name="40% - Accent6 16 2_Exh G" xfId="3344"/>
    <cellStyle name="40% - Accent6 16 3" xfId="4435"/>
    <cellStyle name="40% - Accent6 16 3 2" xfId="8027"/>
    <cellStyle name="40% - Accent6 16 3 2 2" xfId="15998"/>
    <cellStyle name="40% - Accent6 16 3 2 3" xfId="23944"/>
    <cellStyle name="40% - Accent6 16 3 3" xfId="12460"/>
    <cellStyle name="40% - Accent6 16 3 4" xfId="20415"/>
    <cellStyle name="40% - Accent6 16 4" xfId="6265"/>
    <cellStyle name="40% - Accent6 16 4 2" xfId="14240"/>
    <cellStyle name="40% - Accent6 16 4 3" xfId="22187"/>
    <cellStyle name="40% - Accent6 16 5" xfId="9808"/>
    <cellStyle name="40% - Accent6 16 5 2" xfId="17766"/>
    <cellStyle name="40% - Accent6 16 5 3" xfId="25710"/>
    <cellStyle name="40% - Accent6 16 6" xfId="10704"/>
    <cellStyle name="40% - Accent6 16 7" xfId="18659"/>
    <cellStyle name="40% - Accent6 16_Exh G" xfId="3343"/>
    <cellStyle name="40% - Accent6 2" xfId="605"/>
    <cellStyle name="40% - Accent6 2 10" xfId="18508"/>
    <cellStyle name="40% - Accent6 2 2" xfId="606"/>
    <cellStyle name="40% - Accent6 2 2 2" xfId="607"/>
    <cellStyle name="40% - Accent6 2 2 2 2" xfId="1635"/>
    <cellStyle name="40% - Accent6 2 2 2 2 2" xfId="5165"/>
    <cellStyle name="40% - Accent6 2 2 2 2 2 2" xfId="8756"/>
    <cellStyle name="40% - Accent6 2 2 2 2 2 2 2" xfId="16727"/>
    <cellStyle name="40% - Accent6 2 2 2 2 2 2 3" xfId="24673"/>
    <cellStyle name="40% - Accent6 2 2 2 2 2 3" xfId="13189"/>
    <cellStyle name="40% - Accent6 2 2 2 2 2 4" xfId="21144"/>
    <cellStyle name="40% - Accent6 2 2 2 2 3" xfId="6997"/>
    <cellStyle name="40% - Accent6 2 2 2 2 3 2" xfId="14969"/>
    <cellStyle name="40% - Accent6 2 2 2 2 3 3" xfId="22916"/>
    <cellStyle name="40% - Accent6 2 2 2 2 4" xfId="11433"/>
    <cellStyle name="40% - Accent6 2 2 2 2 5" xfId="19388"/>
    <cellStyle name="40% - Accent6 2 2 2 2_Exh G" xfId="3348"/>
    <cellStyle name="40% - Accent6 2 2 2 3" xfId="4286"/>
    <cellStyle name="40% - Accent6 2 2 2 3 2" xfId="7878"/>
    <cellStyle name="40% - Accent6 2 2 2 3 2 2" xfId="15849"/>
    <cellStyle name="40% - Accent6 2 2 2 3 2 3" xfId="23795"/>
    <cellStyle name="40% - Accent6 2 2 2 3 3" xfId="12311"/>
    <cellStyle name="40% - Accent6 2 2 2 3 4" xfId="20266"/>
    <cellStyle name="40% - Accent6 2 2 2 4" xfId="6106"/>
    <cellStyle name="40% - Accent6 2 2 2 4 2" xfId="14090"/>
    <cellStyle name="40% - Accent6 2 2 2 4 3" xfId="22038"/>
    <cellStyle name="40% - Accent6 2 2 2 5" xfId="9659"/>
    <cellStyle name="40% - Accent6 2 2 2 5 2" xfId="17617"/>
    <cellStyle name="40% - Accent6 2 2 2 5 3" xfId="25561"/>
    <cellStyle name="40% - Accent6 2 2 2 6" xfId="10555"/>
    <cellStyle name="40% - Accent6 2 2 2 7" xfId="18510"/>
    <cellStyle name="40% - Accent6 2 2 2_Exh G" xfId="3347"/>
    <cellStyle name="40% - Accent6 2 2 3" xfId="996"/>
    <cellStyle name="40% - Accent6 2 2 3 2" xfId="1910"/>
    <cellStyle name="40% - Accent6 2 2 3 2 2" xfId="5428"/>
    <cellStyle name="40% - Accent6 2 2 3 2 2 2" xfId="9019"/>
    <cellStyle name="40% - Accent6 2 2 3 2 2 2 2" xfId="16990"/>
    <cellStyle name="40% - Accent6 2 2 3 2 2 2 3" xfId="24936"/>
    <cellStyle name="40% - Accent6 2 2 3 2 2 3" xfId="13452"/>
    <cellStyle name="40% - Accent6 2 2 3 2 2 4" xfId="21407"/>
    <cellStyle name="40% - Accent6 2 2 3 2 3" xfId="7260"/>
    <cellStyle name="40% - Accent6 2 2 3 2 3 2" xfId="15232"/>
    <cellStyle name="40% - Accent6 2 2 3 2 3 3" xfId="23179"/>
    <cellStyle name="40% - Accent6 2 2 3 2 4" xfId="11696"/>
    <cellStyle name="40% - Accent6 2 2 3 2 5" xfId="19651"/>
    <cellStyle name="40% - Accent6 2 2 3 2_Exh G" xfId="3350"/>
    <cellStyle name="40% - Accent6 2 2 3 3" xfId="4549"/>
    <cellStyle name="40% - Accent6 2 2 3 3 2" xfId="8141"/>
    <cellStyle name="40% - Accent6 2 2 3 3 2 2" xfId="16112"/>
    <cellStyle name="40% - Accent6 2 2 3 3 2 3" xfId="24058"/>
    <cellStyle name="40% - Accent6 2 2 3 3 3" xfId="12574"/>
    <cellStyle name="40% - Accent6 2 2 3 3 4" xfId="20529"/>
    <cellStyle name="40% - Accent6 2 2 3 4" xfId="6379"/>
    <cellStyle name="40% - Accent6 2 2 3 4 2" xfId="14354"/>
    <cellStyle name="40% - Accent6 2 2 3 4 3" xfId="22301"/>
    <cellStyle name="40% - Accent6 2 2 3 5" xfId="9922"/>
    <cellStyle name="40% - Accent6 2 2 3 5 2" xfId="17880"/>
    <cellStyle name="40% - Accent6 2 2 3 5 3" xfId="25824"/>
    <cellStyle name="40% - Accent6 2 2 3 6" xfId="10818"/>
    <cellStyle name="40% - Accent6 2 2 3 7" xfId="18773"/>
    <cellStyle name="40% - Accent6 2 2 3_Exh G" xfId="3349"/>
    <cellStyle name="40% - Accent6 2 2 4" xfId="1634"/>
    <cellStyle name="40% - Accent6 2 2 4 2" xfId="5164"/>
    <cellStyle name="40% - Accent6 2 2 4 2 2" xfId="8755"/>
    <cellStyle name="40% - Accent6 2 2 4 2 2 2" xfId="16726"/>
    <cellStyle name="40% - Accent6 2 2 4 2 2 3" xfId="24672"/>
    <cellStyle name="40% - Accent6 2 2 4 2 3" xfId="13188"/>
    <cellStyle name="40% - Accent6 2 2 4 2 4" xfId="21143"/>
    <cellStyle name="40% - Accent6 2 2 4 3" xfId="6996"/>
    <cellStyle name="40% - Accent6 2 2 4 3 2" xfId="14968"/>
    <cellStyle name="40% - Accent6 2 2 4 3 3" xfId="22915"/>
    <cellStyle name="40% - Accent6 2 2 4 4" xfId="11432"/>
    <cellStyle name="40% - Accent6 2 2 4 5" xfId="19387"/>
    <cellStyle name="40% - Accent6 2 2 4_Exh G" xfId="3351"/>
    <cellStyle name="40% - Accent6 2 2 5" xfId="4285"/>
    <cellStyle name="40% - Accent6 2 2 5 2" xfId="7877"/>
    <cellStyle name="40% - Accent6 2 2 5 2 2" xfId="15848"/>
    <cellStyle name="40% - Accent6 2 2 5 2 3" xfId="23794"/>
    <cellStyle name="40% - Accent6 2 2 5 3" xfId="12310"/>
    <cellStyle name="40% - Accent6 2 2 5 4" xfId="20265"/>
    <cellStyle name="40% - Accent6 2 2 6" xfId="6105"/>
    <cellStyle name="40% - Accent6 2 2 6 2" xfId="14089"/>
    <cellStyle name="40% - Accent6 2 2 6 3" xfId="22037"/>
    <cellStyle name="40% - Accent6 2 2 7" xfId="9658"/>
    <cellStyle name="40% - Accent6 2 2 7 2" xfId="17616"/>
    <cellStyle name="40% - Accent6 2 2 7 3" xfId="25560"/>
    <cellStyle name="40% - Accent6 2 2 8" xfId="10554"/>
    <cellStyle name="40% - Accent6 2 2 9" xfId="18509"/>
    <cellStyle name="40% - Accent6 2 2_Exh G" xfId="3346"/>
    <cellStyle name="40% - Accent6 2 3" xfId="608"/>
    <cellStyle name="40% - Accent6 2 3 2" xfId="1636"/>
    <cellStyle name="40% - Accent6 2 3 2 2" xfId="5166"/>
    <cellStyle name="40% - Accent6 2 3 2 2 2" xfId="8757"/>
    <cellStyle name="40% - Accent6 2 3 2 2 2 2" xfId="16728"/>
    <cellStyle name="40% - Accent6 2 3 2 2 2 3" xfId="24674"/>
    <cellStyle name="40% - Accent6 2 3 2 2 3" xfId="13190"/>
    <cellStyle name="40% - Accent6 2 3 2 2 4" xfId="21145"/>
    <cellStyle name="40% - Accent6 2 3 2 3" xfId="6998"/>
    <cellStyle name="40% - Accent6 2 3 2 3 2" xfId="14970"/>
    <cellStyle name="40% - Accent6 2 3 2 3 3" xfId="22917"/>
    <cellStyle name="40% - Accent6 2 3 2 4" xfId="11434"/>
    <cellStyle name="40% - Accent6 2 3 2 5" xfId="19389"/>
    <cellStyle name="40% - Accent6 2 3 2_Exh G" xfId="3353"/>
    <cellStyle name="40% - Accent6 2 3 3" xfId="4287"/>
    <cellStyle name="40% - Accent6 2 3 3 2" xfId="7879"/>
    <cellStyle name="40% - Accent6 2 3 3 2 2" xfId="15850"/>
    <cellStyle name="40% - Accent6 2 3 3 2 3" xfId="23796"/>
    <cellStyle name="40% - Accent6 2 3 3 3" xfId="12312"/>
    <cellStyle name="40% - Accent6 2 3 3 4" xfId="20267"/>
    <cellStyle name="40% - Accent6 2 3 4" xfId="6107"/>
    <cellStyle name="40% - Accent6 2 3 4 2" xfId="14091"/>
    <cellStyle name="40% - Accent6 2 3 4 3" xfId="22039"/>
    <cellStyle name="40% - Accent6 2 3 5" xfId="9660"/>
    <cellStyle name="40% - Accent6 2 3 5 2" xfId="17618"/>
    <cellStyle name="40% - Accent6 2 3 5 3" xfId="25562"/>
    <cellStyle name="40% - Accent6 2 3 6" xfId="10556"/>
    <cellStyle name="40% - Accent6 2 3 7" xfId="18511"/>
    <cellStyle name="40% - Accent6 2 3_Exh G" xfId="3352"/>
    <cellStyle name="40% - Accent6 2 4" xfId="995"/>
    <cellStyle name="40% - Accent6 2 4 2" xfId="1909"/>
    <cellStyle name="40% - Accent6 2 4 2 2" xfId="5427"/>
    <cellStyle name="40% - Accent6 2 4 2 2 2" xfId="9018"/>
    <cellStyle name="40% - Accent6 2 4 2 2 2 2" xfId="16989"/>
    <cellStyle name="40% - Accent6 2 4 2 2 2 3" xfId="24935"/>
    <cellStyle name="40% - Accent6 2 4 2 2 3" xfId="13451"/>
    <cellStyle name="40% - Accent6 2 4 2 2 4" xfId="21406"/>
    <cellStyle name="40% - Accent6 2 4 2 3" xfId="7259"/>
    <cellStyle name="40% - Accent6 2 4 2 3 2" xfId="15231"/>
    <cellStyle name="40% - Accent6 2 4 2 3 3" xfId="23178"/>
    <cellStyle name="40% - Accent6 2 4 2 4" xfId="11695"/>
    <cellStyle name="40% - Accent6 2 4 2 5" xfId="19650"/>
    <cellStyle name="40% - Accent6 2 4 2_Exh G" xfId="3355"/>
    <cellStyle name="40% - Accent6 2 4 3" xfId="4548"/>
    <cellStyle name="40% - Accent6 2 4 3 2" xfId="8140"/>
    <cellStyle name="40% - Accent6 2 4 3 2 2" xfId="16111"/>
    <cellStyle name="40% - Accent6 2 4 3 2 3" xfId="24057"/>
    <cellStyle name="40% - Accent6 2 4 3 3" xfId="12573"/>
    <cellStyle name="40% - Accent6 2 4 3 4" xfId="20528"/>
    <cellStyle name="40% - Accent6 2 4 4" xfId="6378"/>
    <cellStyle name="40% - Accent6 2 4 4 2" xfId="14353"/>
    <cellStyle name="40% - Accent6 2 4 4 3" xfId="22300"/>
    <cellStyle name="40% - Accent6 2 4 5" xfId="9921"/>
    <cellStyle name="40% - Accent6 2 4 5 2" xfId="17879"/>
    <cellStyle name="40% - Accent6 2 4 5 3" xfId="25823"/>
    <cellStyle name="40% - Accent6 2 4 6" xfId="10817"/>
    <cellStyle name="40% - Accent6 2 4 7" xfId="18772"/>
    <cellStyle name="40% - Accent6 2 4_Exh G" xfId="3354"/>
    <cellStyle name="40% - Accent6 2 5" xfId="1633"/>
    <cellStyle name="40% - Accent6 2 5 2" xfId="5163"/>
    <cellStyle name="40% - Accent6 2 5 2 2" xfId="8754"/>
    <cellStyle name="40% - Accent6 2 5 2 2 2" xfId="16725"/>
    <cellStyle name="40% - Accent6 2 5 2 2 3" xfId="24671"/>
    <cellStyle name="40% - Accent6 2 5 2 3" xfId="13187"/>
    <cellStyle name="40% - Accent6 2 5 2 4" xfId="21142"/>
    <cellStyle name="40% - Accent6 2 5 3" xfId="6995"/>
    <cellStyle name="40% - Accent6 2 5 3 2" xfId="14967"/>
    <cellStyle name="40% - Accent6 2 5 3 3" xfId="22914"/>
    <cellStyle name="40% - Accent6 2 5 4" xfId="11431"/>
    <cellStyle name="40% - Accent6 2 5 5" xfId="19386"/>
    <cellStyle name="40% - Accent6 2 5_Exh G" xfId="3356"/>
    <cellStyle name="40% - Accent6 2 6" xfId="4284"/>
    <cellStyle name="40% - Accent6 2 6 2" xfId="7876"/>
    <cellStyle name="40% - Accent6 2 6 2 2" xfId="15847"/>
    <cellStyle name="40% - Accent6 2 6 2 3" xfId="23793"/>
    <cellStyle name="40% - Accent6 2 6 3" xfId="12309"/>
    <cellStyle name="40% - Accent6 2 6 4" xfId="20264"/>
    <cellStyle name="40% - Accent6 2 7" xfId="6104"/>
    <cellStyle name="40% - Accent6 2 7 2" xfId="14088"/>
    <cellStyle name="40% - Accent6 2 7 3" xfId="22036"/>
    <cellStyle name="40% - Accent6 2 8" xfId="9657"/>
    <cellStyle name="40% - Accent6 2 8 2" xfId="17615"/>
    <cellStyle name="40% - Accent6 2 8 3" xfId="25559"/>
    <cellStyle name="40% - Accent6 2 9" xfId="10553"/>
    <cellStyle name="40% - Accent6 2_Exh G" xfId="3345"/>
    <cellStyle name="40% - Accent6 3" xfId="609"/>
    <cellStyle name="40% - Accent6 3 10" xfId="18512"/>
    <cellStyle name="40% - Accent6 3 2" xfId="610"/>
    <cellStyle name="40% - Accent6 3 2 2" xfId="611"/>
    <cellStyle name="40% - Accent6 3 2 2 2" xfId="1639"/>
    <cellStyle name="40% - Accent6 3 2 2 2 2" xfId="5169"/>
    <cellStyle name="40% - Accent6 3 2 2 2 2 2" xfId="8760"/>
    <cellStyle name="40% - Accent6 3 2 2 2 2 2 2" xfId="16731"/>
    <cellStyle name="40% - Accent6 3 2 2 2 2 2 3" xfId="24677"/>
    <cellStyle name="40% - Accent6 3 2 2 2 2 3" xfId="13193"/>
    <cellStyle name="40% - Accent6 3 2 2 2 2 4" xfId="21148"/>
    <cellStyle name="40% - Accent6 3 2 2 2 3" xfId="7001"/>
    <cellStyle name="40% - Accent6 3 2 2 2 3 2" xfId="14973"/>
    <cellStyle name="40% - Accent6 3 2 2 2 3 3" xfId="22920"/>
    <cellStyle name="40% - Accent6 3 2 2 2 4" xfId="11437"/>
    <cellStyle name="40% - Accent6 3 2 2 2 5" xfId="19392"/>
    <cellStyle name="40% - Accent6 3 2 2 2_Exh G" xfId="3360"/>
    <cellStyle name="40% - Accent6 3 2 2 3" xfId="4290"/>
    <cellStyle name="40% - Accent6 3 2 2 3 2" xfId="7882"/>
    <cellStyle name="40% - Accent6 3 2 2 3 2 2" xfId="15853"/>
    <cellStyle name="40% - Accent6 3 2 2 3 2 3" xfId="23799"/>
    <cellStyle name="40% - Accent6 3 2 2 3 3" xfId="12315"/>
    <cellStyle name="40% - Accent6 3 2 2 3 4" xfId="20270"/>
    <cellStyle name="40% - Accent6 3 2 2 4" xfId="6110"/>
    <cellStyle name="40% - Accent6 3 2 2 4 2" xfId="14094"/>
    <cellStyle name="40% - Accent6 3 2 2 4 3" xfId="22042"/>
    <cellStyle name="40% - Accent6 3 2 2 5" xfId="9663"/>
    <cellStyle name="40% - Accent6 3 2 2 5 2" xfId="17621"/>
    <cellStyle name="40% - Accent6 3 2 2 5 3" xfId="25565"/>
    <cellStyle name="40% - Accent6 3 2 2 6" xfId="10559"/>
    <cellStyle name="40% - Accent6 3 2 2 7" xfId="18514"/>
    <cellStyle name="40% - Accent6 3 2 2_Exh G" xfId="3359"/>
    <cellStyle name="40% - Accent6 3 2 3" xfId="998"/>
    <cellStyle name="40% - Accent6 3 2 3 2" xfId="1912"/>
    <cellStyle name="40% - Accent6 3 2 3 2 2" xfId="5430"/>
    <cellStyle name="40% - Accent6 3 2 3 2 2 2" xfId="9021"/>
    <cellStyle name="40% - Accent6 3 2 3 2 2 2 2" xfId="16992"/>
    <cellStyle name="40% - Accent6 3 2 3 2 2 2 3" xfId="24938"/>
    <cellStyle name="40% - Accent6 3 2 3 2 2 3" xfId="13454"/>
    <cellStyle name="40% - Accent6 3 2 3 2 2 4" xfId="21409"/>
    <cellStyle name="40% - Accent6 3 2 3 2 3" xfId="7262"/>
    <cellStyle name="40% - Accent6 3 2 3 2 3 2" xfId="15234"/>
    <cellStyle name="40% - Accent6 3 2 3 2 3 3" xfId="23181"/>
    <cellStyle name="40% - Accent6 3 2 3 2 4" xfId="11698"/>
    <cellStyle name="40% - Accent6 3 2 3 2 5" xfId="19653"/>
    <cellStyle name="40% - Accent6 3 2 3 2_Exh G" xfId="3362"/>
    <cellStyle name="40% - Accent6 3 2 3 3" xfId="4551"/>
    <cellStyle name="40% - Accent6 3 2 3 3 2" xfId="8143"/>
    <cellStyle name="40% - Accent6 3 2 3 3 2 2" xfId="16114"/>
    <cellStyle name="40% - Accent6 3 2 3 3 2 3" xfId="24060"/>
    <cellStyle name="40% - Accent6 3 2 3 3 3" xfId="12576"/>
    <cellStyle name="40% - Accent6 3 2 3 3 4" xfId="20531"/>
    <cellStyle name="40% - Accent6 3 2 3 4" xfId="6381"/>
    <cellStyle name="40% - Accent6 3 2 3 4 2" xfId="14356"/>
    <cellStyle name="40% - Accent6 3 2 3 4 3" xfId="22303"/>
    <cellStyle name="40% - Accent6 3 2 3 5" xfId="9924"/>
    <cellStyle name="40% - Accent6 3 2 3 5 2" xfId="17882"/>
    <cellStyle name="40% - Accent6 3 2 3 5 3" xfId="25826"/>
    <cellStyle name="40% - Accent6 3 2 3 6" xfId="10820"/>
    <cellStyle name="40% - Accent6 3 2 3 7" xfId="18775"/>
    <cellStyle name="40% - Accent6 3 2 3_Exh G" xfId="3361"/>
    <cellStyle name="40% - Accent6 3 2 4" xfId="1638"/>
    <cellStyle name="40% - Accent6 3 2 4 2" xfId="5168"/>
    <cellStyle name="40% - Accent6 3 2 4 2 2" xfId="8759"/>
    <cellStyle name="40% - Accent6 3 2 4 2 2 2" xfId="16730"/>
    <cellStyle name="40% - Accent6 3 2 4 2 2 3" xfId="24676"/>
    <cellStyle name="40% - Accent6 3 2 4 2 3" xfId="13192"/>
    <cellStyle name="40% - Accent6 3 2 4 2 4" xfId="21147"/>
    <cellStyle name="40% - Accent6 3 2 4 3" xfId="7000"/>
    <cellStyle name="40% - Accent6 3 2 4 3 2" xfId="14972"/>
    <cellStyle name="40% - Accent6 3 2 4 3 3" xfId="22919"/>
    <cellStyle name="40% - Accent6 3 2 4 4" xfId="11436"/>
    <cellStyle name="40% - Accent6 3 2 4 5" xfId="19391"/>
    <cellStyle name="40% - Accent6 3 2 4_Exh G" xfId="3363"/>
    <cellStyle name="40% - Accent6 3 2 5" xfId="4289"/>
    <cellStyle name="40% - Accent6 3 2 5 2" xfId="7881"/>
    <cellStyle name="40% - Accent6 3 2 5 2 2" xfId="15852"/>
    <cellStyle name="40% - Accent6 3 2 5 2 3" xfId="23798"/>
    <cellStyle name="40% - Accent6 3 2 5 3" xfId="12314"/>
    <cellStyle name="40% - Accent6 3 2 5 4" xfId="20269"/>
    <cellStyle name="40% - Accent6 3 2 6" xfId="6109"/>
    <cellStyle name="40% - Accent6 3 2 6 2" xfId="14093"/>
    <cellStyle name="40% - Accent6 3 2 6 3" xfId="22041"/>
    <cellStyle name="40% - Accent6 3 2 7" xfId="9662"/>
    <cellStyle name="40% - Accent6 3 2 7 2" xfId="17620"/>
    <cellStyle name="40% - Accent6 3 2 7 3" xfId="25564"/>
    <cellStyle name="40% - Accent6 3 2 8" xfId="10558"/>
    <cellStyle name="40% - Accent6 3 2 9" xfId="18513"/>
    <cellStyle name="40% - Accent6 3 2_Exh G" xfId="3358"/>
    <cellStyle name="40% - Accent6 3 3" xfId="612"/>
    <cellStyle name="40% - Accent6 3 3 2" xfId="1640"/>
    <cellStyle name="40% - Accent6 3 3 2 2" xfId="5170"/>
    <cellStyle name="40% - Accent6 3 3 2 2 2" xfId="8761"/>
    <cellStyle name="40% - Accent6 3 3 2 2 2 2" xfId="16732"/>
    <cellStyle name="40% - Accent6 3 3 2 2 2 3" xfId="24678"/>
    <cellStyle name="40% - Accent6 3 3 2 2 3" xfId="13194"/>
    <cellStyle name="40% - Accent6 3 3 2 2 4" xfId="21149"/>
    <cellStyle name="40% - Accent6 3 3 2 3" xfId="7002"/>
    <cellStyle name="40% - Accent6 3 3 2 3 2" xfId="14974"/>
    <cellStyle name="40% - Accent6 3 3 2 3 3" xfId="22921"/>
    <cellStyle name="40% - Accent6 3 3 2 4" xfId="11438"/>
    <cellStyle name="40% - Accent6 3 3 2 5" xfId="19393"/>
    <cellStyle name="40% - Accent6 3 3 2_Exh G" xfId="3365"/>
    <cellStyle name="40% - Accent6 3 3 3" xfId="4291"/>
    <cellStyle name="40% - Accent6 3 3 3 2" xfId="7883"/>
    <cellStyle name="40% - Accent6 3 3 3 2 2" xfId="15854"/>
    <cellStyle name="40% - Accent6 3 3 3 2 3" xfId="23800"/>
    <cellStyle name="40% - Accent6 3 3 3 3" xfId="12316"/>
    <cellStyle name="40% - Accent6 3 3 3 4" xfId="20271"/>
    <cellStyle name="40% - Accent6 3 3 4" xfId="6111"/>
    <cellStyle name="40% - Accent6 3 3 4 2" xfId="14095"/>
    <cellStyle name="40% - Accent6 3 3 4 3" xfId="22043"/>
    <cellStyle name="40% - Accent6 3 3 5" xfId="9664"/>
    <cellStyle name="40% - Accent6 3 3 5 2" xfId="17622"/>
    <cellStyle name="40% - Accent6 3 3 5 3" xfId="25566"/>
    <cellStyle name="40% - Accent6 3 3 6" xfId="10560"/>
    <cellStyle name="40% - Accent6 3 3 7" xfId="18515"/>
    <cellStyle name="40% - Accent6 3 3_Exh G" xfId="3364"/>
    <cellStyle name="40% - Accent6 3 4" xfId="997"/>
    <cellStyle name="40% - Accent6 3 4 2" xfId="1911"/>
    <cellStyle name="40% - Accent6 3 4 2 2" xfId="5429"/>
    <cellStyle name="40% - Accent6 3 4 2 2 2" xfId="9020"/>
    <cellStyle name="40% - Accent6 3 4 2 2 2 2" xfId="16991"/>
    <cellStyle name="40% - Accent6 3 4 2 2 2 3" xfId="24937"/>
    <cellStyle name="40% - Accent6 3 4 2 2 3" xfId="13453"/>
    <cellStyle name="40% - Accent6 3 4 2 2 4" xfId="21408"/>
    <cellStyle name="40% - Accent6 3 4 2 3" xfId="7261"/>
    <cellStyle name="40% - Accent6 3 4 2 3 2" xfId="15233"/>
    <cellStyle name="40% - Accent6 3 4 2 3 3" xfId="23180"/>
    <cellStyle name="40% - Accent6 3 4 2 4" xfId="11697"/>
    <cellStyle name="40% - Accent6 3 4 2 5" xfId="19652"/>
    <cellStyle name="40% - Accent6 3 4 2_Exh G" xfId="3367"/>
    <cellStyle name="40% - Accent6 3 4 3" xfId="4550"/>
    <cellStyle name="40% - Accent6 3 4 3 2" xfId="8142"/>
    <cellStyle name="40% - Accent6 3 4 3 2 2" xfId="16113"/>
    <cellStyle name="40% - Accent6 3 4 3 2 3" xfId="24059"/>
    <cellStyle name="40% - Accent6 3 4 3 3" xfId="12575"/>
    <cellStyle name="40% - Accent6 3 4 3 4" xfId="20530"/>
    <cellStyle name="40% - Accent6 3 4 4" xfId="6380"/>
    <cellStyle name="40% - Accent6 3 4 4 2" xfId="14355"/>
    <cellStyle name="40% - Accent6 3 4 4 3" xfId="22302"/>
    <cellStyle name="40% - Accent6 3 4 5" xfId="9923"/>
    <cellStyle name="40% - Accent6 3 4 5 2" xfId="17881"/>
    <cellStyle name="40% - Accent6 3 4 5 3" xfId="25825"/>
    <cellStyle name="40% - Accent6 3 4 6" xfId="10819"/>
    <cellStyle name="40% - Accent6 3 4 7" xfId="18774"/>
    <cellStyle name="40% - Accent6 3 4_Exh G" xfId="3366"/>
    <cellStyle name="40% - Accent6 3 5" xfId="1637"/>
    <cellStyle name="40% - Accent6 3 5 2" xfId="5167"/>
    <cellStyle name="40% - Accent6 3 5 2 2" xfId="8758"/>
    <cellStyle name="40% - Accent6 3 5 2 2 2" xfId="16729"/>
    <cellStyle name="40% - Accent6 3 5 2 2 3" xfId="24675"/>
    <cellStyle name="40% - Accent6 3 5 2 3" xfId="13191"/>
    <cellStyle name="40% - Accent6 3 5 2 4" xfId="21146"/>
    <cellStyle name="40% - Accent6 3 5 3" xfId="6999"/>
    <cellStyle name="40% - Accent6 3 5 3 2" xfId="14971"/>
    <cellStyle name="40% - Accent6 3 5 3 3" xfId="22918"/>
    <cellStyle name="40% - Accent6 3 5 4" xfId="11435"/>
    <cellStyle name="40% - Accent6 3 5 5" xfId="19390"/>
    <cellStyle name="40% - Accent6 3 5_Exh G" xfId="3368"/>
    <cellStyle name="40% - Accent6 3 6" xfId="4288"/>
    <cellStyle name="40% - Accent6 3 6 2" xfId="7880"/>
    <cellStyle name="40% - Accent6 3 6 2 2" xfId="15851"/>
    <cellStyle name="40% - Accent6 3 6 2 3" xfId="23797"/>
    <cellStyle name="40% - Accent6 3 6 3" xfId="12313"/>
    <cellStyle name="40% - Accent6 3 6 4" xfId="20268"/>
    <cellStyle name="40% - Accent6 3 7" xfId="6108"/>
    <cellStyle name="40% - Accent6 3 7 2" xfId="14092"/>
    <cellStyle name="40% - Accent6 3 7 3" xfId="22040"/>
    <cellStyle name="40% - Accent6 3 8" xfId="9661"/>
    <cellStyle name="40% - Accent6 3 8 2" xfId="17619"/>
    <cellStyle name="40% - Accent6 3 8 3" xfId="25563"/>
    <cellStyle name="40% - Accent6 3 9" xfId="10557"/>
    <cellStyle name="40% - Accent6 3_Exh G" xfId="3357"/>
    <cellStyle name="40% - Accent6 4" xfId="613"/>
    <cellStyle name="40% - Accent6 4 10" xfId="18516"/>
    <cellStyle name="40% - Accent6 4 2" xfId="614"/>
    <cellStyle name="40% - Accent6 4 2 2" xfId="615"/>
    <cellStyle name="40% - Accent6 4 2 2 2" xfId="1643"/>
    <cellStyle name="40% - Accent6 4 2 2 2 2" xfId="5173"/>
    <cellStyle name="40% - Accent6 4 2 2 2 2 2" xfId="8764"/>
    <cellStyle name="40% - Accent6 4 2 2 2 2 2 2" xfId="16735"/>
    <cellStyle name="40% - Accent6 4 2 2 2 2 2 3" xfId="24681"/>
    <cellStyle name="40% - Accent6 4 2 2 2 2 3" xfId="13197"/>
    <cellStyle name="40% - Accent6 4 2 2 2 2 4" xfId="21152"/>
    <cellStyle name="40% - Accent6 4 2 2 2 3" xfId="7005"/>
    <cellStyle name="40% - Accent6 4 2 2 2 3 2" xfId="14977"/>
    <cellStyle name="40% - Accent6 4 2 2 2 3 3" xfId="22924"/>
    <cellStyle name="40% - Accent6 4 2 2 2 4" xfId="11441"/>
    <cellStyle name="40% - Accent6 4 2 2 2 5" xfId="19396"/>
    <cellStyle name="40% - Accent6 4 2 2 2_Exh G" xfId="3372"/>
    <cellStyle name="40% - Accent6 4 2 2 3" xfId="4294"/>
    <cellStyle name="40% - Accent6 4 2 2 3 2" xfId="7886"/>
    <cellStyle name="40% - Accent6 4 2 2 3 2 2" xfId="15857"/>
    <cellStyle name="40% - Accent6 4 2 2 3 2 3" xfId="23803"/>
    <cellStyle name="40% - Accent6 4 2 2 3 3" xfId="12319"/>
    <cellStyle name="40% - Accent6 4 2 2 3 4" xfId="20274"/>
    <cellStyle name="40% - Accent6 4 2 2 4" xfId="6114"/>
    <cellStyle name="40% - Accent6 4 2 2 4 2" xfId="14098"/>
    <cellStyle name="40% - Accent6 4 2 2 4 3" xfId="22046"/>
    <cellStyle name="40% - Accent6 4 2 2 5" xfId="9667"/>
    <cellStyle name="40% - Accent6 4 2 2 5 2" xfId="17625"/>
    <cellStyle name="40% - Accent6 4 2 2 5 3" xfId="25569"/>
    <cellStyle name="40% - Accent6 4 2 2 6" xfId="10563"/>
    <cellStyle name="40% - Accent6 4 2 2 7" xfId="18518"/>
    <cellStyle name="40% - Accent6 4 2 2_Exh G" xfId="3371"/>
    <cellStyle name="40% - Accent6 4 2 3" xfId="1000"/>
    <cellStyle name="40% - Accent6 4 2 3 2" xfId="1914"/>
    <cellStyle name="40% - Accent6 4 2 3 2 2" xfId="5432"/>
    <cellStyle name="40% - Accent6 4 2 3 2 2 2" xfId="9023"/>
    <cellStyle name="40% - Accent6 4 2 3 2 2 2 2" xfId="16994"/>
    <cellStyle name="40% - Accent6 4 2 3 2 2 2 3" xfId="24940"/>
    <cellStyle name="40% - Accent6 4 2 3 2 2 3" xfId="13456"/>
    <cellStyle name="40% - Accent6 4 2 3 2 2 4" xfId="21411"/>
    <cellStyle name="40% - Accent6 4 2 3 2 3" xfId="7264"/>
    <cellStyle name="40% - Accent6 4 2 3 2 3 2" xfId="15236"/>
    <cellStyle name="40% - Accent6 4 2 3 2 3 3" xfId="23183"/>
    <cellStyle name="40% - Accent6 4 2 3 2 4" xfId="11700"/>
    <cellStyle name="40% - Accent6 4 2 3 2 5" xfId="19655"/>
    <cellStyle name="40% - Accent6 4 2 3 2_Exh G" xfId="3374"/>
    <cellStyle name="40% - Accent6 4 2 3 3" xfId="4553"/>
    <cellStyle name="40% - Accent6 4 2 3 3 2" xfId="8145"/>
    <cellStyle name="40% - Accent6 4 2 3 3 2 2" xfId="16116"/>
    <cellStyle name="40% - Accent6 4 2 3 3 2 3" xfId="24062"/>
    <cellStyle name="40% - Accent6 4 2 3 3 3" xfId="12578"/>
    <cellStyle name="40% - Accent6 4 2 3 3 4" xfId="20533"/>
    <cellStyle name="40% - Accent6 4 2 3 4" xfId="6383"/>
    <cellStyle name="40% - Accent6 4 2 3 4 2" xfId="14358"/>
    <cellStyle name="40% - Accent6 4 2 3 4 3" xfId="22305"/>
    <cellStyle name="40% - Accent6 4 2 3 5" xfId="9926"/>
    <cellStyle name="40% - Accent6 4 2 3 5 2" xfId="17884"/>
    <cellStyle name="40% - Accent6 4 2 3 5 3" xfId="25828"/>
    <cellStyle name="40% - Accent6 4 2 3 6" xfId="10822"/>
    <cellStyle name="40% - Accent6 4 2 3 7" xfId="18777"/>
    <cellStyle name="40% - Accent6 4 2 3_Exh G" xfId="3373"/>
    <cellStyle name="40% - Accent6 4 2 4" xfId="1642"/>
    <cellStyle name="40% - Accent6 4 2 4 2" xfId="5172"/>
    <cellStyle name="40% - Accent6 4 2 4 2 2" xfId="8763"/>
    <cellStyle name="40% - Accent6 4 2 4 2 2 2" xfId="16734"/>
    <cellStyle name="40% - Accent6 4 2 4 2 2 3" xfId="24680"/>
    <cellStyle name="40% - Accent6 4 2 4 2 3" xfId="13196"/>
    <cellStyle name="40% - Accent6 4 2 4 2 4" xfId="21151"/>
    <cellStyle name="40% - Accent6 4 2 4 3" xfId="7004"/>
    <cellStyle name="40% - Accent6 4 2 4 3 2" xfId="14976"/>
    <cellStyle name="40% - Accent6 4 2 4 3 3" xfId="22923"/>
    <cellStyle name="40% - Accent6 4 2 4 4" xfId="11440"/>
    <cellStyle name="40% - Accent6 4 2 4 5" xfId="19395"/>
    <cellStyle name="40% - Accent6 4 2 4_Exh G" xfId="3375"/>
    <cellStyle name="40% - Accent6 4 2 5" xfId="4293"/>
    <cellStyle name="40% - Accent6 4 2 5 2" xfId="7885"/>
    <cellStyle name="40% - Accent6 4 2 5 2 2" xfId="15856"/>
    <cellStyle name="40% - Accent6 4 2 5 2 3" xfId="23802"/>
    <cellStyle name="40% - Accent6 4 2 5 3" xfId="12318"/>
    <cellStyle name="40% - Accent6 4 2 5 4" xfId="20273"/>
    <cellStyle name="40% - Accent6 4 2 6" xfId="6113"/>
    <cellStyle name="40% - Accent6 4 2 6 2" xfId="14097"/>
    <cellStyle name="40% - Accent6 4 2 6 3" xfId="22045"/>
    <cellStyle name="40% - Accent6 4 2 7" xfId="9666"/>
    <cellStyle name="40% - Accent6 4 2 7 2" xfId="17624"/>
    <cellStyle name="40% - Accent6 4 2 7 3" xfId="25568"/>
    <cellStyle name="40% - Accent6 4 2 8" xfId="10562"/>
    <cellStyle name="40% - Accent6 4 2 9" xfId="18517"/>
    <cellStyle name="40% - Accent6 4 2_Exh G" xfId="3370"/>
    <cellStyle name="40% - Accent6 4 3" xfId="616"/>
    <cellStyle name="40% - Accent6 4 3 2" xfId="1644"/>
    <cellStyle name="40% - Accent6 4 3 2 2" xfId="5174"/>
    <cellStyle name="40% - Accent6 4 3 2 2 2" xfId="8765"/>
    <cellStyle name="40% - Accent6 4 3 2 2 2 2" xfId="16736"/>
    <cellStyle name="40% - Accent6 4 3 2 2 2 3" xfId="24682"/>
    <cellStyle name="40% - Accent6 4 3 2 2 3" xfId="13198"/>
    <cellStyle name="40% - Accent6 4 3 2 2 4" xfId="21153"/>
    <cellStyle name="40% - Accent6 4 3 2 3" xfId="7006"/>
    <cellStyle name="40% - Accent6 4 3 2 3 2" xfId="14978"/>
    <cellStyle name="40% - Accent6 4 3 2 3 3" xfId="22925"/>
    <cellStyle name="40% - Accent6 4 3 2 4" xfId="11442"/>
    <cellStyle name="40% - Accent6 4 3 2 5" xfId="19397"/>
    <cellStyle name="40% - Accent6 4 3 2_Exh G" xfId="3377"/>
    <cellStyle name="40% - Accent6 4 3 3" xfId="4295"/>
    <cellStyle name="40% - Accent6 4 3 3 2" xfId="7887"/>
    <cellStyle name="40% - Accent6 4 3 3 2 2" xfId="15858"/>
    <cellStyle name="40% - Accent6 4 3 3 2 3" xfId="23804"/>
    <cellStyle name="40% - Accent6 4 3 3 3" xfId="12320"/>
    <cellStyle name="40% - Accent6 4 3 3 4" xfId="20275"/>
    <cellStyle name="40% - Accent6 4 3 4" xfId="6115"/>
    <cellStyle name="40% - Accent6 4 3 4 2" xfId="14099"/>
    <cellStyle name="40% - Accent6 4 3 4 3" xfId="22047"/>
    <cellStyle name="40% - Accent6 4 3 5" xfId="9668"/>
    <cellStyle name="40% - Accent6 4 3 5 2" xfId="17626"/>
    <cellStyle name="40% - Accent6 4 3 5 3" xfId="25570"/>
    <cellStyle name="40% - Accent6 4 3 6" xfId="10564"/>
    <cellStyle name="40% - Accent6 4 3 7" xfId="18519"/>
    <cellStyle name="40% - Accent6 4 3_Exh G" xfId="3376"/>
    <cellStyle name="40% - Accent6 4 4" xfId="999"/>
    <cellStyle name="40% - Accent6 4 4 2" xfId="1913"/>
    <cellStyle name="40% - Accent6 4 4 2 2" xfId="5431"/>
    <cellStyle name="40% - Accent6 4 4 2 2 2" xfId="9022"/>
    <cellStyle name="40% - Accent6 4 4 2 2 2 2" xfId="16993"/>
    <cellStyle name="40% - Accent6 4 4 2 2 2 3" xfId="24939"/>
    <cellStyle name="40% - Accent6 4 4 2 2 3" xfId="13455"/>
    <cellStyle name="40% - Accent6 4 4 2 2 4" xfId="21410"/>
    <cellStyle name="40% - Accent6 4 4 2 3" xfId="7263"/>
    <cellStyle name="40% - Accent6 4 4 2 3 2" xfId="15235"/>
    <cellStyle name="40% - Accent6 4 4 2 3 3" xfId="23182"/>
    <cellStyle name="40% - Accent6 4 4 2 4" xfId="11699"/>
    <cellStyle name="40% - Accent6 4 4 2 5" xfId="19654"/>
    <cellStyle name="40% - Accent6 4 4 2_Exh G" xfId="3379"/>
    <cellStyle name="40% - Accent6 4 4 3" xfId="4552"/>
    <cellStyle name="40% - Accent6 4 4 3 2" xfId="8144"/>
    <cellStyle name="40% - Accent6 4 4 3 2 2" xfId="16115"/>
    <cellStyle name="40% - Accent6 4 4 3 2 3" xfId="24061"/>
    <cellStyle name="40% - Accent6 4 4 3 3" xfId="12577"/>
    <cellStyle name="40% - Accent6 4 4 3 4" xfId="20532"/>
    <cellStyle name="40% - Accent6 4 4 4" xfId="6382"/>
    <cellStyle name="40% - Accent6 4 4 4 2" xfId="14357"/>
    <cellStyle name="40% - Accent6 4 4 4 3" xfId="22304"/>
    <cellStyle name="40% - Accent6 4 4 5" xfId="9925"/>
    <cellStyle name="40% - Accent6 4 4 5 2" xfId="17883"/>
    <cellStyle name="40% - Accent6 4 4 5 3" xfId="25827"/>
    <cellStyle name="40% - Accent6 4 4 6" xfId="10821"/>
    <cellStyle name="40% - Accent6 4 4 7" xfId="18776"/>
    <cellStyle name="40% - Accent6 4 4_Exh G" xfId="3378"/>
    <cellStyle name="40% - Accent6 4 5" xfId="1641"/>
    <cellStyle name="40% - Accent6 4 5 2" xfId="5171"/>
    <cellStyle name="40% - Accent6 4 5 2 2" xfId="8762"/>
    <cellStyle name="40% - Accent6 4 5 2 2 2" xfId="16733"/>
    <cellStyle name="40% - Accent6 4 5 2 2 3" xfId="24679"/>
    <cellStyle name="40% - Accent6 4 5 2 3" xfId="13195"/>
    <cellStyle name="40% - Accent6 4 5 2 4" xfId="21150"/>
    <cellStyle name="40% - Accent6 4 5 3" xfId="7003"/>
    <cellStyle name="40% - Accent6 4 5 3 2" xfId="14975"/>
    <cellStyle name="40% - Accent6 4 5 3 3" xfId="22922"/>
    <cellStyle name="40% - Accent6 4 5 4" xfId="11439"/>
    <cellStyle name="40% - Accent6 4 5 5" xfId="19394"/>
    <cellStyle name="40% - Accent6 4 5_Exh G" xfId="3380"/>
    <cellStyle name="40% - Accent6 4 6" xfId="4292"/>
    <cellStyle name="40% - Accent6 4 6 2" xfId="7884"/>
    <cellStyle name="40% - Accent6 4 6 2 2" xfId="15855"/>
    <cellStyle name="40% - Accent6 4 6 2 3" xfId="23801"/>
    <cellStyle name="40% - Accent6 4 6 3" xfId="12317"/>
    <cellStyle name="40% - Accent6 4 6 4" xfId="20272"/>
    <cellStyle name="40% - Accent6 4 7" xfId="6112"/>
    <cellStyle name="40% - Accent6 4 7 2" xfId="14096"/>
    <cellStyle name="40% - Accent6 4 7 3" xfId="22044"/>
    <cellStyle name="40% - Accent6 4 8" xfId="9665"/>
    <cellStyle name="40% - Accent6 4 8 2" xfId="17623"/>
    <cellStyle name="40% - Accent6 4 8 3" xfId="25567"/>
    <cellStyle name="40% - Accent6 4 9" xfId="10561"/>
    <cellStyle name="40% - Accent6 4_Exh G" xfId="3369"/>
    <cellStyle name="40% - Accent6 5" xfId="617"/>
    <cellStyle name="40% - Accent6 5 10" xfId="18520"/>
    <cellStyle name="40% - Accent6 5 2" xfId="618"/>
    <cellStyle name="40% - Accent6 5 2 2" xfId="619"/>
    <cellStyle name="40% - Accent6 5 2 2 2" xfId="1647"/>
    <cellStyle name="40% - Accent6 5 2 2 2 2" xfId="5177"/>
    <cellStyle name="40% - Accent6 5 2 2 2 2 2" xfId="8768"/>
    <cellStyle name="40% - Accent6 5 2 2 2 2 2 2" xfId="16739"/>
    <cellStyle name="40% - Accent6 5 2 2 2 2 2 3" xfId="24685"/>
    <cellStyle name="40% - Accent6 5 2 2 2 2 3" xfId="13201"/>
    <cellStyle name="40% - Accent6 5 2 2 2 2 4" xfId="21156"/>
    <cellStyle name="40% - Accent6 5 2 2 2 3" xfId="7009"/>
    <cellStyle name="40% - Accent6 5 2 2 2 3 2" xfId="14981"/>
    <cellStyle name="40% - Accent6 5 2 2 2 3 3" xfId="22928"/>
    <cellStyle name="40% - Accent6 5 2 2 2 4" xfId="11445"/>
    <cellStyle name="40% - Accent6 5 2 2 2 5" xfId="19400"/>
    <cellStyle name="40% - Accent6 5 2 2 2_Exh G" xfId="3384"/>
    <cellStyle name="40% - Accent6 5 2 2 3" xfId="4298"/>
    <cellStyle name="40% - Accent6 5 2 2 3 2" xfId="7890"/>
    <cellStyle name="40% - Accent6 5 2 2 3 2 2" xfId="15861"/>
    <cellStyle name="40% - Accent6 5 2 2 3 2 3" xfId="23807"/>
    <cellStyle name="40% - Accent6 5 2 2 3 3" xfId="12323"/>
    <cellStyle name="40% - Accent6 5 2 2 3 4" xfId="20278"/>
    <cellStyle name="40% - Accent6 5 2 2 4" xfId="6118"/>
    <cellStyle name="40% - Accent6 5 2 2 4 2" xfId="14102"/>
    <cellStyle name="40% - Accent6 5 2 2 4 3" xfId="22050"/>
    <cellStyle name="40% - Accent6 5 2 2 5" xfId="9671"/>
    <cellStyle name="40% - Accent6 5 2 2 5 2" xfId="17629"/>
    <cellStyle name="40% - Accent6 5 2 2 5 3" xfId="25573"/>
    <cellStyle name="40% - Accent6 5 2 2 6" xfId="10567"/>
    <cellStyle name="40% - Accent6 5 2 2 7" xfId="18522"/>
    <cellStyle name="40% - Accent6 5 2 2_Exh G" xfId="3383"/>
    <cellStyle name="40% - Accent6 5 2 3" xfId="1646"/>
    <cellStyle name="40% - Accent6 5 2 3 2" xfId="5176"/>
    <cellStyle name="40% - Accent6 5 2 3 2 2" xfId="8767"/>
    <cellStyle name="40% - Accent6 5 2 3 2 2 2" xfId="16738"/>
    <cellStyle name="40% - Accent6 5 2 3 2 2 3" xfId="24684"/>
    <cellStyle name="40% - Accent6 5 2 3 2 3" xfId="13200"/>
    <cellStyle name="40% - Accent6 5 2 3 2 4" xfId="21155"/>
    <cellStyle name="40% - Accent6 5 2 3 3" xfId="7008"/>
    <cellStyle name="40% - Accent6 5 2 3 3 2" xfId="14980"/>
    <cellStyle name="40% - Accent6 5 2 3 3 3" xfId="22927"/>
    <cellStyle name="40% - Accent6 5 2 3 4" xfId="11444"/>
    <cellStyle name="40% - Accent6 5 2 3 5" xfId="19399"/>
    <cellStyle name="40% - Accent6 5 2 3_Exh G" xfId="3385"/>
    <cellStyle name="40% - Accent6 5 2 4" xfId="4297"/>
    <cellStyle name="40% - Accent6 5 2 4 2" xfId="7889"/>
    <cellStyle name="40% - Accent6 5 2 4 2 2" xfId="15860"/>
    <cellStyle name="40% - Accent6 5 2 4 2 3" xfId="23806"/>
    <cellStyle name="40% - Accent6 5 2 4 3" xfId="12322"/>
    <cellStyle name="40% - Accent6 5 2 4 4" xfId="20277"/>
    <cellStyle name="40% - Accent6 5 2 5" xfId="6117"/>
    <cellStyle name="40% - Accent6 5 2 5 2" xfId="14101"/>
    <cellStyle name="40% - Accent6 5 2 5 3" xfId="22049"/>
    <cellStyle name="40% - Accent6 5 2 6" xfId="9670"/>
    <cellStyle name="40% - Accent6 5 2 6 2" xfId="17628"/>
    <cellStyle name="40% - Accent6 5 2 6 3" xfId="25572"/>
    <cellStyle name="40% - Accent6 5 2 7" xfId="10566"/>
    <cellStyle name="40% - Accent6 5 2 8" xfId="18521"/>
    <cellStyle name="40% - Accent6 5 2_Exh G" xfId="3382"/>
    <cellStyle name="40% - Accent6 5 3" xfId="620"/>
    <cellStyle name="40% - Accent6 5 3 2" xfId="1648"/>
    <cellStyle name="40% - Accent6 5 3 2 2" xfId="5178"/>
    <cellStyle name="40% - Accent6 5 3 2 2 2" xfId="8769"/>
    <cellStyle name="40% - Accent6 5 3 2 2 2 2" xfId="16740"/>
    <cellStyle name="40% - Accent6 5 3 2 2 2 3" xfId="24686"/>
    <cellStyle name="40% - Accent6 5 3 2 2 3" xfId="13202"/>
    <cellStyle name="40% - Accent6 5 3 2 2 4" xfId="21157"/>
    <cellStyle name="40% - Accent6 5 3 2 3" xfId="7010"/>
    <cellStyle name="40% - Accent6 5 3 2 3 2" xfId="14982"/>
    <cellStyle name="40% - Accent6 5 3 2 3 3" xfId="22929"/>
    <cellStyle name="40% - Accent6 5 3 2 4" xfId="11446"/>
    <cellStyle name="40% - Accent6 5 3 2 5" xfId="19401"/>
    <cellStyle name="40% - Accent6 5 3 2_Exh G" xfId="3387"/>
    <cellStyle name="40% - Accent6 5 3 3" xfId="4299"/>
    <cellStyle name="40% - Accent6 5 3 3 2" xfId="7891"/>
    <cellStyle name="40% - Accent6 5 3 3 2 2" xfId="15862"/>
    <cellStyle name="40% - Accent6 5 3 3 2 3" xfId="23808"/>
    <cellStyle name="40% - Accent6 5 3 3 3" xfId="12324"/>
    <cellStyle name="40% - Accent6 5 3 3 4" xfId="20279"/>
    <cellStyle name="40% - Accent6 5 3 4" xfId="6119"/>
    <cellStyle name="40% - Accent6 5 3 4 2" xfId="14103"/>
    <cellStyle name="40% - Accent6 5 3 4 3" xfId="22051"/>
    <cellStyle name="40% - Accent6 5 3 5" xfId="9672"/>
    <cellStyle name="40% - Accent6 5 3 5 2" xfId="17630"/>
    <cellStyle name="40% - Accent6 5 3 5 3" xfId="25574"/>
    <cellStyle name="40% - Accent6 5 3 6" xfId="10568"/>
    <cellStyle name="40% - Accent6 5 3 7" xfId="18523"/>
    <cellStyle name="40% - Accent6 5 3_Exh G" xfId="3386"/>
    <cellStyle name="40% - Accent6 5 4" xfId="1001"/>
    <cellStyle name="40% - Accent6 5 5" xfId="1645"/>
    <cellStyle name="40% - Accent6 5 5 2" xfId="5175"/>
    <cellStyle name="40% - Accent6 5 5 2 2" xfId="8766"/>
    <cellStyle name="40% - Accent6 5 5 2 2 2" xfId="16737"/>
    <cellStyle name="40% - Accent6 5 5 2 2 3" xfId="24683"/>
    <cellStyle name="40% - Accent6 5 5 2 3" xfId="13199"/>
    <cellStyle name="40% - Accent6 5 5 2 4" xfId="21154"/>
    <cellStyle name="40% - Accent6 5 5 3" xfId="7007"/>
    <cellStyle name="40% - Accent6 5 5 3 2" xfId="14979"/>
    <cellStyle name="40% - Accent6 5 5 3 3" xfId="22926"/>
    <cellStyle name="40% - Accent6 5 5 4" xfId="11443"/>
    <cellStyle name="40% - Accent6 5 5 5" xfId="19398"/>
    <cellStyle name="40% - Accent6 5 5_Exh G" xfId="3388"/>
    <cellStyle name="40% - Accent6 5 6" xfId="4296"/>
    <cellStyle name="40% - Accent6 5 6 2" xfId="7888"/>
    <cellStyle name="40% - Accent6 5 6 2 2" xfId="15859"/>
    <cellStyle name="40% - Accent6 5 6 2 3" xfId="23805"/>
    <cellStyle name="40% - Accent6 5 6 3" xfId="12321"/>
    <cellStyle name="40% - Accent6 5 6 4" xfId="20276"/>
    <cellStyle name="40% - Accent6 5 7" xfId="6116"/>
    <cellStyle name="40% - Accent6 5 7 2" xfId="14100"/>
    <cellStyle name="40% - Accent6 5 7 3" xfId="22048"/>
    <cellStyle name="40% - Accent6 5 8" xfId="9669"/>
    <cellStyle name="40% - Accent6 5 8 2" xfId="17627"/>
    <cellStyle name="40% - Accent6 5 8 3" xfId="25571"/>
    <cellStyle name="40% - Accent6 5 9" xfId="10565"/>
    <cellStyle name="40% - Accent6 5_Exh G" xfId="3381"/>
    <cellStyle name="40% - Accent6 6" xfId="621"/>
    <cellStyle name="40% - Accent6 6 10" xfId="18524"/>
    <cellStyle name="40% - Accent6 6 2" xfId="622"/>
    <cellStyle name="40% - Accent6 6 2 2" xfId="623"/>
    <cellStyle name="40% - Accent6 6 2 2 2" xfId="1651"/>
    <cellStyle name="40% - Accent6 6 2 2 2 2" xfId="5181"/>
    <cellStyle name="40% - Accent6 6 2 2 2 2 2" xfId="8772"/>
    <cellStyle name="40% - Accent6 6 2 2 2 2 2 2" xfId="16743"/>
    <cellStyle name="40% - Accent6 6 2 2 2 2 2 3" xfId="24689"/>
    <cellStyle name="40% - Accent6 6 2 2 2 2 3" xfId="13205"/>
    <cellStyle name="40% - Accent6 6 2 2 2 2 4" xfId="21160"/>
    <cellStyle name="40% - Accent6 6 2 2 2 3" xfId="7013"/>
    <cellStyle name="40% - Accent6 6 2 2 2 3 2" xfId="14985"/>
    <cellStyle name="40% - Accent6 6 2 2 2 3 3" xfId="22932"/>
    <cellStyle name="40% - Accent6 6 2 2 2 4" xfId="11449"/>
    <cellStyle name="40% - Accent6 6 2 2 2 5" xfId="19404"/>
    <cellStyle name="40% - Accent6 6 2 2 2_Exh G" xfId="3392"/>
    <cellStyle name="40% - Accent6 6 2 2 3" xfId="4302"/>
    <cellStyle name="40% - Accent6 6 2 2 3 2" xfId="7894"/>
    <cellStyle name="40% - Accent6 6 2 2 3 2 2" xfId="15865"/>
    <cellStyle name="40% - Accent6 6 2 2 3 2 3" xfId="23811"/>
    <cellStyle name="40% - Accent6 6 2 2 3 3" xfId="12327"/>
    <cellStyle name="40% - Accent6 6 2 2 3 4" xfId="20282"/>
    <cellStyle name="40% - Accent6 6 2 2 4" xfId="6122"/>
    <cellStyle name="40% - Accent6 6 2 2 4 2" xfId="14106"/>
    <cellStyle name="40% - Accent6 6 2 2 4 3" xfId="22054"/>
    <cellStyle name="40% - Accent6 6 2 2 5" xfId="9675"/>
    <cellStyle name="40% - Accent6 6 2 2 5 2" xfId="17633"/>
    <cellStyle name="40% - Accent6 6 2 2 5 3" xfId="25577"/>
    <cellStyle name="40% - Accent6 6 2 2 6" xfId="10571"/>
    <cellStyle name="40% - Accent6 6 2 2 7" xfId="18526"/>
    <cellStyle name="40% - Accent6 6 2 2_Exh G" xfId="3391"/>
    <cellStyle name="40% - Accent6 6 2 3" xfId="1650"/>
    <cellStyle name="40% - Accent6 6 2 3 2" xfId="5180"/>
    <cellStyle name="40% - Accent6 6 2 3 2 2" xfId="8771"/>
    <cellStyle name="40% - Accent6 6 2 3 2 2 2" xfId="16742"/>
    <cellStyle name="40% - Accent6 6 2 3 2 2 3" xfId="24688"/>
    <cellStyle name="40% - Accent6 6 2 3 2 3" xfId="13204"/>
    <cellStyle name="40% - Accent6 6 2 3 2 4" xfId="21159"/>
    <cellStyle name="40% - Accent6 6 2 3 3" xfId="7012"/>
    <cellStyle name="40% - Accent6 6 2 3 3 2" xfId="14984"/>
    <cellStyle name="40% - Accent6 6 2 3 3 3" xfId="22931"/>
    <cellStyle name="40% - Accent6 6 2 3 4" xfId="11448"/>
    <cellStyle name="40% - Accent6 6 2 3 5" xfId="19403"/>
    <cellStyle name="40% - Accent6 6 2 3_Exh G" xfId="3393"/>
    <cellStyle name="40% - Accent6 6 2 4" xfId="4301"/>
    <cellStyle name="40% - Accent6 6 2 4 2" xfId="7893"/>
    <cellStyle name="40% - Accent6 6 2 4 2 2" xfId="15864"/>
    <cellStyle name="40% - Accent6 6 2 4 2 3" xfId="23810"/>
    <cellStyle name="40% - Accent6 6 2 4 3" xfId="12326"/>
    <cellStyle name="40% - Accent6 6 2 4 4" xfId="20281"/>
    <cellStyle name="40% - Accent6 6 2 5" xfId="6121"/>
    <cellStyle name="40% - Accent6 6 2 5 2" xfId="14105"/>
    <cellStyle name="40% - Accent6 6 2 5 3" xfId="22053"/>
    <cellStyle name="40% - Accent6 6 2 6" xfId="9674"/>
    <cellStyle name="40% - Accent6 6 2 6 2" xfId="17632"/>
    <cellStyle name="40% - Accent6 6 2 6 3" xfId="25576"/>
    <cellStyle name="40% - Accent6 6 2 7" xfId="10570"/>
    <cellStyle name="40% - Accent6 6 2 8" xfId="18525"/>
    <cellStyle name="40% - Accent6 6 2_Exh G" xfId="3390"/>
    <cellStyle name="40% - Accent6 6 3" xfId="624"/>
    <cellStyle name="40% - Accent6 6 3 2" xfId="1652"/>
    <cellStyle name="40% - Accent6 6 3 2 2" xfId="5182"/>
    <cellStyle name="40% - Accent6 6 3 2 2 2" xfId="8773"/>
    <cellStyle name="40% - Accent6 6 3 2 2 2 2" xfId="16744"/>
    <cellStyle name="40% - Accent6 6 3 2 2 2 3" xfId="24690"/>
    <cellStyle name="40% - Accent6 6 3 2 2 3" xfId="13206"/>
    <cellStyle name="40% - Accent6 6 3 2 2 4" xfId="21161"/>
    <cellStyle name="40% - Accent6 6 3 2 3" xfId="7014"/>
    <cellStyle name="40% - Accent6 6 3 2 3 2" xfId="14986"/>
    <cellStyle name="40% - Accent6 6 3 2 3 3" xfId="22933"/>
    <cellStyle name="40% - Accent6 6 3 2 4" xfId="11450"/>
    <cellStyle name="40% - Accent6 6 3 2 5" xfId="19405"/>
    <cellStyle name="40% - Accent6 6 3 2_Exh G" xfId="3395"/>
    <cellStyle name="40% - Accent6 6 3 3" xfId="4303"/>
    <cellStyle name="40% - Accent6 6 3 3 2" xfId="7895"/>
    <cellStyle name="40% - Accent6 6 3 3 2 2" xfId="15866"/>
    <cellStyle name="40% - Accent6 6 3 3 2 3" xfId="23812"/>
    <cellStyle name="40% - Accent6 6 3 3 3" xfId="12328"/>
    <cellStyle name="40% - Accent6 6 3 3 4" xfId="20283"/>
    <cellStyle name="40% - Accent6 6 3 4" xfId="6123"/>
    <cellStyle name="40% - Accent6 6 3 4 2" xfId="14107"/>
    <cellStyle name="40% - Accent6 6 3 4 3" xfId="22055"/>
    <cellStyle name="40% - Accent6 6 3 5" xfId="9676"/>
    <cellStyle name="40% - Accent6 6 3 5 2" xfId="17634"/>
    <cellStyle name="40% - Accent6 6 3 5 3" xfId="25578"/>
    <cellStyle name="40% - Accent6 6 3 6" xfId="10572"/>
    <cellStyle name="40% - Accent6 6 3 7" xfId="18527"/>
    <cellStyle name="40% - Accent6 6 3_Exh G" xfId="3394"/>
    <cellStyle name="40% - Accent6 6 4" xfId="1002"/>
    <cellStyle name="40% - Accent6 6 4 2" xfId="1915"/>
    <cellStyle name="40% - Accent6 6 4 2 2" xfId="5433"/>
    <cellStyle name="40% - Accent6 6 4 2 2 2" xfId="9024"/>
    <cellStyle name="40% - Accent6 6 4 2 2 2 2" xfId="16995"/>
    <cellStyle name="40% - Accent6 6 4 2 2 2 3" xfId="24941"/>
    <cellStyle name="40% - Accent6 6 4 2 2 3" xfId="13457"/>
    <cellStyle name="40% - Accent6 6 4 2 2 4" xfId="21412"/>
    <cellStyle name="40% - Accent6 6 4 2 3" xfId="7265"/>
    <cellStyle name="40% - Accent6 6 4 2 3 2" xfId="15237"/>
    <cellStyle name="40% - Accent6 6 4 2 3 3" xfId="23184"/>
    <cellStyle name="40% - Accent6 6 4 2 4" xfId="11701"/>
    <cellStyle name="40% - Accent6 6 4 2 5" xfId="19656"/>
    <cellStyle name="40% - Accent6 6 4 2_Exh G" xfId="3397"/>
    <cellStyle name="40% - Accent6 6 4 3" xfId="4554"/>
    <cellStyle name="40% - Accent6 6 4 3 2" xfId="8146"/>
    <cellStyle name="40% - Accent6 6 4 3 2 2" xfId="16117"/>
    <cellStyle name="40% - Accent6 6 4 3 2 3" xfId="24063"/>
    <cellStyle name="40% - Accent6 6 4 3 3" xfId="12579"/>
    <cellStyle name="40% - Accent6 6 4 3 4" xfId="20534"/>
    <cellStyle name="40% - Accent6 6 4 4" xfId="6384"/>
    <cellStyle name="40% - Accent6 6 4 4 2" xfId="14359"/>
    <cellStyle name="40% - Accent6 6 4 4 3" xfId="22306"/>
    <cellStyle name="40% - Accent6 6 4 5" xfId="9927"/>
    <cellStyle name="40% - Accent6 6 4 5 2" xfId="17885"/>
    <cellStyle name="40% - Accent6 6 4 5 3" xfId="25829"/>
    <cellStyle name="40% - Accent6 6 4 6" xfId="10823"/>
    <cellStyle name="40% - Accent6 6 4 7" xfId="18778"/>
    <cellStyle name="40% - Accent6 6 4_Exh G" xfId="3396"/>
    <cellStyle name="40% - Accent6 6 5" xfId="1649"/>
    <cellStyle name="40% - Accent6 6 5 2" xfId="5179"/>
    <cellStyle name="40% - Accent6 6 5 2 2" xfId="8770"/>
    <cellStyle name="40% - Accent6 6 5 2 2 2" xfId="16741"/>
    <cellStyle name="40% - Accent6 6 5 2 2 3" xfId="24687"/>
    <cellStyle name="40% - Accent6 6 5 2 3" xfId="13203"/>
    <cellStyle name="40% - Accent6 6 5 2 4" xfId="21158"/>
    <cellStyle name="40% - Accent6 6 5 3" xfId="7011"/>
    <cellStyle name="40% - Accent6 6 5 3 2" xfId="14983"/>
    <cellStyle name="40% - Accent6 6 5 3 3" xfId="22930"/>
    <cellStyle name="40% - Accent6 6 5 4" xfId="11447"/>
    <cellStyle name="40% - Accent6 6 5 5" xfId="19402"/>
    <cellStyle name="40% - Accent6 6 5_Exh G" xfId="3398"/>
    <cellStyle name="40% - Accent6 6 6" xfId="4300"/>
    <cellStyle name="40% - Accent6 6 6 2" xfId="7892"/>
    <cellStyle name="40% - Accent6 6 6 2 2" xfId="15863"/>
    <cellStyle name="40% - Accent6 6 6 2 3" xfId="23809"/>
    <cellStyle name="40% - Accent6 6 6 3" xfId="12325"/>
    <cellStyle name="40% - Accent6 6 6 4" xfId="20280"/>
    <cellStyle name="40% - Accent6 6 7" xfId="6120"/>
    <cellStyle name="40% - Accent6 6 7 2" xfId="14104"/>
    <cellStyle name="40% - Accent6 6 7 3" xfId="22052"/>
    <cellStyle name="40% - Accent6 6 8" xfId="9673"/>
    <cellStyle name="40% - Accent6 6 8 2" xfId="17631"/>
    <cellStyle name="40% - Accent6 6 8 3" xfId="25575"/>
    <cellStyle name="40% - Accent6 6 9" xfId="10569"/>
    <cellStyle name="40% - Accent6 6_Exh G" xfId="3389"/>
    <cellStyle name="40% - Accent6 7" xfId="625"/>
    <cellStyle name="40% - Accent6 7 10" xfId="18528"/>
    <cellStyle name="40% - Accent6 7 2" xfId="626"/>
    <cellStyle name="40% - Accent6 7 2 2" xfId="627"/>
    <cellStyle name="40% - Accent6 7 2 2 2" xfId="1655"/>
    <cellStyle name="40% - Accent6 7 2 2 2 2" xfId="5185"/>
    <cellStyle name="40% - Accent6 7 2 2 2 2 2" xfId="8776"/>
    <cellStyle name="40% - Accent6 7 2 2 2 2 2 2" xfId="16747"/>
    <cellStyle name="40% - Accent6 7 2 2 2 2 2 3" xfId="24693"/>
    <cellStyle name="40% - Accent6 7 2 2 2 2 3" xfId="13209"/>
    <cellStyle name="40% - Accent6 7 2 2 2 2 4" xfId="21164"/>
    <cellStyle name="40% - Accent6 7 2 2 2 3" xfId="7017"/>
    <cellStyle name="40% - Accent6 7 2 2 2 3 2" xfId="14989"/>
    <cellStyle name="40% - Accent6 7 2 2 2 3 3" xfId="22936"/>
    <cellStyle name="40% - Accent6 7 2 2 2 4" xfId="11453"/>
    <cellStyle name="40% - Accent6 7 2 2 2 5" xfId="19408"/>
    <cellStyle name="40% - Accent6 7 2 2 2_Exh G" xfId="3402"/>
    <cellStyle name="40% - Accent6 7 2 2 3" xfId="4306"/>
    <cellStyle name="40% - Accent6 7 2 2 3 2" xfId="7898"/>
    <cellStyle name="40% - Accent6 7 2 2 3 2 2" xfId="15869"/>
    <cellStyle name="40% - Accent6 7 2 2 3 2 3" xfId="23815"/>
    <cellStyle name="40% - Accent6 7 2 2 3 3" xfId="12331"/>
    <cellStyle name="40% - Accent6 7 2 2 3 4" xfId="20286"/>
    <cellStyle name="40% - Accent6 7 2 2 4" xfId="6126"/>
    <cellStyle name="40% - Accent6 7 2 2 4 2" xfId="14110"/>
    <cellStyle name="40% - Accent6 7 2 2 4 3" xfId="22058"/>
    <cellStyle name="40% - Accent6 7 2 2 5" xfId="9679"/>
    <cellStyle name="40% - Accent6 7 2 2 5 2" xfId="17637"/>
    <cellStyle name="40% - Accent6 7 2 2 5 3" xfId="25581"/>
    <cellStyle name="40% - Accent6 7 2 2 6" xfId="10575"/>
    <cellStyle name="40% - Accent6 7 2 2 7" xfId="18530"/>
    <cellStyle name="40% - Accent6 7 2 2_Exh G" xfId="3401"/>
    <cellStyle name="40% - Accent6 7 2 3" xfId="1654"/>
    <cellStyle name="40% - Accent6 7 2 3 2" xfId="5184"/>
    <cellStyle name="40% - Accent6 7 2 3 2 2" xfId="8775"/>
    <cellStyle name="40% - Accent6 7 2 3 2 2 2" xfId="16746"/>
    <cellStyle name="40% - Accent6 7 2 3 2 2 3" xfId="24692"/>
    <cellStyle name="40% - Accent6 7 2 3 2 3" xfId="13208"/>
    <cellStyle name="40% - Accent6 7 2 3 2 4" xfId="21163"/>
    <cellStyle name="40% - Accent6 7 2 3 3" xfId="7016"/>
    <cellStyle name="40% - Accent6 7 2 3 3 2" xfId="14988"/>
    <cellStyle name="40% - Accent6 7 2 3 3 3" xfId="22935"/>
    <cellStyle name="40% - Accent6 7 2 3 4" xfId="11452"/>
    <cellStyle name="40% - Accent6 7 2 3 5" xfId="19407"/>
    <cellStyle name="40% - Accent6 7 2 3_Exh G" xfId="3403"/>
    <cellStyle name="40% - Accent6 7 2 4" xfId="4305"/>
    <cellStyle name="40% - Accent6 7 2 4 2" xfId="7897"/>
    <cellStyle name="40% - Accent6 7 2 4 2 2" xfId="15868"/>
    <cellStyle name="40% - Accent6 7 2 4 2 3" xfId="23814"/>
    <cellStyle name="40% - Accent6 7 2 4 3" xfId="12330"/>
    <cellStyle name="40% - Accent6 7 2 4 4" xfId="20285"/>
    <cellStyle name="40% - Accent6 7 2 5" xfId="6125"/>
    <cellStyle name="40% - Accent6 7 2 5 2" xfId="14109"/>
    <cellStyle name="40% - Accent6 7 2 5 3" xfId="22057"/>
    <cellStyle name="40% - Accent6 7 2 6" xfId="9678"/>
    <cellStyle name="40% - Accent6 7 2 6 2" xfId="17636"/>
    <cellStyle name="40% - Accent6 7 2 6 3" xfId="25580"/>
    <cellStyle name="40% - Accent6 7 2 7" xfId="10574"/>
    <cellStyle name="40% - Accent6 7 2 8" xfId="18529"/>
    <cellStyle name="40% - Accent6 7 2_Exh G" xfId="3400"/>
    <cellStyle name="40% - Accent6 7 3" xfId="628"/>
    <cellStyle name="40% - Accent6 7 3 2" xfId="1656"/>
    <cellStyle name="40% - Accent6 7 3 2 2" xfId="5186"/>
    <cellStyle name="40% - Accent6 7 3 2 2 2" xfId="8777"/>
    <cellStyle name="40% - Accent6 7 3 2 2 2 2" xfId="16748"/>
    <cellStyle name="40% - Accent6 7 3 2 2 2 3" xfId="24694"/>
    <cellStyle name="40% - Accent6 7 3 2 2 3" xfId="13210"/>
    <cellStyle name="40% - Accent6 7 3 2 2 4" xfId="21165"/>
    <cellStyle name="40% - Accent6 7 3 2 3" xfId="7018"/>
    <cellStyle name="40% - Accent6 7 3 2 3 2" xfId="14990"/>
    <cellStyle name="40% - Accent6 7 3 2 3 3" xfId="22937"/>
    <cellStyle name="40% - Accent6 7 3 2 4" xfId="11454"/>
    <cellStyle name="40% - Accent6 7 3 2 5" xfId="19409"/>
    <cellStyle name="40% - Accent6 7 3 2_Exh G" xfId="3405"/>
    <cellStyle name="40% - Accent6 7 3 3" xfId="4307"/>
    <cellStyle name="40% - Accent6 7 3 3 2" xfId="7899"/>
    <cellStyle name="40% - Accent6 7 3 3 2 2" xfId="15870"/>
    <cellStyle name="40% - Accent6 7 3 3 2 3" xfId="23816"/>
    <cellStyle name="40% - Accent6 7 3 3 3" xfId="12332"/>
    <cellStyle name="40% - Accent6 7 3 3 4" xfId="20287"/>
    <cellStyle name="40% - Accent6 7 3 4" xfId="6127"/>
    <cellStyle name="40% - Accent6 7 3 4 2" xfId="14111"/>
    <cellStyle name="40% - Accent6 7 3 4 3" xfId="22059"/>
    <cellStyle name="40% - Accent6 7 3 5" xfId="9680"/>
    <cellStyle name="40% - Accent6 7 3 5 2" xfId="17638"/>
    <cellStyle name="40% - Accent6 7 3 5 3" xfId="25582"/>
    <cellStyle name="40% - Accent6 7 3 6" xfId="10576"/>
    <cellStyle name="40% - Accent6 7 3 7" xfId="18531"/>
    <cellStyle name="40% - Accent6 7 3_Exh G" xfId="3404"/>
    <cellStyle name="40% - Accent6 7 4" xfId="1003"/>
    <cellStyle name="40% - Accent6 7 4 2" xfId="1916"/>
    <cellStyle name="40% - Accent6 7 4 2 2" xfId="5434"/>
    <cellStyle name="40% - Accent6 7 4 2 2 2" xfId="9025"/>
    <cellStyle name="40% - Accent6 7 4 2 2 2 2" xfId="16996"/>
    <cellStyle name="40% - Accent6 7 4 2 2 2 3" xfId="24942"/>
    <cellStyle name="40% - Accent6 7 4 2 2 3" xfId="13458"/>
    <cellStyle name="40% - Accent6 7 4 2 2 4" xfId="21413"/>
    <cellStyle name="40% - Accent6 7 4 2 3" xfId="7266"/>
    <cellStyle name="40% - Accent6 7 4 2 3 2" xfId="15238"/>
    <cellStyle name="40% - Accent6 7 4 2 3 3" xfId="23185"/>
    <cellStyle name="40% - Accent6 7 4 2 4" xfId="11702"/>
    <cellStyle name="40% - Accent6 7 4 2 5" xfId="19657"/>
    <cellStyle name="40% - Accent6 7 4 2_Exh G" xfId="3407"/>
    <cellStyle name="40% - Accent6 7 4 3" xfId="4555"/>
    <cellStyle name="40% - Accent6 7 4 3 2" xfId="8147"/>
    <cellStyle name="40% - Accent6 7 4 3 2 2" xfId="16118"/>
    <cellStyle name="40% - Accent6 7 4 3 2 3" xfId="24064"/>
    <cellStyle name="40% - Accent6 7 4 3 3" xfId="12580"/>
    <cellStyle name="40% - Accent6 7 4 3 4" xfId="20535"/>
    <cellStyle name="40% - Accent6 7 4 4" xfId="6385"/>
    <cellStyle name="40% - Accent6 7 4 4 2" xfId="14360"/>
    <cellStyle name="40% - Accent6 7 4 4 3" xfId="22307"/>
    <cellStyle name="40% - Accent6 7 4 5" xfId="9928"/>
    <cellStyle name="40% - Accent6 7 4 5 2" xfId="17886"/>
    <cellStyle name="40% - Accent6 7 4 5 3" xfId="25830"/>
    <cellStyle name="40% - Accent6 7 4 6" xfId="10824"/>
    <cellStyle name="40% - Accent6 7 4 7" xfId="18779"/>
    <cellStyle name="40% - Accent6 7 4_Exh G" xfId="3406"/>
    <cellStyle name="40% - Accent6 7 5" xfId="1653"/>
    <cellStyle name="40% - Accent6 7 5 2" xfId="5183"/>
    <cellStyle name="40% - Accent6 7 5 2 2" xfId="8774"/>
    <cellStyle name="40% - Accent6 7 5 2 2 2" xfId="16745"/>
    <cellStyle name="40% - Accent6 7 5 2 2 3" xfId="24691"/>
    <cellStyle name="40% - Accent6 7 5 2 3" xfId="13207"/>
    <cellStyle name="40% - Accent6 7 5 2 4" xfId="21162"/>
    <cellStyle name="40% - Accent6 7 5 3" xfId="7015"/>
    <cellStyle name="40% - Accent6 7 5 3 2" xfId="14987"/>
    <cellStyle name="40% - Accent6 7 5 3 3" xfId="22934"/>
    <cellStyle name="40% - Accent6 7 5 4" xfId="11451"/>
    <cellStyle name="40% - Accent6 7 5 5" xfId="19406"/>
    <cellStyle name="40% - Accent6 7 5_Exh G" xfId="3408"/>
    <cellStyle name="40% - Accent6 7 6" xfId="4304"/>
    <cellStyle name="40% - Accent6 7 6 2" xfId="7896"/>
    <cellStyle name="40% - Accent6 7 6 2 2" xfId="15867"/>
    <cellStyle name="40% - Accent6 7 6 2 3" xfId="23813"/>
    <cellStyle name="40% - Accent6 7 6 3" xfId="12329"/>
    <cellStyle name="40% - Accent6 7 6 4" xfId="20284"/>
    <cellStyle name="40% - Accent6 7 7" xfId="6124"/>
    <cellStyle name="40% - Accent6 7 7 2" xfId="14108"/>
    <cellStyle name="40% - Accent6 7 7 3" xfId="22056"/>
    <cellStyle name="40% - Accent6 7 8" xfId="9677"/>
    <cellStyle name="40% - Accent6 7 8 2" xfId="17635"/>
    <cellStyle name="40% - Accent6 7 8 3" xfId="25579"/>
    <cellStyle name="40% - Accent6 7 9" xfId="10573"/>
    <cellStyle name="40% - Accent6 7_Exh G" xfId="3399"/>
    <cellStyle name="40% - Accent6 8" xfId="629"/>
    <cellStyle name="40% - Accent6 8 10" xfId="18532"/>
    <cellStyle name="40% - Accent6 8 2" xfId="630"/>
    <cellStyle name="40% - Accent6 8 2 2" xfId="631"/>
    <cellStyle name="40% - Accent6 8 2 2 2" xfId="1659"/>
    <cellStyle name="40% - Accent6 8 2 2 2 2" xfId="5189"/>
    <cellStyle name="40% - Accent6 8 2 2 2 2 2" xfId="8780"/>
    <cellStyle name="40% - Accent6 8 2 2 2 2 2 2" xfId="16751"/>
    <cellStyle name="40% - Accent6 8 2 2 2 2 2 3" xfId="24697"/>
    <cellStyle name="40% - Accent6 8 2 2 2 2 3" xfId="13213"/>
    <cellStyle name="40% - Accent6 8 2 2 2 2 4" xfId="21168"/>
    <cellStyle name="40% - Accent6 8 2 2 2 3" xfId="7021"/>
    <cellStyle name="40% - Accent6 8 2 2 2 3 2" xfId="14993"/>
    <cellStyle name="40% - Accent6 8 2 2 2 3 3" xfId="22940"/>
    <cellStyle name="40% - Accent6 8 2 2 2 4" xfId="11457"/>
    <cellStyle name="40% - Accent6 8 2 2 2 5" xfId="19412"/>
    <cellStyle name="40% - Accent6 8 2 2 2_Exh G" xfId="3412"/>
    <cellStyle name="40% - Accent6 8 2 2 3" xfId="4310"/>
    <cellStyle name="40% - Accent6 8 2 2 3 2" xfId="7902"/>
    <cellStyle name="40% - Accent6 8 2 2 3 2 2" xfId="15873"/>
    <cellStyle name="40% - Accent6 8 2 2 3 2 3" xfId="23819"/>
    <cellStyle name="40% - Accent6 8 2 2 3 3" xfId="12335"/>
    <cellStyle name="40% - Accent6 8 2 2 3 4" xfId="20290"/>
    <cellStyle name="40% - Accent6 8 2 2 4" xfId="6130"/>
    <cellStyle name="40% - Accent6 8 2 2 4 2" xfId="14114"/>
    <cellStyle name="40% - Accent6 8 2 2 4 3" xfId="22062"/>
    <cellStyle name="40% - Accent6 8 2 2 5" xfId="9683"/>
    <cellStyle name="40% - Accent6 8 2 2 5 2" xfId="17641"/>
    <cellStyle name="40% - Accent6 8 2 2 5 3" xfId="25585"/>
    <cellStyle name="40% - Accent6 8 2 2 6" xfId="10579"/>
    <cellStyle name="40% - Accent6 8 2 2 7" xfId="18534"/>
    <cellStyle name="40% - Accent6 8 2 2_Exh G" xfId="3411"/>
    <cellStyle name="40% - Accent6 8 2 3" xfId="1658"/>
    <cellStyle name="40% - Accent6 8 2 3 2" xfId="5188"/>
    <cellStyle name="40% - Accent6 8 2 3 2 2" xfId="8779"/>
    <cellStyle name="40% - Accent6 8 2 3 2 2 2" xfId="16750"/>
    <cellStyle name="40% - Accent6 8 2 3 2 2 3" xfId="24696"/>
    <cellStyle name="40% - Accent6 8 2 3 2 3" xfId="13212"/>
    <cellStyle name="40% - Accent6 8 2 3 2 4" xfId="21167"/>
    <cellStyle name="40% - Accent6 8 2 3 3" xfId="7020"/>
    <cellStyle name="40% - Accent6 8 2 3 3 2" xfId="14992"/>
    <cellStyle name="40% - Accent6 8 2 3 3 3" xfId="22939"/>
    <cellStyle name="40% - Accent6 8 2 3 4" xfId="11456"/>
    <cellStyle name="40% - Accent6 8 2 3 5" xfId="19411"/>
    <cellStyle name="40% - Accent6 8 2 3_Exh G" xfId="3413"/>
    <cellStyle name="40% - Accent6 8 2 4" xfId="4309"/>
    <cellStyle name="40% - Accent6 8 2 4 2" xfId="7901"/>
    <cellStyle name="40% - Accent6 8 2 4 2 2" xfId="15872"/>
    <cellStyle name="40% - Accent6 8 2 4 2 3" xfId="23818"/>
    <cellStyle name="40% - Accent6 8 2 4 3" xfId="12334"/>
    <cellStyle name="40% - Accent6 8 2 4 4" xfId="20289"/>
    <cellStyle name="40% - Accent6 8 2 5" xfId="6129"/>
    <cellStyle name="40% - Accent6 8 2 5 2" xfId="14113"/>
    <cellStyle name="40% - Accent6 8 2 5 3" xfId="22061"/>
    <cellStyle name="40% - Accent6 8 2 6" xfId="9682"/>
    <cellStyle name="40% - Accent6 8 2 6 2" xfId="17640"/>
    <cellStyle name="40% - Accent6 8 2 6 3" xfId="25584"/>
    <cellStyle name="40% - Accent6 8 2 7" xfId="10578"/>
    <cellStyle name="40% - Accent6 8 2 8" xfId="18533"/>
    <cellStyle name="40% - Accent6 8 2_Exh G" xfId="3410"/>
    <cellStyle name="40% - Accent6 8 3" xfId="632"/>
    <cellStyle name="40% - Accent6 8 3 2" xfId="1660"/>
    <cellStyle name="40% - Accent6 8 3 2 2" xfId="5190"/>
    <cellStyle name="40% - Accent6 8 3 2 2 2" xfId="8781"/>
    <cellStyle name="40% - Accent6 8 3 2 2 2 2" xfId="16752"/>
    <cellStyle name="40% - Accent6 8 3 2 2 2 3" xfId="24698"/>
    <cellStyle name="40% - Accent6 8 3 2 2 3" xfId="13214"/>
    <cellStyle name="40% - Accent6 8 3 2 2 4" xfId="21169"/>
    <cellStyle name="40% - Accent6 8 3 2 3" xfId="7022"/>
    <cellStyle name="40% - Accent6 8 3 2 3 2" xfId="14994"/>
    <cellStyle name="40% - Accent6 8 3 2 3 3" xfId="22941"/>
    <cellStyle name="40% - Accent6 8 3 2 4" xfId="11458"/>
    <cellStyle name="40% - Accent6 8 3 2 5" xfId="19413"/>
    <cellStyle name="40% - Accent6 8 3 2_Exh G" xfId="3415"/>
    <cellStyle name="40% - Accent6 8 3 3" xfId="4311"/>
    <cellStyle name="40% - Accent6 8 3 3 2" xfId="7903"/>
    <cellStyle name="40% - Accent6 8 3 3 2 2" xfId="15874"/>
    <cellStyle name="40% - Accent6 8 3 3 2 3" xfId="23820"/>
    <cellStyle name="40% - Accent6 8 3 3 3" xfId="12336"/>
    <cellStyle name="40% - Accent6 8 3 3 4" xfId="20291"/>
    <cellStyle name="40% - Accent6 8 3 4" xfId="6131"/>
    <cellStyle name="40% - Accent6 8 3 4 2" xfId="14115"/>
    <cellStyle name="40% - Accent6 8 3 4 3" xfId="22063"/>
    <cellStyle name="40% - Accent6 8 3 5" xfId="9684"/>
    <cellStyle name="40% - Accent6 8 3 5 2" xfId="17642"/>
    <cellStyle name="40% - Accent6 8 3 5 3" xfId="25586"/>
    <cellStyle name="40% - Accent6 8 3 6" xfId="10580"/>
    <cellStyle name="40% - Accent6 8 3 7" xfId="18535"/>
    <cellStyle name="40% - Accent6 8 3_Exh G" xfId="3414"/>
    <cellStyle name="40% - Accent6 8 4" xfId="1004"/>
    <cellStyle name="40% - Accent6 8 4 2" xfId="1917"/>
    <cellStyle name="40% - Accent6 8 4 2 2" xfId="5435"/>
    <cellStyle name="40% - Accent6 8 4 2 2 2" xfId="9026"/>
    <cellStyle name="40% - Accent6 8 4 2 2 2 2" xfId="16997"/>
    <cellStyle name="40% - Accent6 8 4 2 2 2 3" xfId="24943"/>
    <cellStyle name="40% - Accent6 8 4 2 2 3" xfId="13459"/>
    <cellStyle name="40% - Accent6 8 4 2 2 4" xfId="21414"/>
    <cellStyle name="40% - Accent6 8 4 2 3" xfId="7267"/>
    <cellStyle name="40% - Accent6 8 4 2 3 2" xfId="15239"/>
    <cellStyle name="40% - Accent6 8 4 2 3 3" xfId="23186"/>
    <cellStyle name="40% - Accent6 8 4 2 4" xfId="11703"/>
    <cellStyle name="40% - Accent6 8 4 2 5" xfId="19658"/>
    <cellStyle name="40% - Accent6 8 4 2_Exh G" xfId="3417"/>
    <cellStyle name="40% - Accent6 8 4 3" xfId="4556"/>
    <cellStyle name="40% - Accent6 8 4 3 2" xfId="8148"/>
    <cellStyle name="40% - Accent6 8 4 3 2 2" xfId="16119"/>
    <cellStyle name="40% - Accent6 8 4 3 2 3" xfId="24065"/>
    <cellStyle name="40% - Accent6 8 4 3 3" xfId="12581"/>
    <cellStyle name="40% - Accent6 8 4 3 4" xfId="20536"/>
    <cellStyle name="40% - Accent6 8 4 4" xfId="6386"/>
    <cellStyle name="40% - Accent6 8 4 4 2" xfId="14361"/>
    <cellStyle name="40% - Accent6 8 4 4 3" xfId="22308"/>
    <cellStyle name="40% - Accent6 8 4 5" xfId="9929"/>
    <cellStyle name="40% - Accent6 8 4 5 2" xfId="17887"/>
    <cellStyle name="40% - Accent6 8 4 5 3" xfId="25831"/>
    <cellStyle name="40% - Accent6 8 4 6" xfId="10825"/>
    <cellStyle name="40% - Accent6 8 4 7" xfId="18780"/>
    <cellStyle name="40% - Accent6 8 4_Exh G" xfId="3416"/>
    <cellStyle name="40% - Accent6 8 5" xfId="1657"/>
    <cellStyle name="40% - Accent6 8 5 2" xfId="5187"/>
    <cellStyle name="40% - Accent6 8 5 2 2" xfId="8778"/>
    <cellStyle name="40% - Accent6 8 5 2 2 2" xfId="16749"/>
    <cellStyle name="40% - Accent6 8 5 2 2 3" xfId="24695"/>
    <cellStyle name="40% - Accent6 8 5 2 3" xfId="13211"/>
    <cellStyle name="40% - Accent6 8 5 2 4" xfId="21166"/>
    <cellStyle name="40% - Accent6 8 5 3" xfId="7019"/>
    <cellStyle name="40% - Accent6 8 5 3 2" xfId="14991"/>
    <cellStyle name="40% - Accent6 8 5 3 3" xfId="22938"/>
    <cellStyle name="40% - Accent6 8 5 4" xfId="11455"/>
    <cellStyle name="40% - Accent6 8 5 5" xfId="19410"/>
    <cellStyle name="40% - Accent6 8 5_Exh G" xfId="3418"/>
    <cellStyle name="40% - Accent6 8 6" xfId="4308"/>
    <cellStyle name="40% - Accent6 8 6 2" xfId="7900"/>
    <cellStyle name="40% - Accent6 8 6 2 2" xfId="15871"/>
    <cellStyle name="40% - Accent6 8 6 2 3" xfId="23817"/>
    <cellStyle name="40% - Accent6 8 6 3" xfId="12333"/>
    <cellStyle name="40% - Accent6 8 6 4" xfId="20288"/>
    <cellStyle name="40% - Accent6 8 7" xfId="6128"/>
    <cellStyle name="40% - Accent6 8 7 2" xfId="14112"/>
    <cellStyle name="40% - Accent6 8 7 3" xfId="22060"/>
    <cellStyle name="40% - Accent6 8 8" xfId="9681"/>
    <cellStyle name="40% - Accent6 8 8 2" xfId="17639"/>
    <cellStyle name="40% - Accent6 8 8 3" xfId="25583"/>
    <cellStyle name="40% - Accent6 8 9" xfId="10577"/>
    <cellStyle name="40% - Accent6 8_Exh G" xfId="3409"/>
    <cellStyle name="40% - Accent6 9" xfId="633"/>
    <cellStyle name="40% - Accent6 9 10" xfId="18536"/>
    <cellStyle name="40% - Accent6 9 2" xfId="634"/>
    <cellStyle name="40% - Accent6 9 2 2" xfId="635"/>
    <cellStyle name="40% - Accent6 9 2 2 2" xfId="1663"/>
    <cellStyle name="40% - Accent6 9 2 2 2 2" xfId="5193"/>
    <cellStyle name="40% - Accent6 9 2 2 2 2 2" xfId="8784"/>
    <cellStyle name="40% - Accent6 9 2 2 2 2 2 2" xfId="16755"/>
    <cellStyle name="40% - Accent6 9 2 2 2 2 2 3" xfId="24701"/>
    <cellStyle name="40% - Accent6 9 2 2 2 2 3" xfId="13217"/>
    <cellStyle name="40% - Accent6 9 2 2 2 2 4" xfId="21172"/>
    <cellStyle name="40% - Accent6 9 2 2 2 3" xfId="7025"/>
    <cellStyle name="40% - Accent6 9 2 2 2 3 2" xfId="14997"/>
    <cellStyle name="40% - Accent6 9 2 2 2 3 3" xfId="22944"/>
    <cellStyle name="40% - Accent6 9 2 2 2 4" xfId="11461"/>
    <cellStyle name="40% - Accent6 9 2 2 2 5" xfId="19416"/>
    <cellStyle name="40% - Accent6 9 2 2 2_Exh G" xfId="3422"/>
    <cellStyle name="40% - Accent6 9 2 2 3" xfId="4314"/>
    <cellStyle name="40% - Accent6 9 2 2 3 2" xfId="7906"/>
    <cellStyle name="40% - Accent6 9 2 2 3 2 2" xfId="15877"/>
    <cellStyle name="40% - Accent6 9 2 2 3 2 3" xfId="23823"/>
    <cellStyle name="40% - Accent6 9 2 2 3 3" xfId="12339"/>
    <cellStyle name="40% - Accent6 9 2 2 3 4" xfId="20294"/>
    <cellStyle name="40% - Accent6 9 2 2 4" xfId="6134"/>
    <cellStyle name="40% - Accent6 9 2 2 4 2" xfId="14118"/>
    <cellStyle name="40% - Accent6 9 2 2 4 3" xfId="22066"/>
    <cellStyle name="40% - Accent6 9 2 2 5" xfId="9687"/>
    <cellStyle name="40% - Accent6 9 2 2 5 2" xfId="17645"/>
    <cellStyle name="40% - Accent6 9 2 2 5 3" xfId="25589"/>
    <cellStyle name="40% - Accent6 9 2 2 6" xfId="10583"/>
    <cellStyle name="40% - Accent6 9 2 2 7" xfId="18538"/>
    <cellStyle name="40% - Accent6 9 2 2_Exh G" xfId="3421"/>
    <cellStyle name="40% - Accent6 9 2 3" xfId="1662"/>
    <cellStyle name="40% - Accent6 9 2 3 2" xfId="5192"/>
    <cellStyle name="40% - Accent6 9 2 3 2 2" xfId="8783"/>
    <cellStyle name="40% - Accent6 9 2 3 2 2 2" xfId="16754"/>
    <cellStyle name="40% - Accent6 9 2 3 2 2 3" xfId="24700"/>
    <cellStyle name="40% - Accent6 9 2 3 2 3" xfId="13216"/>
    <cellStyle name="40% - Accent6 9 2 3 2 4" xfId="21171"/>
    <cellStyle name="40% - Accent6 9 2 3 3" xfId="7024"/>
    <cellStyle name="40% - Accent6 9 2 3 3 2" xfId="14996"/>
    <cellStyle name="40% - Accent6 9 2 3 3 3" xfId="22943"/>
    <cellStyle name="40% - Accent6 9 2 3 4" xfId="11460"/>
    <cellStyle name="40% - Accent6 9 2 3 5" xfId="19415"/>
    <cellStyle name="40% - Accent6 9 2 3_Exh G" xfId="3423"/>
    <cellStyle name="40% - Accent6 9 2 4" xfId="4313"/>
    <cellStyle name="40% - Accent6 9 2 4 2" xfId="7905"/>
    <cellStyle name="40% - Accent6 9 2 4 2 2" xfId="15876"/>
    <cellStyle name="40% - Accent6 9 2 4 2 3" xfId="23822"/>
    <cellStyle name="40% - Accent6 9 2 4 3" xfId="12338"/>
    <cellStyle name="40% - Accent6 9 2 4 4" xfId="20293"/>
    <cellStyle name="40% - Accent6 9 2 5" xfId="6133"/>
    <cellStyle name="40% - Accent6 9 2 5 2" xfId="14117"/>
    <cellStyle name="40% - Accent6 9 2 5 3" xfId="22065"/>
    <cellStyle name="40% - Accent6 9 2 6" xfId="9686"/>
    <cellStyle name="40% - Accent6 9 2 6 2" xfId="17644"/>
    <cellStyle name="40% - Accent6 9 2 6 3" xfId="25588"/>
    <cellStyle name="40% - Accent6 9 2 7" xfId="10582"/>
    <cellStyle name="40% - Accent6 9 2 8" xfId="18537"/>
    <cellStyle name="40% - Accent6 9 2_Exh G" xfId="3420"/>
    <cellStyle name="40% - Accent6 9 3" xfId="636"/>
    <cellStyle name="40% - Accent6 9 3 2" xfId="1664"/>
    <cellStyle name="40% - Accent6 9 3 2 2" xfId="5194"/>
    <cellStyle name="40% - Accent6 9 3 2 2 2" xfId="8785"/>
    <cellStyle name="40% - Accent6 9 3 2 2 2 2" xfId="16756"/>
    <cellStyle name="40% - Accent6 9 3 2 2 2 3" xfId="24702"/>
    <cellStyle name="40% - Accent6 9 3 2 2 3" xfId="13218"/>
    <cellStyle name="40% - Accent6 9 3 2 2 4" xfId="21173"/>
    <cellStyle name="40% - Accent6 9 3 2 3" xfId="7026"/>
    <cellStyle name="40% - Accent6 9 3 2 3 2" xfId="14998"/>
    <cellStyle name="40% - Accent6 9 3 2 3 3" xfId="22945"/>
    <cellStyle name="40% - Accent6 9 3 2 4" xfId="11462"/>
    <cellStyle name="40% - Accent6 9 3 2 5" xfId="19417"/>
    <cellStyle name="40% - Accent6 9 3 2_Exh G" xfId="3425"/>
    <cellStyle name="40% - Accent6 9 3 3" xfId="4315"/>
    <cellStyle name="40% - Accent6 9 3 3 2" xfId="7907"/>
    <cellStyle name="40% - Accent6 9 3 3 2 2" xfId="15878"/>
    <cellStyle name="40% - Accent6 9 3 3 2 3" xfId="23824"/>
    <cellStyle name="40% - Accent6 9 3 3 3" xfId="12340"/>
    <cellStyle name="40% - Accent6 9 3 3 4" xfId="20295"/>
    <cellStyle name="40% - Accent6 9 3 4" xfId="6135"/>
    <cellStyle name="40% - Accent6 9 3 4 2" xfId="14119"/>
    <cellStyle name="40% - Accent6 9 3 4 3" xfId="22067"/>
    <cellStyle name="40% - Accent6 9 3 5" xfId="9688"/>
    <cellStyle name="40% - Accent6 9 3 5 2" xfId="17646"/>
    <cellStyle name="40% - Accent6 9 3 5 3" xfId="25590"/>
    <cellStyle name="40% - Accent6 9 3 6" xfId="10584"/>
    <cellStyle name="40% - Accent6 9 3 7" xfId="18539"/>
    <cellStyle name="40% - Accent6 9 3_Exh G" xfId="3424"/>
    <cellStyle name="40% - Accent6 9 4" xfId="1005"/>
    <cellStyle name="40% - Accent6 9 4 2" xfId="1918"/>
    <cellStyle name="40% - Accent6 9 4 2 2" xfId="5436"/>
    <cellStyle name="40% - Accent6 9 4 2 2 2" xfId="9027"/>
    <cellStyle name="40% - Accent6 9 4 2 2 2 2" xfId="16998"/>
    <cellStyle name="40% - Accent6 9 4 2 2 2 3" xfId="24944"/>
    <cellStyle name="40% - Accent6 9 4 2 2 3" xfId="13460"/>
    <cellStyle name="40% - Accent6 9 4 2 2 4" xfId="21415"/>
    <cellStyle name="40% - Accent6 9 4 2 3" xfId="7268"/>
    <cellStyle name="40% - Accent6 9 4 2 3 2" xfId="15240"/>
    <cellStyle name="40% - Accent6 9 4 2 3 3" xfId="23187"/>
    <cellStyle name="40% - Accent6 9 4 2 4" xfId="11704"/>
    <cellStyle name="40% - Accent6 9 4 2 5" xfId="19659"/>
    <cellStyle name="40% - Accent6 9 4 2_Exh G" xfId="3427"/>
    <cellStyle name="40% - Accent6 9 4 3" xfId="4557"/>
    <cellStyle name="40% - Accent6 9 4 3 2" xfId="8149"/>
    <cellStyle name="40% - Accent6 9 4 3 2 2" xfId="16120"/>
    <cellStyle name="40% - Accent6 9 4 3 2 3" xfId="24066"/>
    <cellStyle name="40% - Accent6 9 4 3 3" xfId="12582"/>
    <cellStyle name="40% - Accent6 9 4 3 4" xfId="20537"/>
    <cellStyle name="40% - Accent6 9 4 4" xfId="6387"/>
    <cellStyle name="40% - Accent6 9 4 4 2" xfId="14362"/>
    <cellStyle name="40% - Accent6 9 4 4 3" xfId="22309"/>
    <cellStyle name="40% - Accent6 9 4 5" xfId="9930"/>
    <cellStyle name="40% - Accent6 9 4 5 2" xfId="17888"/>
    <cellStyle name="40% - Accent6 9 4 5 3" xfId="25832"/>
    <cellStyle name="40% - Accent6 9 4 6" xfId="10826"/>
    <cellStyle name="40% - Accent6 9 4 7" xfId="18781"/>
    <cellStyle name="40% - Accent6 9 4_Exh G" xfId="3426"/>
    <cellStyle name="40% - Accent6 9 5" xfId="1661"/>
    <cellStyle name="40% - Accent6 9 5 2" xfId="5191"/>
    <cellStyle name="40% - Accent6 9 5 2 2" xfId="8782"/>
    <cellStyle name="40% - Accent6 9 5 2 2 2" xfId="16753"/>
    <cellStyle name="40% - Accent6 9 5 2 2 3" xfId="24699"/>
    <cellStyle name="40% - Accent6 9 5 2 3" xfId="13215"/>
    <cellStyle name="40% - Accent6 9 5 2 4" xfId="21170"/>
    <cellStyle name="40% - Accent6 9 5 3" xfId="7023"/>
    <cellStyle name="40% - Accent6 9 5 3 2" xfId="14995"/>
    <cellStyle name="40% - Accent6 9 5 3 3" xfId="22942"/>
    <cellStyle name="40% - Accent6 9 5 4" xfId="11459"/>
    <cellStyle name="40% - Accent6 9 5 5" xfId="19414"/>
    <cellStyle name="40% - Accent6 9 5_Exh G" xfId="3428"/>
    <cellStyle name="40% - Accent6 9 6" xfId="4312"/>
    <cellStyle name="40% - Accent6 9 6 2" xfId="7904"/>
    <cellStyle name="40% - Accent6 9 6 2 2" xfId="15875"/>
    <cellStyle name="40% - Accent6 9 6 2 3" xfId="23821"/>
    <cellStyle name="40% - Accent6 9 6 3" xfId="12337"/>
    <cellStyle name="40% - Accent6 9 6 4" xfId="20292"/>
    <cellStyle name="40% - Accent6 9 7" xfId="6132"/>
    <cellStyle name="40% - Accent6 9 7 2" xfId="14116"/>
    <cellStyle name="40% - Accent6 9 7 3" xfId="22064"/>
    <cellStyle name="40% - Accent6 9 8" xfId="9685"/>
    <cellStyle name="40% - Accent6 9 8 2" xfId="17643"/>
    <cellStyle name="40% - Accent6 9 8 3" xfId="25587"/>
    <cellStyle name="40% - Accent6 9 9" xfId="10581"/>
    <cellStyle name="40% - Accent6 9_Exh G" xfId="3419"/>
    <cellStyle name="60% - Accent1 2" xfId="742"/>
    <cellStyle name="60% - Accent1 3" xfId="743"/>
    <cellStyle name="60% - Accent1 4" xfId="744"/>
    <cellStyle name="60% - Accent2 2" xfId="745"/>
    <cellStyle name="60% - Accent2 3" xfId="746"/>
    <cellStyle name="60% - Accent2 4" xfId="747"/>
    <cellStyle name="60% - Accent3 2" xfId="748"/>
    <cellStyle name="60% - Accent3 3" xfId="749"/>
    <cellStyle name="60% - Accent3 4" xfId="750"/>
    <cellStyle name="60% - Accent4 2" xfId="751"/>
    <cellStyle name="60% - Accent4 3" xfId="752"/>
    <cellStyle name="60% - Accent4 4" xfId="753"/>
    <cellStyle name="60% - Accent5 2" xfId="754"/>
    <cellStyle name="60% - Accent5 3" xfId="755"/>
    <cellStyle name="60% - Accent5 4" xfId="756"/>
    <cellStyle name="60% - Accent6 2" xfId="757"/>
    <cellStyle name="60% - Accent6 3" xfId="758"/>
    <cellStyle name="60% - Accent6 4" xfId="759"/>
    <cellStyle name="Accent1 2" xfId="760"/>
    <cellStyle name="Accent1 3" xfId="761"/>
    <cellStyle name="Accent1 4" xfId="762"/>
    <cellStyle name="Accent2 2" xfId="763"/>
    <cellStyle name="Accent2 3" xfId="764"/>
    <cellStyle name="Accent2 4" xfId="765"/>
    <cellStyle name="Accent3 2" xfId="766"/>
    <cellStyle name="Accent3 3" xfId="767"/>
    <cellStyle name="Accent3 4" xfId="768"/>
    <cellStyle name="Accent4 2" xfId="769"/>
    <cellStyle name="Accent4 3" xfId="770"/>
    <cellStyle name="Accent4 4" xfId="771"/>
    <cellStyle name="Accent5 2" xfId="772"/>
    <cellStyle name="Accent5 3" xfId="773"/>
    <cellStyle name="Accent5 4" xfId="774"/>
    <cellStyle name="Accent6 2" xfId="775"/>
    <cellStyle name="Accent6 3" xfId="776"/>
    <cellStyle name="Accent6 4" xfId="777"/>
    <cellStyle name="Bad 2" xfId="778"/>
    <cellStyle name="Bad 3" xfId="779"/>
    <cellStyle name="Bad 4" xfId="780"/>
    <cellStyle name="Calculation 2" xfId="781"/>
    <cellStyle name="Calculation 3" xfId="782"/>
    <cellStyle name="Calculation 3 2" xfId="6238"/>
    <cellStyle name="Calculation 4" xfId="783"/>
    <cellStyle name="Calculation 4 2" xfId="6239"/>
    <cellStyle name="Check Cell 2" xfId="784"/>
    <cellStyle name="Check Cell 3" xfId="785"/>
    <cellStyle name="Check Cell 4" xfId="786"/>
    <cellStyle name="Comma" xfId="17924" builtinId="3"/>
    <cellStyle name="Comma 10" xfId="9049"/>
    <cellStyle name="Comma 11" xfId="25869"/>
    <cellStyle name="Comma 2" xfId="1"/>
    <cellStyle name="Comma 2 2" xfId="741"/>
    <cellStyle name="Comma 2 2 2" xfId="833"/>
    <cellStyle name="Comma 2 2 2 2" xfId="1773"/>
    <cellStyle name="Comma 2 2 3" xfId="1007"/>
    <cellStyle name="Comma 2 3" xfId="834"/>
    <cellStyle name="Comma 2 3 2" xfId="1774"/>
    <cellStyle name="Comma 2 4" xfId="835"/>
    <cellStyle name="Comma 2 4 2" xfId="1775"/>
    <cellStyle name="Comma 2 5" xfId="857"/>
    <cellStyle name="Comma 2 5 2" xfId="1796"/>
    <cellStyle name="Comma 2 6" xfId="1006"/>
    <cellStyle name="Comma 2 7" xfId="1044"/>
    <cellStyle name="Comma 2 8" xfId="5467"/>
    <cellStyle name="Comma 2 9" xfId="5497"/>
    <cellStyle name="Comma 2 9 2" xfId="5514"/>
    <cellStyle name="Comma 3" xfId="5"/>
    <cellStyle name="Comma 3 2" xfId="1008"/>
    <cellStyle name="Comma 3 2 2" xfId="1919"/>
    <cellStyle name="Comma 3 2 2 2" xfId="5437"/>
    <cellStyle name="Comma 3 2 2 2 2" xfId="9028"/>
    <cellStyle name="Comma 3 2 2 2 2 2" xfId="16999"/>
    <cellStyle name="Comma 3 2 2 2 2 3" xfId="24945"/>
    <cellStyle name="Comma 3 2 2 2 3" xfId="13461"/>
    <cellStyle name="Comma 3 2 2 2 4" xfId="21416"/>
    <cellStyle name="Comma 3 2 2 3" xfId="7269"/>
    <cellStyle name="Comma 3 2 2 3 2" xfId="15241"/>
    <cellStyle name="Comma 3 2 2 3 3" xfId="23188"/>
    <cellStyle name="Comma 3 2 2 4" xfId="11705"/>
    <cellStyle name="Comma 3 2 2 5" xfId="19660"/>
    <cellStyle name="Comma 3 2 3" xfId="4558"/>
    <cellStyle name="Comma 3 2 3 2" xfId="8150"/>
    <cellStyle name="Comma 3 2 3 2 2" xfId="16121"/>
    <cellStyle name="Comma 3 2 3 2 3" xfId="24067"/>
    <cellStyle name="Comma 3 2 3 3" xfId="12583"/>
    <cellStyle name="Comma 3 2 3 4" xfId="20538"/>
    <cellStyle name="Comma 3 2 4" xfId="5473"/>
    <cellStyle name="Comma 3 2 5" xfId="6388"/>
    <cellStyle name="Comma 3 2 5 2" xfId="14363"/>
    <cellStyle name="Comma 3 2 5 3" xfId="22310"/>
    <cellStyle name="Comma 3 2 6" xfId="9931"/>
    <cellStyle name="Comma 3 2 6 2" xfId="17889"/>
    <cellStyle name="Comma 3 2 6 3" xfId="25833"/>
    <cellStyle name="Comma 3 2 7" xfId="10827"/>
    <cellStyle name="Comma 3 2 8" xfId="18782"/>
    <cellStyle name="Comma 3 3" xfId="1046"/>
    <cellStyle name="Comma 3 4" xfId="5469"/>
    <cellStyle name="Comma 3 5" xfId="5518"/>
    <cellStyle name="Comma 4" xfId="9"/>
    <cellStyle name="Comma 4 2" xfId="1009"/>
    <cellStyle name="Comma 5" xfId="11"/>
    <cellStyle name="Comma 6" xfId="21"/>
    <cellStyle name="Comma 6 2" xfId="1051"/>
    <cellStyle name="Comma 6 2 2" xfId="4581"/>
    <cellStyle name="Comma 6 2 2 2" xfId="8172"/>
    <cellStyle name="Comma 6 2 2 2 2" xfId="16143"/>
    <cellStyle name="Comma 6 2 2 2 3" xfId="24089"/>
    <cellStyle name="Comma 6 2 2 3" xfId="12605"/>
    <cellStyle name="Comma 6 2 2 4" xfId="20560"/>
    <cellStyle name="Comma 6 2 3" xfId="6413"/>
    <cellStyle name="Comma 6 2 3 2" xfId="14385"/>
    <cellStyle name="Comma 6 2 3 3" xfId="22332"/>
    <cellStyle name="Comma 6 2 4" xfId="10849"/>
    <cellStyle name="Comma 6 2 5" xfId="18804"/>
    <cellStyle name="Comma 6 3" xfId="3702"/>
    <cellStyle name="Comma 6 3 2" xfId="7294"/>
    <cellStyle name="Comma 6 3 2 2" xfId="15265"/>
    <cellStyle name="Comma 6 3 2 3" xfId="23211"/>
    <cellStyle name="Comma 6 3 3" xfId="11727"/>
    <cellStyle name="Comma 6 3 4" xfId="19682"/>
    <cellStyle name="Comma 6 4" xfId="5522"/>
    <cellStyle name="Comma 6 4 2" xfId="13506"/>
    <cellStyle name="Comma 6 4 3" xfId="21454"/>
    <cellStyle name="Comma 6 5" xfId="9075"/>
    <cellStyle name="Comma 6 5 2" xfId="17033"/>
    <cellStyle name="Comma 6 5 3" xfId="24977"/>
    <cellStyle name="Comma 6 6" xfId="9971"/>
    <cellStyle name="Comma 6 7" xfId="17926"/>
    <cellStyle name="Comma 7" xfId="24"/>
    <cellStyle name="Comma 8" xfId="832"/>
    <cellStyle name="Comma 8 2" xfId="1772"/>
    <cellStyle name="Comma 8 2 2" xfId="5300"/>
    <cellStyle name="Comma 8 2 2 2" xfId="8891"/>
    <cellStyle name="Comma 8 2 2 2 2" xfId="16862"/>
    <cellStyle name="Comma 8 2 2 2 3" xfId="24808"/>
    <cellStyle name="Comma 8 2 2 3" xfId="13324"/>
    <cellStyle name="Comma 8 2 2 4" xfId="21279"/>
    <cellStyle name="Comma 8 2 3" xfId="7132"/>
    <cellStyle name="Comma 8 2 3 2" xfId="15104"/>
    <cellStyle name="Comma 8 2 3 3" xfId="23051"/>
    <cellStyle name="Comma 8 2 4" xfId="11568"/>
    <cellStyle name="Comma 8 2 5" xfId="19523"/>
    <cellStyle name="Comma 8 3" xfId="4421"/>
    <cellStyle name="Comma 8 3 2" xfId="8013"/>
    <cellStyle name="Comma 8 3 2 2" xfId="15984"/>
    <cellStyle name="Comma 8 3 2 3" xfId="23930"/>
    <cellStyle name="Comma 8 3 3" xfId="12446"/>
    <cellStyle name="Comma 8 3 4" xfId="20401"/>
    <cellStyle name="Comma 8 4" xfId="6251"/>
    <cellStyle name="Comma 8 4 2" xfId="14226"/>
    <cellStyle name="Comma 8 4 3" xfId="22173"/>
    <cellStyle name="Comma 8 5" xfId="9794"/>
    <cellStyle name="Comma 8 5 2" xfId="17752"/>
    <cellStyle name="Comma 8 5 3" xfId="25696"/>
    <cellStyle name="Comma 8 6" xfId="10690"/>
    <cellStyle name="Comma 8 7" xfId="18645"/>
    <cellStyle name="Comma 8 8" xfId="25873"/>
    <cellStyle name="Comma 9" xfId="842"/>
    <cellStyle name="Comma 9 2" xfId="1781"/>
    <cellStyle name="Comma 9 2 2" xfId="5302"/>
    <cellStyle name="Comma 9 2 2 2" xfId="8893"/>
    <cellStyle name="Comma 9 2 2 2 2" xfId="16864"/>
    <cellStyle name="Comma 9 2 2 2 3" xfId="24810"/>
    <cellStyle name="Comma 9 2 2 3" xfId="13326"/>
    <cellStyle name="Comma 9 2 2 4" xfId="21281"/>
    <cellStyle name="Comma 9 2 3" xfId="7134"/>
    <cellStyle name="Comma 9 2 3 2" xfId="15106"/>
    <cellStyle name="Comma 9 2 3 3" xfId="23053"/>
    <cellStyle name="Comma 9 2 4" xfId="11570"/>
    <cellStyle name="Comma 9 2 5" xfId="19525"/>
    <cellStyle name="Comma 9 3" xfId="4423"/>
    <cellStyle name="Comma 9 3 2" xfId="8015"/>
    <cellStyle name="Comma 9 3 2 2" xfId="15986"/>
    <cellStyle name="Comma 9 3 2 3" xfId="23932"/>
    <cellStyle name="Comma 9 3 3" xfId="12448"/>
    <cellStyle name="Comma 9 3 4" xfId="20403"/>
    <cellStyle name="Comma 9 4" xfId="6253"/>
    <cellStyle name="Comma 9 4 2" xfId="14228"/>
    <cellStyle name="Comma 9 4 3" xfId="22175"/>
    <cellStyle name="Comma 9 5" xfId="9796"/>
    <cellStyle name="Comma 9 5 2" xfId="17754"/>
    <cellStyle name="Comma 9 5 3" xfId="25698"/>
    <cellStyle name="Comma 9 6" xfId="10692"/>
    <cellStyle name="Comma 9 7" xfId="18647"/>
    <cellStyle name="Currency" xfId="25862" builtinId="4"/>
    <cellStyle name="Currency 2" xfId="6"/>
    <cellStyle name="Currency 2 2" xfId="1010"/>
    <cellStyle name="Currency 2 3" xfId="1047"/>
    <cellStyle name="Currency 3" xfId="738"/>
    <cellStyle name="Currency 3 2" xfId="1011"/>
    <cellStyle name="Currency 3 3" xfId="1766"/>
    <cellStyle name="Currency 3 3 2" xfId="5296"/>
    <cellStyle name="Currency 3 3 2 2" xfId="8887"/>
    <cellStyle name="Currency 3 3 2 2 2" xfId="16858"/>
    <cellStyle name="Currency 3 3 2 2 3" xfId="24804"/>
    <cellStyle name="Currency 3 3 2 3" xfId="13320"/>
    <cellStyle name="Currency 3 3 2 4" xfId="21275"/>
    <cellStyle name="Currency 3 3 3" xfId="7128"/>
    <cellStyle name="Currency 3 3 3 2" xfId="15100"/>
    <cellStyle name="Currency 3 3 3 3" xfId="23047"/>
    <cellStyle name="Currency 3 3 4" xfId="11564"/>
    <cellStyle name="Currency 3 3 5" xfId="19519"/>
    <cellStyle name="Currency 3 4" xfId="4417"/>
    <cellStyle name="Currency 3 4 2" xfId="8009"/>
    <cellStyle name="Currency 3 4 2 2" xfId="15980"/>
    <cellStyle name="Currency 3 4 2 3" xfId="23926"/>
    <cellStyle name="Currency 3 4 3" xfId="12442"/>
    <cellStyle name="Currency 3 4 4" xfId="20397"/>
    <cellStyle name="Currency 3 5" xfId="6237"/>
    <cellStyle name="Currency 3 5 2" xfId="14221"/>
    <cellStyle name="Currency 3 5 3" xfId="22169"/>
    <cellStyle name="Currency 3 6" xfId="9790"/>
    <cellStyle name="Currency 3 6 2" xfId="17748"/>
    <cellStyle name="Currency 3 6 3" xfId="25692"/>
    <cellStyle name="Currency 3 7" xfId="10686"/>
    <cellStyle name="Currency 3 8" xfId="18641"/>
    <cellStyle name="Currency 4" xfId="856"/>
    <cellStyle name="Currency 4 2" xfId="1795"/>
    <cellStyle name="Currency 4 2 2" xfId="5316"/>
    <cellStyle name="Currency 4 2 2 2" xfId="8907"/>
    <cellStyle name="Currency 4 2 2 2 2" xfId="16878"/>
    <cellStyle name="Currency 4 2 2 2 3" xfId="24824"/>
    <cellStyle name="Currency 4 2 2 3" xfId="13340"/>
    <cellStyle name="Currency 4 2 2 4" xfId="21295"/>
    <cellStyle name="Currency 4 2 3" xfId="7148"/>
    <cellStyle name="Currency 4 2 3 2" xfId="15120"/>
    <cellStyle name="Currency 4 2 3 3" xfId="23067"/>
    <cellStyle name="Currency 4 2 4" xfId="11584"/>
    <cellStyle name="Currency 4 2 5" xfId="19539"/>
    <cellStyle name="Currency 4 3" xfId="4437"/>
    <cellStyle name="Currency 4 3 2" xfId="8029"/>
    <cellStyle name="Currency 4 3 2 2" xfId="16000"/>
    <cellStyle name="Currency 4 3 2 3" xfId="23946"/>
    <cellStyle name="Currency 4 3 3" xfId="12462"/>
    <cellStyle name="Currency 4 3 4" xfId="20417"/>
    <cellStyle name="Currency 4 4" xfId="6267"/>
    <cellStyle name="Currency 4 4 2" xfId="14242"/>
    <cellStyle name="Currency 4 4 3" xfId="22189"/>
    <cellStyle name="Currency 4 5" xfId="9810"/>
    <cellStyle name="Currency 4 5 2" xfId="17768"/>
    <cellStyle name="Currency 4 5 3" xfId="25712"/>
    <cellStyle name="Currency 4 6" xfId="10706"/>
    <cellStyle name="Currency 4 7" xfId="18661"/>
    <cellStyle name="Currency 5" xfId="25868"/>
    <cellStyle name="Currency 8" xfId="25874"/>
    <cellStyle name="Explanatory Text 2" xfId="787"/>
    <cellStyle name="Explanatory Text 3" xfId="788"/>
    <cellStyle name="Explanatory Text 4" xfId="789"/>
    <cellStyle name="Good 2" xfId="790"/>
    <cellStyle name="Good 3" xfId="791"/>
    <cellStyle name="Good 4" xfId="792"/>
    <cellStyle name="Heading 1 2" xfId="793"/>
    <cellStyle name="Heading 1 3" xfId="794"/>
    <cellStyle name="Heading 1 4" xfId="795"/>
    <cellStyle name="Heading 2 2" xfId="796"/>
    <cellStyle name="Heading 2 3" xfId="797"/>
    <cellStyle name="Heading 2 4" xfId="798"/>
    <cellStyle name="Heading 3 2" xfId="799"/>
    <cellStyle name="Heading 3 3" xfId="800"/>
    <cellStyle name="Heading 3 4" xfId="801"/>
    <cellStyle name="Heading 4 2" xfId="802"/>
    <cellStyle name="Heading 4 3" xfId="803"/>
    <cellStyle name="Heading 4 4" xfId="804"/>
    <cellStyle name="Hyperlink" xfId="861" builtinId="8" customBuiltin="1"/>
    <cellStyle name="Input 2" xfId="805"/>
    <cellStyle name="Input 3" xfId="806"/>
    <cellStyle name="Input 3 2" xfId="6240"/>
    <cellStyle name="Input 4" xfId="807"/>
    <cellStyle name="Input 4 2" xfId="6241"/>
    <cellStyle name="Linked Cell 2" xfId="808"/>
    <cellStyle name="Linked Cell 3" xfId="809"/>
    <cellStyle name="Linked Cell 4" xfId="810"/>
    <cellStyle name="Neutral 2" xfId="811"/>
    <cellStyle name="Neutral 3" xfId="812"/>
    <cellStyle name="Neutral 4" xfId="813"/>
    <cellStyle name="Normal" xfId="0" builtinId="0"/>
    <cellStyle name="Normal 10" xfId="637"/>
    <cellStyle name="Normal 10 10" xfId="18540"/>
    <cellStyle name="Normal 10 2" xfId="638"/>
    <cellStyle name="Normal 10 2 2" xfId="639"/>
    <cellStyle name="Normal 10 2 2 2" xfId="1667"/>
    <cellStyle name="Normal 10 2 2 2 2" xfId="5197"/>
    <cellStyle name="Normal 10 2 2 2 2 2" xfId="8788"/>
    <cellStyle name="Normal 10 2 2 2 2 2 2" xfId="16759"/>
    <cellStyle name="Normal 10 2 2 2 2 2 3" xfId="24705"/>
    <cellStyle name="Normal 10 2 2 2 2 3" xfId="13221"/>
    <cellStyle name="Normal 10 2 2 2 2 4" xfId="21176"/>
    <cellStyle name="Normal 10 2 2 2 3" xfId="7029"/>
    <cellStyle name="Normal 10 2 2 2 3 2" xfId="15001"/>
    <cellStyle name="Normal 10 2 2 2 3 3" xfId="22948"/>
    <cellStyle name="Normal 10 2 2 2 4" xfId="11465"/>
    <cellStyle name="Normal 10 2 2 2 5" xfId="19420"/>
    <cellStyle name="Normal 10 2 2 2_Exh G" xfId="3432"/>
    <cellStyle name="Normal 10 2 2 3" xfId="4318"/>
    <cellStyle name="Normal 10 2 2 3 2" xfId="7910"/>
    <cellStyle name="Normal 10 2 2 3 2 2" xfId="15881"/>
    <cellStyle name="Normal 10 2 2 3 2 3" xfId="23827"/>
    <cellStyle name="Normal 10 2 2 3 3" xfId="12343"/>
    <cellStyle name="Normal 10 2 2 3 4" xfId="20298"/>
    <cellStyle name="Normal 10 2 2 4" xfId="6138"/>
    <cellStyle name="Normal 10 2 2 4 2" xfId="14122"/>
    <cellStyle name="Normal 10 2 2 4 3" xfId="22070"/>
    <cellStyle name="Normal 10 2 2 5" xfId="9691"/>
    <cellStyle name="Normal 10 2 2 5 2" xfId="17649"/>
    <cellStyle name="Normal 10 2 2 5 3" xfId="25593"/>
    <cellStyle name="Normal 10 2 2 6" xfId="10587"/>
    <cellStyle name="Normal 10 2 2 7" xfId="18542"/>
    <cellStyle name="Normal 10 2 2_Exh G" xfId="3431"/>
    <cellStyle name="Normal 10 2 3" xfId="1666"/>
    <cellStyle name="Normal 10 2 3 2" xfId="5196"/>
    <cellStyle name="Normal 10 2 3 2 2" xfId="8787"/>
    <cellStyle name="Normal 10 2 3 2 2 2" xfId="16758"/>
    <cellStyle name="Normal 10 2 3 2 2 3" xfId="24704"/>
    <cellStyle name="Normal 10 2 3 2 3" xfId="13220"/>
    <cellStyle name="Normal 10 2 3 2 4" xfId="21175"/>
    <cellStyle name="Normal 10 2 3 3" xfId="7028"/>
    <cellStyle name="Normal 10 2 3 3 2" xfId="15000"/>
    <cellStyle name="Normal 10 2 3 3 3" xfId="22947"/>
    <cellStyle name="Normal 10 2 3 4" xfId="11464"/>
    <cellStyle name="Normal 10 2 3 5" xfId="19419"/>
    <cellStyle name="Normal 10 2 3_Exh G" xfId="3433"/>
    <cellStyle name="Normal 10 2 4" xfId="4317"/>
    <cellStyle name="Normal 10 2 4 2" xfId="7909"/>
    <cellStyle name="Normal 10 2 4 2 2" xfId="15880"/>
    <cellStyle name="Normal 10 2 4 2 3" xfId="23826"/>
    <cellStyle name="Normal 10 2 4 3" xfId="12342"/>
    <cellStyle name="Normal 10 2 4 4" xfId="20297"/>
    <cellStyle name="Normal 10 2 5" xfId="6137"/>
    <cellStyle name="Normal 10 2 5 2" xfId="14121"/>
    <cellStyle name="Normal 10 2 5 3" xfId="22069"/>
    <cellStyle name="Normal 10 2 6" xfId="9690"/>
    <cellStyle name="Normal 10 2 6 2" xfId="17648"/>
    <cellStyle name="Normal 10 2 6 3" xfId="25592"/>
    <cellStyle name="Normal 10 2 7" xfId="10586"/>
    <cellStyle name="Normal 10 2 8" xfId="18541"/>
    <cellStyle name="Normal 10 2_Exh G" xfId="3430"/>
    <cellStyle name="Normal 10 3" xfId="640"/>
    <cellStyle name="Normal 10 3 2" xfId="1668"/>
    <cellStyle name="Normal 10 3 2 2" xfId="5198"/>
    <cellStyle name="Normal 10 3 2 2 2" xfId="8789"/>
    <cellStyle name="Normal 10 3 2 2 2 2" xfId="16760"/>
    <cellStyle name="Normal 10 3 2 2 2 3" xfId="24706"/>
    <cellStyle name="Normal 10 3 2 2 3" xfId="13222"/>
    <cellStyle name="Normal 10 3 2 2 4" xfId="21177"/>
    <cellStyle name="Normal 10 3 2 3" xfId="7030"/>
    <cellStyle name="Normal 10 3 2 3 2" xfId="15002"/>
    <cellStyle name="Normal 10 3 2 3 3" xfId="22949"/>
    <cellStyle name="Normal 10 3 2 4" xfId="11466"/>
    <cellStyle name="Normal 10 3 2 5" xfId="19421"/>
    <cellStyle name="Normal 10 3 2_Exh G" xfId="3435"/>
    <cellStyle name="Normal 10 3 3" xfId="4319"/>
    <cellStyle name="Normal 10 3 3 2" xfId="7911"/>
    <cellStyle name="Normal 10 3 3 2 2" xfId="15882"/>
    <cellStyle name="Normal 10 3 3 2 3" xfId="23828"/>
    <cellStyle name="Normal 10 3 3 3" xfId="12344"/>
    <cellStyle name="Normal 10 3 3 4" xfId="20299"/>
    <cellStyle name="Normal 10 3 4" xfId="6139"/>
    <cellStyle name="Normal 10 3 4 2" xfId="14123"/>
    <cellStyle name="Normal 10 3 4 3" xfId="22071"/>
    <cellStyle name="Normal 10 3 5" xfId="9692"/>
    <cellStyle name="Normal 10 3 5 2" xfId="17650"/>
    <cellStyle name="Normal 10 3 5 3" xfId="25594"/>
    <cellStyle name="Normal 10 3 6" xfId="10588"/>
    <cellStyle name="Normal 10 3 7" xfId="18543"/>
    <cellStyle name="Normal 10 3_Exh G" xfId="3434"/>
    <cellStyle name="Normal 10 4" xfId="1012"/>
    <cellStyle name="Normal 10 5" xfId="1665"/>
    <cellStyle name="Normal 10 5 2" xfId="5195"/>
    <cellStyle name="Normal 10 5 2 2" xfId="8786"/>
    <cellStyle name="Normal 10 5 2 2 2" xfId="16757"/>
    <cellStyle name="Normal 10 5 2 2 3" xfId="24703"/>
    <cellStyle name="Normal 10 5 2 3" xfId="13219"/>
    <cellStyle name="Normal 10 5 2 4" xfId="21174"/>
    <cellStyle name="Normal 10 5 3" xfId="7027"/>
    <cellStyle name="Normal 10 5 3 2" xfId="14999"/>
    <cellStyle name="Normal 10 5 3 3" xfId="22946"/>
    <cellStyle name="Normal 10 5 4" xfId="11463"/>
    <cellStyle name="Normal 10 5 5" xfId="19418"/>
    <cellStyle name="Normal 10 5_Exh G" xfId="3436"/>
    <cellStyle name="Normal 10 6" xfId="4316"/>
    <cellStyle name="Normal 10 6 2" xfId="7908"/>
    <cellStyle name="Normal 10 6 2 2" xfId="15879"/>
    <cellStyle name="Normal 10 6 2 3" xfId="23825"/>
    <cellStyle name="Normal 10 6 3" xfId="12341"/>
    <cellStyle name="Normal 10 6 4" xfId="20296"/>
    <cellStyle name="Normal 10 7" xfId="6136"/>
    <cellStyle name="Normal 10 7 2" xfId="14120"/>
    <cellStyle name="Normal 10 7 3" xfId="22068"/>
    <cellStyle name="Normal 10 8" xfId="9689"/>
    <cellStyle name="Normal 10 8 2" xfId="17647"/>
    <cellStyle name="Normal 10 8 3" xfId="25591"/>
    <cellStyle name="Normal 10 9" xfId="10585"/>
    <cellStyle name="Normal 10_Exh G" xfId="3429"/>
    <cellStyle name="Normal 11" xfId="641"/>
    <cellStyle name="Normal 11 10" xfId="18544"/>
    <cellStyle name="Normal 11 2" xfId="642"/>
    <cellStyle name="Normal 11 2 2" xfId="643"/>
    <cellStyle name="Normal 11 2 2 2" xfId="1671"/>
    <cellStyle name="Normal 11 2 2 2 2" xfId="5201"/>
    <cellStyle name="Normal 11 2 2 2 2 2" xfId="8792"/>
    <cellStyle name="Normal 11 2 2 2 2 2 2" xfId="16763"/>
    <cellStyle name="Normal 11 2 2 2 2 2 3" xfId="24709"/>
    <cellStyle name="Normal 11 2 2 2 2 3" xfId="13225"/>
    <cellStyle name="Normal 11 2 2 2 2 4" xfId="21180"/>
    <cellStyle name="Normal 11 2 2 2 3" xfId="7033"/>
    <cellStyle name="Normal 11 2 2 2 3 2" xfId="15005"/>
    <cellStyle name="Normal 11 2 2 2 3 3" xfId="22952"/>
    <cellStyle name="Normal 11 2 2 2 4" xfId="11469"/>
    <cellStyle name="Normal 11 2 2 2 5" xfId="19424"/>
    <cellStyle name="Normal 11 2 2 2_Exh G" xfId="3440"/>
    <cellStyle name="Normal 11 2 2 3" xfId="4322"/>
    <cellStyle name="Normal 11 2 2 3 2" xfId="7914"/>
    <cellStyle name="Normal 11 2 2 3 2 2" xfId="15885"/>
    <cellStyle name="Normal 11 2 2 3 2 3" xfId="23831"/>
    <cellStyle name="Normal 11 2 2 3 3" xfId="12347"/>
    <cellStyle name="Normal 11 2 2 3 4" xfId="20302"/>
    <cellStyle name="Normal 11 2 2 4" xfId="6142"/>
    <cellStyle name="Normal 11 2 2 4 2" xfId="14126"/>
    <cellStyle name="Normal 11 2 2 4 3" xfId="22074"/>
    <cellStyle name="Normal 11 2 2 5" xfId="9695"/>
    <cellStyle name="Normal 11 2 2 5 2" xfId="17653"/>
    <cellStyle name="Normal 11 2 2 5 3" xfId="25597"/>
    <cellStyle name="Normal 11 2 2 6" xfId="10591"/>
    <cellStyle name="Normal 11 2 2 7" xfId="18546"/>
    <cellStyle name="Normal 11 2 2_Exh G" xfId="3439"/>
    <cellStyle name="Normal 11 2 3" xfId="1670"/>
    <cellStyle name="Normal 11 2 3 2" xfId="5200"/>
    <cellStyle name="Normal 11 2 3 2 2" xfId="8791"/>
    <cellStyle name="Normal 11 2 3 2 2 2" xfId="16762"/>
    <cellStyle name="Normal 11 2 3 2 2 3" xfId="24708"/>
    <cellStyle name="Normal 11 2 3 2 3" xfId="13224"/>
    <cellStyle name="Normal 11 2 3 2 4" xfId="21179"/>
    <cellStyle name="Normal 11 2 3 3" xfId="7032"/>
    <cellStyle name="Normal 11 2 3 3 2" xfId="15004"/>
    <cellStyle name="Normal 11 2 3 3 3" xfId="22951"/>
    <cellStyle name="Normal 11 2 3 4" xfId="11468"/>
    <cellStyle name="Normal 11 2 3 5" xfId="19423"/>
    <cellStyle name="Normal 11 2 3_Exh G" xfId="3441"/>
    <cellStyle name="Normal 11 2 4" xfId="4321"/>
    <cellStyle name="Normal 11 2 4 2" xfId="7913"/>
    <cellStyle name="Normal 11 2 4 2 2" xfId="15884"/>
    <cellStyle name="Normal 11 2 4 2 3" xfId="23830"/>
    <cellStyle name="Normal 11 2 4 3" xfId="12346"/>
    <cellStyle name="Normal 11 2 4 4" xfId="20301"/>
    <cellStyle name="Normal 11 2 5" xfId="6141"/>
    <cellStyle name="Normal 11 2 5 2" xfId="14125"/>
    <cellStyle name="Normal 11 2 5 3" xfId="22073"/>
    <cellStyle name="Normal 11 2 6" xfId="9694"/>
    <cellStyle name="Normal 11 2 6 2" xfId="17652"/>
    <cellStyle name="Normal 11 2 6 3" xfId="25596"/>
    <cellStyle name="Normal 11 2 7" xfId="10590"/>
    <cellStyle name="Normal 11 2 8" xfId="18545"/>
    <cellStyle name="Normal 11 2_Exh G" xfId="3438"/>
    <cellStyle name="Normal 11 3" xfId="644"/>
    <cellStyle name="Normal 11 3 2" xfId="1672"/>
    <cellStyle name="Normal 11 3 2 2" xfId="5202"/>
    <cellStyle name="Normal 11 3 2 2 2" xfId="8793"/>
    <cellStyle name="Normal 11 3 2 2 2 2" xfId="16764"/>
    <cellStyle name="Normal 11 3 2 2 2 3" xfId="24710"/>
    <cellStyle name="Normal 11 3 2 2 3" xfId="13226"/>
    <cellStyle name="Normal 11 3 2 2 4" xfId="21181"/>
    <cellStyle name="Normal 11 3 2 3" xfId="7034"/>
    <cellStyle name="Normal 11 3 2 3 2" xfId="15006"/>
    <cellStyle name="Normal 11 3 2 3 3" xfId="22953"/>
    <cellStyle name="Normal 11 3 2 4" xfId="11470"/>
    <cellStyle name="Normal 11 3 2 5" xfId="19425"/>
    <cellStyle name="Normal 11 3 2_Exh G" xfId="3443"/>
    <cellStyle name="Normal 11 3 3" xfId="4323"/>
    <cellStyle name="Normal 11 3 3 2" xfId="7915"/>
    <cellStyle name="Normal 11 3 3 2 2" xfId="15886"/>
    <cellStyle name="Normal 11 3 3 2 3" xfId="23832"/>
    <cellStyle name="Normal 11 3 3 3" xfId="12348"/>
    <cellStyle name="Normal 11 3 3 4" xfId="20303"/>
    <cellStyle name="Normal 11 3 4" xfId="6143"/>
    <cellStyle name="Normal 11 3 4 2" xfId="14127"/>
    <cellStyle name="Normal 11 3 4 3" xfId="22075"/>
    <cellStyle name="Normal 11 3 5" xfId="9696"/>
    <cellStyle name="Normal 11 3 5 2" xfId="17654"/>
    <cellStyle name="Normal 11 3 5 3" xfId="25598"/>
    <cellStyle name="Normal 11 3 6" xfId="10592"/>
    <cellStyle name="Normal 11 3 7" xfId="18547"/>
    <cellStyle name="Normal 11 3_Exh G" xfId="3442"/>
    <cellStyle name="Normal 11 4" xfId="1013"/>
    <cellStyle name="Normal 11 4 2" xfId="1920"/>
    <cellStyle name="Normal 11 4 2 2" xfId="5438"/>
    <cellStyle name="Normal 11 4 2 2 2" xfId="9029"/>
    <cellStyle name="Normal 11 4 2 2 2 2" xfId="17000"/>
    <cellStyle name="Normal 11 4 2 2 2 3" xfId="24946"/>
    <cellStyle name="Normal 11 4 2 2 3" xfId="13462"/>
    <cellStyle name="Normal 11 4 2 2 4" xfId="21417"/>
    <cellStyle name="Normal 11 4 2 3" xfId="7270"/>
    <cellStyle name="Normal 11 4 2 3 2" xfId="15242"/>
    <cellStyle name="Normal 11 4 2 3 3" xfId="23189"/>
    <cellStyle name="Normal 11 4 2 4" xfId="11706"/>
    <cellStyle name="Normal 11 4 2 5" xfId="19661"/>
    <cellStyle name="Normal 11 4 2_Exh G" xfId="3445"/>
    <cellStyle name="Normal 11 4 3" xfId="4559"/>
    <cellStyle name="Normal 11 4 3 2" xfId="8151"/>
    <cellStyle name="Normal 11 4 3 2 2" xfId="16122"/>
    <cellStyle name="Normal 11 4 3 2 3" xfId="24068"/>
    <cellStyle name="Normal 11 4 3 3" xfId="12584"/>
    <cellStyle name="Normal 11 4 3 4" xfId="20539"/>
    <cellStyle name="Normal 11 4 4" xfId="6389"/>
    <cellStyle name="Normal 11 4 4 2" xfId="14364"/>
    <cellStyle name="Normal 11 4 4 3" xfId="22311"/>
    <cellStyle name="Normal 11 4 5" xfId="9932"/>
    <cellStyle name="Normal 11 4 5 2" xfId="17890"/>
    <cellStyle name="Normal 11 4 5 3" xfId="25834"/>
    <cellStyle name="Normal 11 4 6" xfId="10828"/>
    <cellStyle name="Normal 11 4 7" xfId="18783"/>
    <cellStyle name="Normal 11 4_Exh G" xfId="3444"/>
    <cellStyle name="Normal 11 5" xfId="1669"/>
    <cellStyle name="Normal 11 5 2" xfId="5199"/>
    <cellStyle name="Normal 11 5 2 2" xfId="8790"/>
    <cellStyle name="Normal 11 5 2 2 2" xfId="16761"/>
    <cellStyle name="Normal 11 5 2 2 3" xfId="24707"/>
    <cellStyle name="Normal 11 5 2 3" xfId="13223"/>
    <cellStyle name="Normal 11 5 2 4" xfId="21178"/>
    <cellStyle name="Normal 11 5 3" xfId="7031"/>
    <cellStyle name="Normal 11 5 3 2" xfId="15003"/>
    <cellStyle name="Normal 11 5 3 3" xfId="22950"/>
    <cellStyle name="Normal 11 5 4" xfId="11467"/>
    <cellStyle name="Normal 11 5 5" xfId="19422"/>
    <cellStyle name="Normal 11 5_Exh G" xfId="3446"/>
    <cellStyle name="Normal 11 6" xfId="4320"/>
    <cellStyle name="Normal 11 6 2" xfId="7912"/>
    <cellStyle name="Normal 11 6 2 2" xfId="15883"/>
    <cellStyle name="Normal 11 6 2 3" xfId="23829"/>
    <cellStyle name="Normal 11 6 3" xfId="12345"/>
    <cellStyle name="Normal 11 6 4" xfId="20300"/>
    <cellStyle name="Normal 11 7" xfId="6140"/>
    <cellStyle name="Normal 11 7 2" xfId="14124"/>
    <cellStyle name="Normal 11 7 3" xfId="22072"/>
    <cellStyle name="Normal 11 8" xfId="9693"/>
    <cellStyle name="Normal 11 8 2" xfId="17651"/>
    <cellStyle name="Normal 11 8 3" xfId="25595"/>
    <cellStyle name="Normal 11 9" xfId="10589"/>
    <cellStyle name="Normal 11_Exh G" xfId="3437"/>
    <cellStyle name="Normal 12" xfId="645"/>
    <cellStyle name="Normal 12 10" xfId="18548"/>
    <cellStyle name="Normal 12 2" xfId="646"/>
    <cellStyle name="Normal 12 2 2" xfId="647"/>
    <cellStyle name="Normal 12 2 2 2" xfId="1675"/>
    <cellStyle name="Normal 12 2 2 2 2" xfId="5205"/>
    <cellStyle name="Normal 12 2 2 2 2 2" xfId="8796"/>
    <cellStyle name="Normal 12 2 2 2 2 2 2" xfId="16767"/>
    <cellStyle name="Normal 12 2 2 2 2 2 3" xfId="24713"/>
    <cellStyle name="Normal 12 2 2 2 2 3" xfId="13229"/>
    <cellStyle name="Normal 12 2 2 2 2 4" xfId="21184"/>
    <cellStyle name="Normal 12 2 2 2 3" xfId="7037"/>
    <cellStyle name="Normal 12 2 2 2 3 2" xfId="15009"/>
    <cellStyle name="Normal 12 2 2 2 3 3" xfId="22956"/>
    <cellStyle name="Normal 12 2 2 2 4" xfId="11473"/>
    <cellStyle name="Normal 12 2 2 2 5" xfId="19428"/>
    <cellStyle name="Normal 12 2 2 2_Exh G" xfId="3450"/>
    <cellStyle name="Normal 12 2 2 3" xfId="4326"/>
    <cellStyle name="Normal 12 2 2 3 2" xfId="7918"/>
    <cellStyle name="Normal 12 2 2 3 2 2" xfId="15889"/>
    <cellStyle name="Normal 12 2 2 3 2 3" xfId="23835"/>
    <cellStyle name="Normal 12 2 2 3 3" xfId="12351"/>
    <cellStyle name="Normal 12 2 2 3 4" xfId="20306"/>
    <cellStyle name="Normal 12 2 2 4" xfId="6146"/>
    <cellStyle name="Normal 12 2 2 4 2" xfId="14130"/>
    <cellStyle name="Normal 12 2 2 4 3" xfId="22078"/>
    <cellStyle name="Normal 12 2 2 5" xfId="9699"/>
    <cellStyle name="Normal 12 2 2 5 2" xfId="17657"/>
    <cellStyle name="Normal 12 2 2 5 3" xfId="25601"/>
    <cellStyle name="Normal 12 2 2 6" xfId="10595"/>
    <cellStyle name="Normal 12 2 2 7" xfId="18550"/>
    <cellStyle name="Normal 12 2 2_Exh G" xfId="3449"/>
    <cellStyle name="Normal 12 2 3" xfId="1674"/>
    <cellStyle name="Normal 12 2 3 2" xfId="5204"/>
    <cellStyle name="Normal 12 2 3 2 2" xfId="8795"/>
    <cellStyle name="Normal 12 2 3 2 2 2" xfId="16766"/>
    <cellStyle name="Normal 12 2 3 2 2 3" xfId="24712"/>
    <cellStyle name="Normal 12 2 3 2 3" xfId="13228"/>
    <cellStyle name="Normal 12 2 3 2 4" xfId="21183"/>
    <cellStyle name="Normal 12 2 3 3" xfId="7036"/>
    <cellStyle name="Normal 12 2 3 3 2" xfId="15008"/>
    <cellStyle name="Normal 12 2 3 3 3" xfId="22955"/>
    <cellStyle name="Normal 12 2 3 4" xfId="11472"/>
    <cellStyle name="Normal 12 2 3 5" xfId="19427"/>
    <cellStyle name="Normal 12 2 3_Exh G" xfId="3451"/>
    <cellStyle name="Normal 12 2 4" xfId="4325"/>
    <cellStyle name="Normal 12 2 4 2" xfId="7917"/>
    <cellStyle name="Normal 12 2 4 2 2" xfId="15888"/>
    <cellStyle name="Normal 12 2 4 2 3" xfId="23834"/>
    <cellStyle name="Normal 12 2 4 3" xfId="12350"/>
    <cellStyle name="Normal 12 2 4 4" xfId="20305"/>
    <cellStyle name="Normal 12 2 5" xfId="6145"/>
    <cellStyle name="Normal 12 2 5 2" xfId="14129"/>
    <cellStyle name="Normal 12 2 5 3" xfId="22077"/>
    <cellStyle name="Normal 12 2 6" xfId="9698"/>
    <cellStyle name="Normal 12 2 6 2" xfId="17656"/>
    <cellStyle name="Normal 12 2 6 3" xfId="25600"/>
    <cellStyle name="Normal 12 2 7" xfId="10594"/>
    <cellStyle name="Normal 12 2 8" xfId="18549"/>
    <cellStyle name="Normal 12 2_Exh G" xfId="3448"/>
    <cellStyle name="Normal 12 3" xfId="648"/>
    <cellStyle name="Normal 12 3 2" xfId="1676"/>
    <cellStyle name="Normal 12 3 2 2" xfId="5206"/>
    <cellStyle name="Normal 12 3 2 2 2" xfId="8797"/>
    <cellStyle name="Normal 12 3 2 2 2 2" xfId="16768"/>
    <cellStyle name="Normal 12 3 2 2 2 3" xfId="24714"/>
    <cellStyle name="Normal 12 3 2 2 3" xfId="13230"/>
    <cellStyle name="Normal 12 3 2 2 4" xfId="21185"/>
    <cellStyle name="Normal 12 3 2 3" xfId="7038"/>
    <cellStyle name="Normal 12 3 2 3 2" xfId="15010"/>
    <cellStyle name="Normal 12 3 2 3 3" xfId="22957"/>
    <cellStyle name="Normal 12 3 2 4" xfId="11474"/>
    <cellStyle name="Normal 12 3 2 5" xfId="19429"/>
    <cellStyle name="Normal 12 3 2_Exh G" xfId="3453"/>
    <cellStyle name="Normal 12 3 3" xfId="4327"/>
    <cellStyle name="Normal 12 3 3 2" xfId="7919"/>
    <cellStyle name="Normal 12 3 3 2 2" xfId="15890"/>
    <cellStyle name="Normal 12 3 3 2 3" xfId="23836"/>
    <cellStyle name="Normal 12 3 3 3" xfId="12352"/>
    <cellStyle name="Normal 12 3 3 4" xfId="20307"/>
    <cellStyle name="Normal 12 3 4" xfId="6147"/>
    <cellStyle name="Normal 12 3 4 2" xfId="14131"/>
    <cellStyle name="Normal 12 3 4 3" xfId="22079"/>
    <cellStyle name="Normal 12 3 5" xfId="9700"/>
    <cellStyle name="Normal 12 3 5 2" xfId="17658"/>
    <cellStyle name="Normal 12 3 5 3" xfId="25602"/>
    <cellStyle name="Normal 12 3 6" xfId="10596"/>
    <cellStyle name="Normal 12 3 7" xfId="18551"/>
    <cellStyle name="Normal 12 3_Exh G" xfId="3452"/>
    <cellStyle name="Normal 12 4" xfId="1014"/>
    <cellStyle name="Normal 12 4 2" xfId="1921"/>
    <cellStyle name="Normal 12 4 2 2" xfId="5439"/>
    <cellStyle name="Normal 12 4 2 2 2" xfId="9030"/>
    <cellStyle name="Normal 12 4 2 2 2 2" xfId="17001"/>
    <cellStyle name="Normal 12 4 2 2 2 3" xfId="24947"/>
    <cellStyle name="Normal 12 4 2 2 3" xfId="13463"/>
    <cellStyle name="Normal 12 4 2 2 4" xfId="21418"/>
    <cellStyle name="Normal 12 4 2 3" xfId="7271"/>
    <cellStyle name="Normal 12 4 2 3 2" xfId="15243"/>
    <cellStyle name="Normal 12 4 2 3 3" xfId="23190"/>
    <cellStyle name="Normal 12 4 2 4" xfId="11707"/>
    <cellStyle name="Normal 12 4 2 5" xfId="19662"/>
    <cellStyle name="Normal 12 4 2_Exh G" xfId="3455"/>
    <cellStyle name="Normal 12 4 3" xfId="4560"/>
    <cellStyle name="Normal 12 4 3 2" xfId="8152"/>
    <cellStyle name="Normal 12 4 3 2 2" xfId="16123"/>
    <cellStyle name="Normal 12 4 3 2 3" xfId="24069"/>
    <cellStyle name="Normal 12 4 3 3" xfId="12585"/>
    <cellStyle name="Normal 12 4 3 4" xfId="20540"/>
    <cellStyle name="Normal 12 4 4" xfId="6390"/>
    <cellStyle name="Normal 12 4 4 2" xfId="14365"/>
    <cellStyle name="Normal 12 4 4 3" xfId="22312"/>
    <cellStyle name="Normal 12 4 5" xfId="9933"/>
    <cellStyle name="Normal 12 4 5 2" xfId="17891"/>
    <cellStyle name="Normal 12 4 5 3" xfId="25835"/>
    <cellStyle name="Normal 12 4 6" xfId="10829"/>
    <cellStyle name="Normal 12 4 7" xfId="18784"/>
    <cellStyle name="Normal 12 4_Exh G" xfId="3454"/>
    <cellStyle name="Normal 12 5" xfId="1673"/>
    <cellStyle name="Normal 12 5 2" xfId="5203"/>
    <cellStyle name="Normal 12 5 2 2" xfId="8794"/>
    <cellStyle name="Normal 12 5 2 2 2" xfId="16765"/>
    <cellStyle name="Normal 12 5 2 2 3" xfId="24711"/>
    <cellStyle name="Normal 12 5 2 3" xfId="13227"/>
    <cellStyle name="Normal 12 5 2 4" xfId="21182"/>
    <cellStyle name="Normal 12 5 3" xfId="7035"/>
    <cellStyle name="Normal 12 5 3 2" xfId="15007"/>
    <cellStyle name="Normal 12 5 3 3" xfId="22954"/>
    <cellStyle name="Normal 12 5 4" xfId="11471"/>
    <cellStyle name="Normal 12 5 5" xfId="19426"/>
    <cellStyle name="Normal 12 5_Exh G" xfId="3456"/>
    <cellStyle name="Normal 12 6" xfId="4324"/>
    <cellStyle name="Normal 12 6 2" xfId="7916"/>
    <cellStyle name="Normal 12 6 2 2" xfId="15887"/>
    <cellStyle name="Normal 12 6 2 3" xfId="23833"/>
    <cellStyle name="Normal 12 6 3" xfId="12349"/>
    <cellStyle name="Normal 12 6 4" xfId="20304"/>
    <cellStyle name="Normal 12 7" xfId="6144"/>
    <cellStyle name="Normal 12 7 2" xfId="14128"/>
    <cellStyle name="Normal 12 7 3" xfId="22076"/>
    <cellStyle name="Normal 12 8" xfId="9697"/>
    <cellStyle name="Normal 12 8 2" xfId="17655"/>
    <cellStyle name="Normal 12 8 3" xfId="25599"/>
    <cellStyle name="Normal 12 9" xfId="10593"/>
    <cellStyle name="Normal 12_Exh G" xfId="3447"/>
    <cellStyle name="Normal 13" xfId="649"/>
    <cellStyle name="Normal 13 10" xfId="18552"/>
    <cellStyle name="Normal 13 2" xfId="650"/>
    <cellStyle name="Normal 13 2 2" xfId="651"/>
    <cellStyle name="Normal 13 2 2 2" xfId="1679"/>
    <cellStyle name="Normal 13 2 2 2 2" xfId="5209"/>
    <cellStyle name="Normal 13 2 2 2 2 2" xfId="8800"/>
    <cellStyle name="Normal 13 2 2 2 2 2 2" xfId="16771"/>
    <cellStyle name="Normal 13 2 2 2 2 2 3" xfId="24717"/>
    <cellStyle name="Normal 13 2 2 2 2 3" xfId="13233"/>
    <cellStyle name="Normal 13 2 2 2 2 4" xfId="21188"/>
    <cellStyle name="Normal 13 2 2 2 3" xfId="7041"/>
    <cellStyle name="Normal 13 2 2 2 3 2" xfId="15013"/>
    <cellStyle name="Normal 13 2 2 2 3 3" xfId="22960"/>
    <cellStyle name="Normal 13 2 2 2 4" xfId="11477"/>
    <cellStyle name="Normal 13 2 2 2 5" xfId="19432"/>
    <cellStyle name="Normal 13 2 2 2_Exh G" xfId="3460"/>
    <cellStyle name="Normal 13 2 2 3" xfId="4330"/>
    <cellStyle name="Normal 13 2 2 3 2" xfId="7922"/>
    <cellStyle name="Normal 13 2 2 3 2 2" xfId="15893"/>
    <cellStyle name="Normal 13 2 2 3 2 3" xfId="23839"/>
    <cellStyle name="Normal 13 2 2 3 3" xfId="12355"/>
    <cellStyle name="Normal 13 2 2 3 4" xfId="20310"/>
    <cellStyle name="Normal 13 2 2 4" xfId="6150"/>
    <cellStyle name="Normal 13 2 2 4 2" xfId="14134"/>
    <cellStyle name="Normal 13 2 2 4 3" xfId="22082"/>
    <cellStyle name="Normal 13 2 2 5" xfId="9703"/>
    <cellStyle name="Normal 13 2 2 5 2" xfId="17661"/>
    <cellStyle name="Normal 13 2 2 5 3" xfId="25605"/>
    <cellStyle name="Normal 13 2 2 6" xfId="10599"/>
    <cellStyle name="Normal 13 2 2 7" xfId="18554"/>
    <cellStyle name="Normal 13 2 2_Exh G" xfId="3459"/>
    <cellStyle name="Normal 13 2 3" xfId="1678"/>
    <cellStyle name="Normal 13 2 3 2" xfId="5208"/>
    <cellStyle name="Normal 13 2 3 2 2" xfId="8799"/>
    <cellStyle name="Normal 13 2 3 2 2 2" xfId="16770"/>
    <cellStyle name="Normal 13 2 3 2 2 3" xfId="24716"/>
    <cellStyle name="Normal 13 2 3 2 3" xfId="13232"/>
    <cellStyle name="Normal 13 2 3 2 4" xfId="21187"/>
    <cellStyle name="Normal 13 2 3 3" xfId="7040"/>
    <cellStyle name="Normal 13 2 3 3 2" xfId="15012"/>
    <cellStyle name="Normal 13 2 3 3 3" xfId="22959"/>
    <cellStyle name="Normal 13 2 3 4" xfId="11476"/>
    <cellStyle name="Normal 13 2 3 5" xfId="19431"/>
    <cellStyle name="Normal 13 2 3_Exh G" xfId="3461"/>
    <cellStyle name="Normal 13 2 4" xfId="4329"/>
    <cellStyle name="Normal 13 2 4 2" xfId="7921"/>
    <cellStyle name="Normal 13 2 4 2 2" xfId="15892"/>
    <cellStyle name="Normal 13 2 4 2 3" xfId="23838"/>
    <cellStyle name="Normal 13 2 4 3" xfId="12354"/>
    <cellStyle name="Normal 13 2 4 4" xfId="20309"/>
    <cellStyle name="Normal 13 2 5" xfId="6149"/>
    <cellStyle name="Normal 13 2 5 2" xfId="14133"/>
    <cellStyle name="Normal 13 2 5 3" xfId="22081"/>
    <cellStyle name="Normal 13 2 6" xfId="9702"/>
    <cellStyle name="Normal 13 2 6 2" xfId="17660"/>
    <cellStyle name="Normal 13 2 6 3" xfId="25604"/>
    <cellStyle name="Normal 13 2 7" xfId="10598"/>
    <cellStyle name="Normal 13 2 8" xfId="18553"/>
    <cellStyle name="Normal 13 2_Exh G" xfId="3458"/>
    <cellStyle name="Normal 13 3" xfId="652"/>
    <cellStyle name="Normal 13 3 2" xfId="1680"/>
    <cellStyle name="Normal 13 3 2 2" xfId="5210"/>
    <cellStyle name="Normal 13 3 2 2 2" xfId="8801"/>
    <cellStyle name="Normal 13 3 2 2 2 2" xfId="16772"/>
    <cellStyle name="Normal 13 3 2 2 2 3" xfId="24718"/>
    <cellStyle name="Normal 13 3 2 2 3" xfId="13234"/>
    <cellStyle name="Normal 13 3 2 2 4" xfId="21189"/>
    <cellStyle name="Normal 13 3 2 3" xfId="7042"/>
    <cellStyle name="Normal 13 3 2 3 2" xfId="15014"/>
    <cellStyle name="Normal 13 3 2 3 3" xfId="22961"/>
    <cellStyle name="Normal 13 3 2 4" xfId="11478"/>
    <cellStyle name="Normal 13 3 2 5" xfId="19433"/>
    <cellStyle name="Normal 13 3 2_Exh G" xfId="3463"/>
    <cellStyle name="Normal 13 3 3" xfId="4331"/>
    <cellStyle name="Normal 13 3 3 2" xfId="7923"/>
    <cellStyle name="Normal 13 3 3 2 2" xfId="15894"/>
    <cellStyle name="Normal 13 3 3 2 3" xfId="23840"/>
    <cellStyle name="Normal 13 3 3 3" xfId="12356"/>
    <cellStyle name="Normal 13 3 3 4" xfId="20311"/>
    <cellStyle name="Normal 13 3 4" xfId="6151"/>
    <cellStyle name="Normal 13 3 4 2" xfId="14135"/>
    <cellStyle name="Normal 13 3 4 3" xfId="22083"/>
    <cellStyle name="Normal 13 3 5" xfId="9704"/>
    <cellStyle name="Normal 13 3 5 2" xfId="17662"/>
    <cellStyle name="Normal 13 3 5 3" xfId="25606"/>
    <cellStyle name="Normal 13 3 6" xfId="10600"/>
    <cellStyle name="Normal 13 3 7" xfId="18555"/>
    <cellStyle name="Normal 13 3_Exh G" xfId="3462"/>
    <cellStyle name="Normal 13 4" xfId="1015"/>
    <cellStyle name="Normal 13 4 2" xfId="1922"/>
    <cellStyle name="Normal 13 4 2 2" xfId="5440"/>
    <cellStyle name="Normal 13 4 2 2 2" xfId="9031"/>
    <cellStyle name="Normal 13 4 2 2 2 2" xfId="17002"/>
    <cellStyle name="Normal 13 4 2 2 2 3" xfId="24948"/>
    <cellStyle name="Normal 13 4 2 2 3" xfId="13464"/>
    <cellStyle name="Normal 13 4 2 2 4" xfId="21419"/>
    <cellStyle name="Normal 13 4 2 3" xfId="7272"/>
    <cellStyle name="Normal 13 4 2 3 2" xfId="15244"/>
    <cellStyle name="Normal 13 4 2 3 3" xfId="23191"/>
    <cellStyle name="Normal 13 4 2 4" xfId="11708"/>
    <cellStyle name="Normal 13 4 2 5" xfId="19663"/>
    <cellStyle name="Normal 13 4 2_Exh G" xfId="3465"/>
    <cellStyle name="Normal 13 4 3" xfId="4561"/>
    <cellStyle name="Normal 13 4 3 2" xfId="8153"/>
    <cellStyle name="Normal 13 4 3 2 2" xfId="16124"/>
    <cellStyle name="Normal 13 4 3 2 3" xfId="24070"/>
    <cellStyle name="Normal 13 4 3 3" xfId="12586"/>
    <cellStyle name="Normal 13 4 3 4" xfId="20541"/>
    <cellStyle name="Normal 13 4 4" xfId="6391"/>
    <cellStyle name="Normal 13 4 4 2" xfId="14366"/>
    <cellStyle name="Normal 13 4 4 3" xfId="22313"/>
    <cellStyle name="Normal 13 4 5" xfId="9934"/>
    <cellStyle name="Normal 13 4 5 2" xfId="17892"/>
    <cellStyle name="Normal 13 4 5 3" xfId="25836"/>
    <cellStyle name="Normal 13 4 6" xfId="10830"/>
    <cellStyle name="Normal 13 4 7" xfId="18785"/>
    <cellStyle name="Normal 13 4_Exh G" xfId="3464"/>
    <cellStyle name="Normal 13 5" xfId="1677"/>
    <cellStyle name="Normal 13 5 2" xfId="5207"/>
    <cellStyle name="Normal 13 5 2 2" xfId="8798"/>
    <cellStyle name="Normal 13 5 2 2 2" xfId="16769"/>
    <cellStyle name="Normal 13 5 2 2 3" xfId="24715"/>
    <cellStyle name="Normal 13 5 2 3" xfId="13231"/>
    <cellStyle name="Normal 13 5 2 4" xfId="21186"/>
    <cellStyle name="Normal 13 5 3" xfId="7039"/>
    <cellStyle name="Normal 13 5 3 2" xfId="15011"/>
    <cellStyle name="Normal 13 5 3 3" xfId="22958"/>
    <cellStyle name="Normal 13 5 4" xfId="11475"/>
    <cellStyle name="Normal 13 5 5" xfId="19430"/>
    <cellStyle name="Normal 13 5_Exh G" xfId="3466"/>
    <cellStyle name="Normal 13 6" xfId="4328"/>
    <cellStyle name="Normal 13 6 2" xfId="7920"/>
    <cellStyle name="Normal 13 6 2 2" xfId="15891"/>
    <cellStyle name="Normal 13 6 2 3" xfId="23837"/>
    <cellStyle name="Normal 13 6 3" xfId="12353"/>
    <cellStyle name="Normal 13 6 4" xfId="20308"/>
    <cellStyle name="Normal 13 7" xfId="6148"/>
    <cellStyle name="Normal 13 7 2" xfId="14132"/>
    <cellStyle name="Normal 13 7 3" xfId="22080"/>
    <cellStyle name="Normal 13 8" xfId="9701"/>
    <cellStyle name="Normal 13 8 2" xfId="17659"/>
    <cellStyle name="Normal 13 8 3" xfId="25603"/>
    <cellStyle name="Normal 13 9" xfId="10597"/>
    <cellStyle name="Normal 13_Exh G" xfId="3457"/>
    <cellStyle name="Normal 14" xfId="653"/>
    <cellStyle name="Normal 14 10" xfId="10601"/>
    <cellStyle name="Normal 14 11" xfId="18556"/>
    <cellStyle name="Normal 14 2" xfId="654"/>
    <cellStyle name="Normal 14 2 2" xfId="655"/>
    <cellStyle name="Normal 14 2 2 2" xfId="1683"/>
    <cellStyle name="Normal 14 2 2 2 2" xfId="5213"/>
    <cellStyle name="Normal 14 2 2 2 2 2" xfId="8804"/>
    <cellStyle name="Normal 14 2 2 2 2 2 2" xfId="16775"/>
    <cellStyle name="Normal 14 2 2 2 2 2 3" xfId="24721"/>
    <cellStyle name="Normal 14 2 2 2 2 3" xfId="13237"/>
    <cellStyle name="Normal 14 2 2 2 2 4" xfId="21192"/>
    <cellStyle name="Normal 14 2 2 2 3" xfId="7045"/>
    <cellStyle name="Normal 14 2 2 2 3 2" xfId="15017"/>
    <cellStyle name="Normal 14 2 2 2 3 3" xfId="22964"/>
    <cellStyle name="Normal 14 2 2 2 4" xfId="11481"/>
    <cellStyle name="Normal 14 2 2 2 5" xfId="19436"/>
    <cellStyle name="Normal 14 2 2 2_Exh G" xfId="3470"/>
    <cellStyle name="Normal 14 2 2 3" xfId="4334"/>
    <cellStyle name="Normal 14 2 2 3 2" xfId="7926"/>
    <cellStyle name="Normal 14 2 2 3 2 2" xfId="15897"/>
    <cellStyle name="Normal 14 2 2 3 2 3" xfId="23843"/>
    <cellStyle name="Normal 14 2 2 3 3" xfId="12359"/>
    <cellStyle name="Normal 14 2 2 3 4" xfId="20314"/>
    <cellStyle name="Normal 14 2 2 4" xfId="6154"/>
    <cellStyle name="Normal 14 2 2 4 2" xfId="14138"/>
    <cellStyle name="Normal 14 2 2 4 3" xfId="22086"/>
    <cellStyle name="Normal 14 2 2 5" xfId="9707"/>
    <cellStyle name="Normal 14 2 2 5 2" xfId="17665"/>
    <cellStyle name="Normal 14 2 2 5 3" xfId="25609"/>
    <cellStyle name="Normal 14 2 2 6" xfId="10603"/>
    <cellStyle name="Normal 14 2 2 7" xfId="18558"/>
    <cellStyle name="Normal 14 2 2_Exh G" xfId="3469"/>
    <cellStyle name="Normal 14 2 3" xfId="1682"/>
    <cellStyle name="Normal 14 2 3 2" xfId="5212"/>
    <cellStyle name="Normal 14 2 3 2 2" xfId="8803"/>
    <cellStyle name="Normal 14 2 3 2 2 2" xfId="16774"/>
    <cellStyle name="Normal 14 2 3 2 2 3" xfId="24720"/>
    <cellStyle name="Normal 14 2 3 2 3" xfId="13236"/>
    <cellStyle name="Normal 14 2 3 2 4" xfId="21191"/>
    <cellStyle name="Normal 14 2 3 3" xfId="7044"/>
    <cellStyle name="Normal 14 2 3 3 2" xfId="15016"/>
    <cellStyle name="Normal 14 2 3 3 3" xfId="22963"/>
    <cellStyle name="Normal 14 2 3 4" xfId="11480"/>
    <cellStyle name="Normal 14 2 3 5" xfId="19435"/>
    <cellStyle name="Normal 14 2 3_Exh G" xfId="3471"/>
    <cellStyle name="Normal 14 2 4" xfId="4333"/>
    <cellStyle name="Normal 14 2 4 2" xfId="7925"/>
    <cellStyle name="Normal 14 2 4 2 2" xfId="15896"/>
    <cellStyle name="Normal 14 2 4 2 3" xfId="23842"/>
    <cellStyle name="Normal 14 2 4 3" xfId="12358"/>
    <cellStyle name="Normal 14 2 4 4" xfId="20313"/>
    <cellStyle name="Normal 14 2 5" xfId="6153"/>
    <cellStyle name="Normal 14 2 5 2" xfId="14137"/>
    <cellStyle name="Normal 14 2 5 3" xfId="22085"/>
    <cellStyle name="Normal 14 2 6" xfId="9706"/>
    <cellStyle name="Normal 14 2 6 2" xfId="17664"/>
    <cellStyle name="Normal 14 2 6 3" xfId="25608"/>
    <cellStyle name="Normal 14 2 7" xfId="10602"/>
    <cellStyle name="Normal 14 2 8" xfId="18557"/>
    <cellStyle name="Normal 14 2_Exh G" xfId="3468"/>
    <cellStyle name="Normal 14 3" xfId="656"/>
    <cellStyle name="Normal 14 3 2" xfId="1684"/>
    <cellStyle name="Normal 14 3 2 2" xfId="5214"/>
    <cellStyle name="Normal 14 3 2 2 2" xfId="8805"/>
    <cellStyle name="Normal 14 3 2 2 2 2" xfId="16776"/>
    <cellStyle name="Normal 14 3 2 2 2 3" xfId="24722"/>
    <cellStyle name="Normal 14 3 2 2 3" xfId="13238"/>
    <cellStyle name="Normal 14 3 2 2 4" xfId="21193"/>
    <cellStyle name="Normal 14 3 2 3" xfId="7046"/>
    <cellStyle name="Normal 14 3 2 3 2" xfId="15018"/>
    <cellStyle name="Normal 14 3 2 3 3" xfId="22965"/>
    <cellStyle name="Normal 14 3 2 4" xfId="11482"/>
    <cellStyle name="Normal 14 3 2 5" xfId="19437"/>
    <cellStyle name="Normal 14 3 2_Exh G" xfId="3473"/>
    <cellStyle name="Normal 14 3 3" xfId="4335"/>
    <cellStyle name="Normal 14 3 3 2" xfId="7927"/>
    <cellStyle name="Normal 14 3 3 2 2" xfId="15898"/>
    <cellStyle name="Normal 14 3 3 2 3" xfId="23844"/>
    <cellStyle name="Normal 14 3 3 3" xfId="12360"/>
    <cellStyle name="Normal 14 3 3 4" xfId="20315"/>
    <cellStyle name="Normal 14 3 4" xfId="6155"/>
    <cellStyle name="Normal 14 3 4 2" xfId="14139"/>
    <cellStyle name="Normal 14 3 4 3" xfId="22087"/>
    <cellStyle name="Normal 14 3 5" xfId="9708"/>
    <cellStyle name="Normal 14 3 5 2" xfId="17666"/>
    <cellStyle name="Normal 14 3 5 3" xfId="25610"/>
    <cellStyle name="Normal 14 3 6" xfId="10604"/>
    <cellStyle name="Normal 14 3 7" xfId="18559"/>
    <cellStyle name="Normal 14 3_Exh G" xfId="3472"/>
    <cellStyle name="Normal 14 4" xfId="740"/>
    <cellStyle name="Normal 14 4 2" xfId="1767"/>
    <cellStyle name="Normal 14 4_Exh G" xfId="3474"/>
    <cellStyle name="Normal 14 5" xfId="1016"/>
    <cellStyle name="Normal 14 6" xfId="1681"/>
    <cellStyle name="Normal 14 6 2" xfId="5211"/>
    <cellStyle name="Normal 14 6 2 2" xfId="8802"/>
    <cellStyle name="Normal 14 6 2 2 2" xfId="16773"/>
    <cellStyle name="Normal 14 6 2 2 3" xfId="24719"/>
    <cellStyle name="Normal 14 6 2 3" xfId="13235"/>
    <cellStyle name="Normal 14 6 2 4" xfId="21190"/>
    <cellStyle name="Normal 14 6 3" xfId="7043"/>
    <cellStyle name="Normal 14 6 3 2" xfId="15015"/>
    <cellStyle name="Normal 14 6 3 3" xfId="22962"/>
    <cellStyle name="Normal 14 6 4" xfId="11479"/>
    <cellStyle name="Normal 14 6 5" xfId="19434"/>
    <cellStyle name="Normal 14 6_Exh G" xfId="3475"/>
    <cellStyle name="Normal 14 7" xfId="4332"/>
    <cellStyle name="Normal 14 7 2" xfId="7924"/>
    <cellStyle name="Normal 14 7 2 2" xfId="15895"/>
    <cellStyle name="Normal 14 7 2 3" xfId="23841"/>
    <cellStyle name="Normal 14 7 3" xfId="12357"/>
    <cellStyle name="Normal 14 7 4" xfId="20312"/>
    <cellStyle name="Normal 14 8" xfId="6152"/>
    <cellStyle name="Normal 14 8 2" xfId="14136"/>
    <cellStyle name="Normal 14 8 3" xfId="22084"/>
    <cellStyle name="Normal 14 9" xfId="9705"/>
    <cellStyle name="Normal 14 9 2" xfId="17663"/>
    <cellStyle name="Normal 14 9 3" xfId="25607"/>
    <cellStyle name="Normal 14_Exh G" xfId="3467"/>
    <cellStyle name="Normal 15" xfId="657"/>
    <cellStyle name="Normal 15 2" xfId="658"/>
    <cellStyle name="Normal 15 2 2" xfId="659"/>
    <cellStyle name="Normal 15 2 2 2" xfId="1687"/>
    <cellStyle name="Normal 15 2 2 2 2" xfId="5217"/>
    <cellStyle name="Normal 15 2 2 2 2 2" xfId="8808"/>
    <cellStyle name="Normal 15 2 2 2 2 2 2" xfId="16779"/>
    <cellStyle name="Normal 15 2 2 2 2 2 3" xfId="24725"/>
    <cellStyle name="Normal 15 2 2 2 2 3" xfId="13241"/>
    <cellStyle name="Normal 15 2 2 2 2 4" xfId="21196"/>
    <cellStyle name="Normal 15 2 2 2 3" xfId="7049"/>
    <cellStyle name="Normal 15 2 2 2 3 2" xfId="15021"/>
    <cellStyle name="Normal 15 2 2 2 3 3" xfId="22968"/>
    <cellStyle name="Normal 15 2 2 2 4" xfId="11485"/>
    <cellStyle name="Normal 15 2 2 2 5" xfId="19440"/>
    <cellStyle name="Normal 15 2 2 2_Exh G" xfId="3479"/>
    <cellStyle name="Normal 15 2 2 3" xfId="4338"/>
    <cellStyle name="Normal 15 2 2 3 2" xfId="7930"/>
    <cellStyle name="Normal 15 2 2 3 2 2" xfId="15901"/>
    <cellStyle name="Normal 15 2 2 3 2 3" xfId="23847"/>
    <cellStyle name="Normal 15 2 2 3 3" xfId="12363"/>
    <cellStyle name="Normal 15 2 2 3 4" xfId="20318"/>
    <cellStyle name="Normal 15 2 2 4" xfId="6158"/>
    <cellStyle name="Normal 15 2 2 4 2" xfId="14142"/>
    <cellStyle name="Normal 15 2 2 4 3" xfId="22090"/>
    <cellStyle name="Normal 15 2 2 5" xfId="9711"/>
    <cellStyle name="Normal 15 2 2 5 2" xfId="17669"/>
    <cellStyle name="Normal 15 2 2 5 3" xfId="25613"/>
    <cellStyle name="Normal 15 2 2 6" xfId="10607"/>
    <cellStyle name="Normal 15 2 2 7" xfId="18562"/>
    <cellStyle name="Normal 15 2 2_Exh G" xfId="3478"/>
    <cellStyle name="Normal 15 2 3" xfId="1686"/>
    <cellStyle name="Normal 15 2 3 2" xfId="5216"/>
    <cellStyle name="Normal 15 2 3 2 2" xfId="8807"/>
    <cellStyle name="Normal 15 2 3 2 2 2" xfId="16778"/>
    <cellStyle name="Normal 15 2 3 2 2 3" xfId="24724"/>
    <cellStyle name="Normal 15 2 3 2 3" xfId="13240"/>
    <cellStyle name="Normal 15 2 3 2 4" xfId="21195"/>
    <cellStyle name="Normal 15 2 3 3" xfId="7048"/>
    <cellStyle name="Normal 15 2 3 3 2" xfId="15020"/>
    <cellStyle name="Normal 15 2 3 3 3" xfId="22967"/>
    <cellStyle name="Normal 15 2 3 4" xfId="11484"/>
    <cellStyle name="Normal 15 2 3 5" xfId="19439"/>
    <cellStyle name="Normal 15 2 3_Exh G" xfId="3480"/>
    <cellStyle name="Normal 15 2 4" xfId="4337"/>
    <cellStyle name="Normal 15 2 4 2" xfId="7929"/>
    <cellStyle name="Normal 15 2 4 2 2" xfId="15900"/>
    <cellStyle name="Normal 15 2 4 2 3" xfId="23846"/>
    <cellStyle name="Normal 15 2 4 3" xfId="12362"/>
    <cellStyle name="Normal 15 2 4 4" xfId="20317"/>
    <cellStyle name="Normal 15 2 5" xfId="6157"/>
    <cellStyle name="Normal 15 2 5 2" xfId="14141"/>
    <cellStyle name="Normal 15 2 5 3" xfId="22089"/>
    <cellStyle name="Normal 15 2 6" xfId="9710"/>
    <cellStyle name="Normal 15 2 6 2" xfId="17668"/>
    <cellStyle name="Normal 15 2 6 3" xfId="25612"/>
    <cellStyle name="Normal 15 2 7" xfId="10606"/>
    <cellStyle name="Normal 15 2 8" xfId="18561"/>
    <cellStyle name="Normal 15 2_Exh G" xfId="3477"/>
    <cellStyle name="Normal 15 3" xfId="660"/>
    <cellStyle name="Normal 15 3 2" xfId="1688"/>
    <cellStyle name="Normal 15 3 2 2" xfId="5218"/>
    <cellStyle name="Normal 15 3 2 2 2" xfId="8809"/>
    <cellStyle name="Normal 15 3 2 2 2 2" xfId="16780"/>
    <cellStyle name="Normal 15 3 2 2 2 3" xfId="24726"/>
    <cellStyle name="Normal 15 3 2 2 3" xfId="13242"/>
    <cellStyle name="Normal 15 3 2 2 4" xfId="21197"/>
    <cellStyle name="Normal 15 3 2 3" xfId="7050"/>
    <cellStyle name="Normal 15 3 2 3 2" xfId="15022"/>
    <cellStyle name="Normal 15 3 2 3 3" xfId="22969"/>
    <cellStyle name="Normal 15 3 2 4" xfId="11486"/>
    <cellStyle name="Normal 15 3 2 5" xfId="19441"/>
    <cellStyle name="Normal 15 3 2_Exh G" xfId="3482"/>
    <cellStyle name="Normal 15 3 3" xfId="4339"/>
    <cellStyle name="Normal 15 3 3 2" xfId="7931"/>
    <cellStyle name="Normal 15 3 3 2 2" xfId="15902"/>
    <cellStyle name="Normal 15 3 3 2 3" xfId="23848"/>
    <cellStyle name="Normal 15 3 3 3" xfId="12364"/>
    <cellStyle name="Normal 15 3 3 4" xfId="20319"/>
    <cellStyle name="Normal 15 3 4" xfId="6159"/>
    <cellStyle name="Normal 15 3 4 2" xfId="14143"/>
    <cellStyle name="Normal 15 3 4 3" xfId="22091"/>
    <cellStyle name="Normal 15 3 5" xfId="9712"/>
    <cellStyle name="Normal 15 3 5 2" xfId="17670"/>
    <cellStyle name="Normal 15 3 5 3" xfId="25614"/>
    <cellStyle name="Normal 15 3 6" xfId="10608"/>
    <cellStyle name="Normal 15 3 7" xfId="18563"/>
    <cellStyle name="Normal 15 3_Exh G" xfId="3481"/>
    <cellStyle name="Normal 15 4" xfId="1685"/>
    <cellStyle name="Normal 15 4 2" xfId="5215"/>
    <cellStyle name="Normal 15 4 2 2" xfId="8806"/>
    <cellStyle name="Normal 15 4 2 2 2" xfId="16777"/>
    <cellStyle name="Normal 15 4 2 2 3" xfId="24723"/>
    <cellStyle name="Normal 15 4 2 3" xfId="13239"/>
    <cellStyle name="Normal 15 4 2 4" xfId="21194"/>
    <cellStyle name="Normal 15 4 3" xfId="7047"/>
    <cellStyle name="Normal 15 4 3 2" xfId="15019"/>
    <cellStyle name="Normal 15 4 3 3" xfId="22966"/>
    <cellStyle name="Normal 15 4 4" xfId="11483"/>
    <cellStyle name="Normal 15 4 5" xfId="19438"/>
    <cellStyle name="Normal 15 4_Exh G" xfId="3483"/>
    <cellStyle name="Normal 15 5" xfId="4336"/>
    <cellStyle name="Normal 15 5 2" xfId="7928"/>
    <cellStyle name="Normal 15 5 2 2" xfId="15899"/>
    <cellStyle name="Normal 15 5 2 3" xfId="23845"/>
    <cellStyle name="Normal 15 5 3" xfId="12361"/>
    <cellStyle name="Normal 15 5 4" xfId="20316"/>
    <cellStyle name="Normal 15 6" xfId="6156"/>
    <cellStyle name="Normal 15 6 2" xfId="14140"/>
    <cellStyle name="Normal 15 6 3" xfId="22088"/>
    <cellStyle name="Normal 15 7" xfId="9709"/>
    <cellStyle name="Normal 15 7 2" xfId="17667"/>
    <cellStyle name="Normal 15 7 3" xfId="25611"/>
    <cellStyle name="Normal 15 8" xfId="10605"/>
    <cellStyle name="Normal 15 9" xfId="18560"/>
    <cellStyle name="Normal 15_Exh G" xfId="3476"/>
    <cellStyle name="Normal 16" xfId="661"/>
    <cellStyle name="Normal 16 2" xfId="662"/>
    <cellStyle name="Normal 16 2 2" xfId="663"/>
    <cellStyle name="Normal 16 2 2 2" xfId="1691"/>
    <cellStyle name="Normal 16 2 2 2 2" xfId="5221"/>
    <cellStyle name="Normal 16 2 2 2 2 2" xfId="8812"/>
    <cellStyle name="Normal 16 2 2 2 2 2 2" xfId="16783"/>
    <cellStyle name="Normal 16 2 2 2 2 2 3" xfId="24729"/>
    <cellStyle name="Normal 16 2 2 2 2 3" xfId="13245"/>
    <cellStyle name="Normal 16 2 2 2 2 4" xfId="21200"/>
    <cellStyle name="Normal 16 2 2 2 3" xfId="7053"/>
    <cellStyle name="Normal 16 2 2 2 3 2" xfId="15025"/>
    <cellStyle name="Normal 16 2 2 2 3 3" xfId="22972"/>
    <cellStyle name="Normal 16 2 2 2 4" xfId="11489"/>
    <cellStyle name="Normal 16 2 2 2 5" xfId="19444"/>
    <cellStyle name="Normal 16 2 2 2_Exh G" xfId="3487"/>
    <cellStyle name="Normal 16 2 2 3" xfId="4342"/>
    <cellStyle name="Normal 16 2 2 3 2" xfId="7934"/>
    <cellStyle name="Normal 16 2 2 3 2 2" xfId="15905"/>
    <cellStyle name="Normal 16 2 2 3 2 3" xfId="23851"/>
    <cellStyle name="Normal 16 2 2 3 3" xfId="12367"/>
    <cellStyle name="Normal 16 2 2 3 4" xfId="20322"/>
    <cellStyle name="Normal 16 2 2 4" xfId="6162"/>
    <cellStyle name="Normal 16 2 2 4 2" xfId="14146"/>
    <cellStyle name="Normal 16 2 2 4 3" xfId="22094"/>
    <cellStyle name="Normal 16 2 2 5" xfId="9715"/>
    <cellStyle name="Normal 16 2 2 5 2" xfId="17673"/>
    <cellStyle name="Normal 16 2 2 5 3" xfId="25617"/>
    <cellStyle name="Normal 16 2 2 6" xfId="10611"/>
    <cellStyle name="Normal 16 2 2 7" xfId="18566"/>
    <cellStyle name="Normal 16 2 2_Exh G" xfId="3486"/>
    <cellStyle name="Normal 16 2 3" xfId="1690"/>
    <cellStyle name="Normal 16 2 3 2" xfId="5220"/>
    <cellStyle name="Normal 16 2 3 2 2" xfId="8811"/>
    <cellStyle name="Normal 16 2 3 2 2 2" xfId="16782"/>
    <cellStyle name="Normal 16 2 3 2 2 3" xfId="24728"/>
    <cellStyle name="Normal 16 2 3 2 3" xfId="13244"/>
    <cellStyle name="Normal 16 2 3 2 4" xfId="21199"/>
    <cellStyle name="Normal 16 2 3 3" xfId="7052"/>
    <cellStyle name="Normal 16 2 3 3 2" xfId="15024"/>
    <cellStyle name="Normal 16 2 3 3 3" xfId="22971"/>
    <cellStyle name="Normal 16 2 3 4" xfId="11488"/>
    <cellStyle name="Normal 16 2 3 5" xfId="19443"/>
    <cellStyle name="Normal 16 2 3_Exh G" xfId="3488"/>
    <cellStyle name="Normal 16 2 4" xfId="4341"/>
    <cellStyle name="Normal 16 2 4 2" xfId="7933"/>
    <cellStyle name="Normal 16 2 4 2 2" xfId="15904"/>
    <cellStyle name="Normal 16 2 4 2 3" xfId="23850"/>
    <cellStyle name="Normal 16 2 4 3" xfId="12366"/>
    <cellStyle name="Normal 16 2 4 4" xfId="20321"/>
    <cellStyle name="Normal 16 2 5" xfId="6161"/>
    <cellStyle name="Normal 16 2 5 2" xfId="14145"/>
    <cellStyle name="Normal 16 2 5 3" xfId="22093"/>
    <cellStyle name="Normal 16 2 6" xfId="9714"/>
    <cellStyle name="Normal 16 2 6 2" xfId="17672"/>
    <cellStyle name="Normal 16 2 6 3" xfId="25616"/>
    <cellStyle name="Normal 16 2 7" xfId="10610"/>
    <cellStyle name="Normal 16 2 8" xfId="18565"/>
    <cellStyle name="Normal 16 2_Exh G" xfId="3485"/>
    <cellStyle name="Normal 16 3" xfId="664"/>
    <cellStyle name="Normal 16 3 2" xfId="1692"/>
    <cellStyle name="Normal 16 3 2 2" xfId="5222"/>
    <cellStyle name="Normal 16 3 2 2 2" xfId="8813"/>
    <cellStyle name="Normal 16 3 2 2 2 2" xfId="16784"/>
    <cellStyle name="Normal 16 3 2 2 2 3" xfId="24730"/>
    <cellStyle name="Normal 16 3 2 2 3" xfId="13246"/>
    <cellStyle name="Normal 16 3 2 2 4" xfId="21201"/>
    <cellStyle name="Normal 16 3 2 3" xfId="7054"/>
    <cellStyle name="Normal 16 3 2 3 2" xfId="15026"/>
    <cellStyle name="Normal 16 3 2 3 3" xfId="22973"/>
    <cellStyle name="Normal 16 3 2 4" xfId="11490"/>
    <cellStyle name="Normal 16 3 2 5" xfId="19445"/>
    <cellStyle name="Normal 16 3 2_Exh G" xfId="3490"/>
    <cellStyle name="Normal 16 3 3" xfId="4343"/>
    <cellStyle name="Normal 16 3 3 2" xfId="7935"/>
    <cellStyle name="Normal 16 3 3 2 2" xfId="15906"/>
    <cellStyle name="Normal 16 3 3 2 3" xfId="23852"/>
    <cellStyle name="Normal 16 3 3 3" xfId="12368"/>
    <cellStyle name="Normal 16 3 3 4" xfId="20323"/>
    <cellStyle name="Normal 16 3 4" xfId="6163"/>
    <cellStyle name="Normal 16 3 4 2" xfId="14147"/>
    <cellStyle name="Normal 16 3 4 3" xfId="22095"/>
    <cellStyle name="Normal 16 3 5" xfId="9716"/>
    <cellStyle name="Normal 16 3 5 2" xfId="17674"/>
    <cellStyle name="Normal 16 3 5 3" xfId="25618"/>
    <cellStyle name="Normal 16 3 6" xfId="10612"/>
    <cellStyle name="Normal 16 3 7" xfId="18567"/>
    <cellStyle name="Normal 16 3_Exh G" xfId="3489"/>
    <cellStyle name="Normal 16 4" xfId="1689"/>
    <cellStyle name="Normal 16 4 2" xfId="5219"/>
    <cellStyle name="Normal 16 4 2 2" xfId="8810"/>
    <cellStyle name="Normal 16 4 2 2 2" xfId="16781"/>
    <cellStyle name="Normal 16 4 2 2 3" xfId="24727"/>
    <cellStyle name="Normal 16 4 2 3" xfId="13243"/>
    <cellStyle name="Normal 16 4 2 4" xfId="21198"/>
    <cellStyle name="Normal 16 4 3" xfId="7051"/>
    <cellStyle name="Normal 16 4 3 2" xfId="15023"/>
    <cellStyle name="Normal 16 4 3 3" xfId="22970"/>
    <cellStyle name="Normal 16 4 4" xfId="11487"/>
    <cellStyle name="Normal 16 4 5" xfId="19442"/>
    <cellStyle name="Normal 16 4_Exh G" xfId="3491"/>
    <cellStyle name="Normal 16 5" xfId="4340"/>
    <cellStyle name="Normal 16 5 2" xfId="7932"/>
    <cellStyle name="Normal 16 5 2 2" xfId="15903"/>
    <cellStyle name="Normal 16 5 2 3" xfId="23849"/>
    <cellStyle name="Normal 16 5 3" xfId="12365"/>
    <cellStyle name="Normal 16 5 4" xfId="20320"/>
    <cellStyle name="Normal 16 6" xfId="6160"/>
    <cellStyle name="Normal 16 6 2" xfId="14144"/>
    <cellStyle name="Normal 16 6 3" xfId="22092"/>
    <cellStyle name="Normal 16 7" xfId="9713"/>
    <cellStyle name="Normal 16 7 2" xfId="17671"/>
    <cellStyle name="Normal 16 7 3" xfId="25615"/>
    <cellStyle name="Normal 16 8" xfId="10609"/>
    <cellStyle name="Normal 16 9" xfId="18564"/>
    <cellStyle name="Normal 16_Exh G" xfId="3484"/>
    <cellStyle name="Normal 17" xfId="665"/>
    <cellStyle name="Normal 17 2" xfId="1693"/>
    <cellStyle name="Normal 17 2 2" xfId="5223"/>
    <cellStyle name="Normal 17 2 2 2" xfId="8814"/>
    <cellStyle name="Normal 17 2 2 2 2" xfId="16785"/>
    <cellStyle name="Normal 17 2 2 2 3" xfId="24731"/>
    <cellStyle name="Normal 17 2 2 3" xfId="13247"/>
    <cellStyle name="Normal 17 2 2 4" xfId="21202"/>
    <cellStyle name="Normal 17 2 3" xfId="7055"/>
    <cellStyle name="Normal 17 2 3 2" xfId="15027"/>
    <cellStyle name="Normal 17 2 3 3" xfId="22974"/>
    <cellStyle name="Normal 17 2 4" xfId="11491"/>
    <cellStyle name="Normal 17 2 5" xfId="19446"/>
    <cellStyle name="Normal 17 2_Exh G" xfId="3493"/>
    <cellStyle name="Normal 17 3" xfId="4344"/>
    <cellStyle name="Normal 17 3 2" xfId="7936"/>
    <cellStyle name="Normal 17 3 2 2" xfId="15907"/>
    <cellStyle name="Normal 17 3 2 3" xfId="23853"/>
    <cellStyle name="Normal 17 3 3" xfId="12369"/>
    <cellStyle name="Normal 17 3 4" xfId="20324"/>
    <cellStyle name="Normal 17 4" xfId="6164"/>
    <cellStyle name="Normal 17 4 2" xfId="14148"/>
    <cellStyle name="Normal 17 4 3" xfId="22096"/>
    <cellStyle name="Normal 17 5" xfId="9717"/>
    <cellStyle name="Normal 17 5 2" xfId="17675"/>
    <cellStyle name="Normal 17 5 3" xfId="25619"/>
    <cellStyle name="Normal 17 6" xfId="10613"/>
    <cellStyle name="Normal 17 7" xfId="18568"/>
    <cellStyle name="Normal 17_Exh G" xfId="3492"/>
    <cellStyle name="Normal 18" xfId="739"/>
    <cellStyle name="Normal 19" xfId="827"/>
    <cellStyle name="Normal 19 2" xfId="1769"/>
    <cellStyle name="Normal 19 2 2" xfId="5298"/>
    <cellStyle name="Normal 19 2 2 2" xfId="8889"/>
    <cellStyle name="Normal 19 2 2 2 2" xfId="16860"/>
    <cellStyle name="Normal 19 2 2 2 3" xfId="24806"/>
    <cellStyle name="Normal 19 2 2 3" xfId="13322"/>
    <cellStyle name="Normal 19 2 2 4" xfId="21277"/>
    <cellStyle name="Normal 19 2 3" xfId="7130"/>
    <cellStyle name="Normal 19 2 3 2" xfId="15102"/>
    <cellStyle name="Normal 19 2 3 3" xfId="23049"/>
    <cellStyle name="Normal 19 2 4" xfId="11566"/>
    <cellStyle name="Normal 19 2 5" xfId="19521"/>
    <cellStyle name="Normal 19 2_Exh G" xfId="3495"/>
    <cellStyle name="Normal 19 3" xfId="4419"/>
    <cellStyle name="Normal 19 3 2" xfId="8011"/>
    <cellStyle name="Normal 19 3 2 2" xfId="15982"/>
    <cellStyle name="Normal 19 3 2 3" xfId="23928"/>
    <cellStyle name="Normal 19 3 3" xfId="12444"/>
    <cellStyle name="Normal 19 3 4" xfId="20399"/>
    <cellStyle name="Normal 19 4" xfId="6249"/>
    <cellStyle name="Normal 19 4 2" xfId="14224"/>
    <cellStyle name="Normal 19 4 3" xfId="22171"/>
    <cellStyle name="Normal 19 5" xfId="9792"/>
    <cellStyle name="Normal 19 5 2" xfId="17750"/>
    <cellStyle name="Normal 19 5 3" xfId="25694"/>
    <cellStyle name="Normal 19 6" xfId="10688"/>
    <cellStyle name="Normal 19 7" xfId="18643"/>
    <cellStyle name="Normal 19_Exh G" xfId="3494"/>
    <cellStyle name="Normal 2" xfId="2"/>
    <cellStyle name="Normal 2 10" xfId="5462"/>
    <cellStyle name="Normal 2 10 2" xfId="9053"/>
    <cellStyle name="Normal 2 10 2 2" xfId="17020"/>
    <cellStyle name="Normal 2 10 2 3" xfId="24966"/>
    <cellStyle name="Normal 2 10 3" xfId="13483"/>
    <cellStyle name="Normal 2 10 4" xfId="21437"/>
    <cellStyle name="Normal 2 11" xfId="5465"/>
    <cellStyle name="Normal 2 11 2" xfId="9056"/>
    <cellStyle name="Normal 2 11 2 2" xfId="17021"/>
    <cellStyle name="Normal 2 11 2 3" xfId="24967"/>
    <cellStyle name="Normal 2 11 3" xfId="13484"/>
    <cellStyle name="Normal 2 11 4" xfId="21438"/>
    <cellStyle name="Normal 2 12" xfId="5483"/>
    <cellStyle name="Normal 2 12 2" xfId="9063"/>
    <cellStyle name="Normal 2 12 2 2" xfId="17024"/>
    <cellStyle name="Normal 2 12 2 3" xfId="24970"/>
    <cellStyle name="Normal 2 12 3" xfId="13487"/>
    <cellStyle name="Normal 2 12 4" xfId="21441"/>
    <cellStyle name="Normal 2 13" xfId="5489"/>
    <cellStyle name="Normal 2 13 2" xfId="9068"/>
    <cellStyle name="Normal 2 13 2 2" xfId="17027"/>
    <cellStyle name="Normal 2 13 2 3" xfId="24973"/>
    <cellStyle name="Normal 2 13 3" xfId="13490"/>
    <cellStyle name="Normal 2 13 4" xfId="21444"/>
    <cellStyle name="Normal 2 14" xfId="5495"/>
    <cellStyle name="Normal 2 14 2" xfId="5515"/>
    <cellStyle name="Normal 2 14 3" xfId="13493"/>
    <cellStyle name="Normal 2 14 4" xfId="21445"/>
    <cellStyle name="Normal 2 15" xfId="5501"/>
    <cellStyle name="Normal 2 15 2" xfId="13498"/>
    <cellStyle name="Normal 2 15 3" xfId="21448"/>
    <cellStyle name="Normal 2 16" xfId="5506"/>
    <cellStyle name="Normal 2 16 2" xfId="13502"/>
    <cellStyle name="Normal 2 16 3" xfId="21451"/>
    <cellStyle name="Normal 2 17" xfId="9071"/>
    <cellStyle name="Normal 2 17 2" xfId="17030"/>
    <cellStyle name="Normal 2 17 3" xfId="24974"/>
    <cellStyle name="Normal 2 18" xfId="9959"/>
    <cellStyle name="Normal 2 18 2" xfId="17916"/>
    <cellStyle name="Normal 2 18 3" xfId="25858"/>
    <cellStyle name="Normal 2 19" xfId="9968"/>
    <cellStyle name="Normal 2 2" xfId="18"/>
    <cellStyle name="Normal 2 2 10" xfId="5503"/>
    <cellStyle name="Normal 2 2 10 2" xfId="13500"/>
    <cellStyle name="Normal 2 2 10 3" xfId="21450"/>
    <cellStyle name="Normal 2 2 11" xfId="5510"/>
    <cellStyle name="Normal 2 2 11 2" xfId="13503"/>
    <cellStyle name="Normal 2 2 11 3" xfId="21452"/>
    <cellStyle name="Normal 2 2 12" xfId="9072"/>
    <cellStyle name="Normal 2 2 12 2" xfId="17031"/>
    <cellStyle name="Normal 2 2 12 3" xfId="24975"/>
    <cellStyle name="Normal 2 2 13" xfId="9073"/>
    <cellStyle name="Normal 2 2 14" xfId="9960"/>
    <cellStyle name="Normal 2 2 14 2" xfId="17917"/>
    <cellStyle name="Normal 2 2 14 3" xfId="25859"/>
    <cellStyle name="Normal 2 2 15" xfId="9969"/>
    <cellStyle name="Normal 2 2 16" xfId="25872"/>
    <cellStyle name="Normal 2 2 2" xfId="666"/>
    <cellStyle name="Normal 2 2 2 2" xfId="1694"/>
    <cellStyle name="Normal 2 2 2 2 2" xfId="5224"/>
    <cellStyle name="Normal 2 2 2 2 2 2" xfId="8815"/>
    <cellStyle name="Normal 2 2 2 2 2 2 2" xfId="16786"/>
    <cellStyle name="Normal 2 2 2 2 2 2 3" xfId="24732"/>
    <cellStyle name="Normal 2 2 2 2 2 3" xfId="13248"/>
    <cellStyle name="Normal 2 2 2 2 2 4" xfId="21203"/>
    <cellStyle name="Normal 2 2 2 2 3" xfId="7056"/>
    <cellStyle name="Normal 2 2 2 2 3 2" xfId="15028"/>
    <cellStyle name="Normal 2 2 2 2 3 3" xfId="22975"/>
    <cellStyle name="Normal 2 2 2 2 4" xfId="11492"/>
    <cellStyle name="Normal 2 2 2 2 5" xfId="19447"/>
    <cellStyle name="Normal 2 2 2 2_Exh G" xfId="3498"/>
    <cellStyle name="Normal 2 2 2 3" xfId="4345"/>
    <cellStyle name="Normal 2 2 2 3 2" xfId="7937"/>
    <cellStyle name="Normal 2 2 2 3 2 2" xfId="15908"/>
    <cellStyle name="Normal 2 2 2 3 2 3" xfId="23854"/>
    <cellStyle name="Normal 2 2 2 3 3" xfId="12370"/>
    <cellStyle name="Normal 2 2 2 3 4" xfId="20325"/>
    <cellStyle name="Normal 2 2 2 4" xfId="6165"/>
    <cellStyle name="Normal 2 2 2 4 2" xfId="14149"/>
    <cellStyle name="Normal 2 2 2 4 3" xfId="22097"/>
    <cellStyle name="Normal 2 2 2 5" xfId="9718"/>
    <cellStyle name="Normal 2 2 2 5 2" xfId="17676"/>
    <cellStyle name="Normal 2 2 2 5 3" xfId="25620"/>
    <cellStyle name="Normal 2 2 2 6" xfId="10614"/>
    <cellStyle name="Normal 2 2 2 7" xfId="18569"/>
    <cellStyle name="Normal 2 2 2_Exh G" xfId="3497"/>
    <cellStyle name="Normal 2 2 3" xfId="1049"/>
    <cellStyle name="Normal 2 2 4" xfId="3700"/>
    <cellStyle name="Normal 2 2 5" xfId="5471"/>
    <cellStyle name="Normal 2 2 5 2" xfId="9057"/>
    <cellStyle name="Normal 2 2 5 2 2" xfId="17022"/>
    <cellStyle name="Normal 2 2 5 2 3" xfId="24968"/>
    <cellStyle name="Normal 2 2 5 3" xfId="13485"/>
    <cellStyle name="Normal 2 2 5 4" xfId="21439"/>
    <cellStyle name="Normal 2 2 6" xfId="5478"/>
    <cellStyle name="Normal 2 2 6 2" xfId="9059"/>
    <cellStyle name="Normal 2 2 6 2 2" xfId="17023"/>
    <cellStyle name="Normal 2 2 6 2 3" xfId="24969"/>
    <cellStyle name="Normal 2 2 6 3" xfId="13486"/>
    <cellStyle name="Normal 2 2 6 4" xfId="21440"/>
    <cellStyle name="Normal 2 2 7" xfId="5496"/>
    <cellStyle name="Normal 2 2 7 2" xfId="5520"/>
    <cellStyle name="Normal 2 2 7 3" xfId="13494"/>
    <cellStyle name="Normal 2 2 7 4" xfId="21446"/>
    <cellStyle name="Normal 2 2 8" xfId="5498"/>
    <cellStyle name="Normal 2 2 8 2" xfId="13495"/>
    <cellStyle name="Normal 2 2 8 3" xfId="21447"/>
    <cellStyle name="Normal 2 2 9" xfId="5502"/>
    <cellStyle name="Normal 2 2 9 2" xfId="13499"/>
    <cellStyle name="Normal 2 2 9 3" xfId="21449"/>
    <cellStyle name="Normal 2 2_Exh G" xfId="3496"/>
    <cellStyle name="Normal 2 3" xfId="667"/>
    <cellStyle name="Normal 2 3 2" xfId="836"/>
    <cellStyle name="Normal 2 3 2 2" xfId="1776"/>
    <cellStyle name="Normal 2 3 2_Exh G" xfId="3500"/>
    <cellStyle name="Normal 2 3 3" xfId="1695"/>
    <cellStyle name="Normal 2 3 3 2" xfId="5225"/>
    <cellStyle name="Normal 2 3 3 2 2" xfId="8816"/>
    <cellStyle name="Normal 2 3 3 2 2 2" xfId="16787"/>
    <cellStyle name="Normal 2 3 3 2 2 3" xfId="24733"/>
    <cellStyle name="Normal 2 3 3 2 3" xfId="13249"/>
    <cellStyle name="Normal 2 3 3 2 4" xfId="21204"/>
    <cellStyle name="Normal 2 3 3 3" xfId="7057"/>
    <cellStyle name="Normal 2 3 3 3 2" xfId="15029"/>
    <cellStyle name="Normal 2 3 3 3 3" xfId="22976"/>
    <cellStyle name="Normal 2 3 3 4" xfId="11493"/>
    <cellStyle name="Normal 2 3 3 5" xfId="19448"/>
    <cellStyle name="Normal 2 3 3_Exh G" xfId="3501"/>
    <cellStyle name="Normal 2 3 4" xfId="4346"/>
    <cellStyle name="Normal 2 3 4 2" xfId="7938"/>
    <cellStyle name="Normal 2 3 4 2 2" xfId="15909"/>
    <cellStyle name="Normal 2 3 4 2 3" xfId="23855"/>
    <cellStyle name="Normal 2 3 4 3" xfId="12371"/>
    <cellStyle name="Normal 2 3 4 4" xfId="20326"/>
    <cellStyle name="Normal 2 3 5" xfId="6166"/>
    <cellStyle name="Normal 2 3 5 2" xfId="14150"/>
    <cellStyle name="Normal 2 3 5 3" xfId="22098"/>
    <cellStyle name="Normal 2 3 6" xfId="7291"/>
    <cellStyle name="Normal 2 3 6 2" xfId="15262"/>
    <cellStyle name="Normal 2 3 6 3" xfId="23209"/>
    <cellStyle name="Normal 2 3 7" xfId="9719"/>
    <cellStyle name="Normal 2 3 7 2" xfId="17677"/>
    <cellStyle name="Normal 2 3 7 3" xfId="25621"/>
    <cellStyle name="Normal 2 3 8" xfId="10615"/>
    <cellStyle name="Normal 2 3 9" xfId="18570"/>
    <cellStyle name="Normal 2 3_Exh G" xfId="3499"/>
    <cellStyle name="Normal 2 4" xfId="829"/>
    <cellStyle name="Normal 2 4 2" xfId="1770"/>
    <cellStyle name="Normal 2 4_Exh G" xfId="3502"/>
    <cellStyle name="Normal 2 5" xfId="837"/>
    <cellStyle name="Normal 2 5 2" xfId="1777"/>
    <cellStyle name="Normal 2 5_Exh G" xfId="3503"/>
    <cellStyle name="Normal 2 6" xfId="838"/>
    <cellStyle name="Normal 2 6 2" xfId="1778"/>
    <cellStyle name="Normal 2 6_Exh G" xfId="3504"/>
    <cellStyle name="Normal 2 7" xfId="839"/>
    <cellStyle name="Normal 2 7 2" xfId="858"/>
    <cellStyle name="Normal 2 7 2 2" xfId="1797"/>
    <cellStyle name="Normal 2 7 2_Exh G" xfId="3506"/>
    <cellStyle name="Normal 2 7 3" xfId="1779"/>
    <cellStyle name="Normal 2 7_Exh G" xfId="3505"/>
    <cellStyle name="Normal 2 8" xfId="859"/>
    <cellStyle name="Normal 2 8 2" xfId="1798"/>
    <cellStyle name="Normal 2 8_Exh G" xfId="3507"/>
    <cellStyle name="Normal 2 9" xfId="1017"/>
    <cellStyle name="Normal 20" xfId="828"/>
    <cellStyle name="Normal 21" xfId="830"/>
    <cellStyle name="Normal 22" xfId="831"/>
    <cellStyle name="Normal 22 10" xfId="18644"/>
    <cellStyle name="Normal 22 2" xfId="1771"/>
    <cellStyle name="Normal 22 2 2" xfId="5299"/>
    <cellStyle name="Normal 22 2 2 2" xfId="8890"/>
    <cellStyle name="Normal 22 2 2 2 2" xfId="16861"/>
    <cellStyle name="Normal 22 2 2 2 3" xfId="24807"/>
    <cellStyle name="Normal 22 2 2 3" xfId="13323"/>
    <cellStyle name="Normal 22 2 2 4" xfId="21278"/>
    <cellStyle name="Normal 22 2 3" xfId="7131"/>
    <cellStyle name="Normal 22 2 3 2" xfId="15103"/>
    <cellStyle name="Normal 22 2 3 3" xfId="23050"/>
    <cellStyle name="Normal 22 2 4" xfId="11567"/>
    <cellStyle name="Normal 22 2 5" xfId="19522"/>
    <cellStyle name="Normal 22 2_Exh G" xfId="3509"/>
    <cellStyle name="Normal 22 3" xfId="4420"/>
    <cellStyle name="Normal 22 3 2" xfId="8012"/>
    <cellStyle name="Normal 22 3 2 2" xfId="15983"/>
    <cellStyle name="Normal 22 3 2 3" xfId="23929"/>
    <cellStyle name="Normal 22 3 3" xfId="12445"/>
    <cellStyle name="Normal 22 3 4" xfId="20400"/>
    <cellStyle name="Normal 22 4" xfId="5487"/>
    <cellStyle name="Normal 22 4 2" xfId="9067"/>
    <cellStyle name="Normal 22 4 2 2" xfId="17026"/>
    <cellStyle name="Normal 22 4 2 3" xfId="24972"/>
    <cellStyle name="Normal 22 4 3" xfId="13489"/>
    <cellStyle name="Normal 22 4 4" xfId="21443"/>
    <cellStyle name="Normal 22 5" xfId="6250"/>
    <cellStyle name="Normal 22 5 2" xfId="14225"/>
    <cellStyle name="Normal 22 5 3" xfId="22172"/>
    <cellStyle name="Normal 22 6" xfId="9793"/>
    <cellStyle name="Normal 22 6 2" xfId="17751"/>
    <cellStyle name="Normal 22 6 3" xfId="25695"/>
    <cellStyle name="Normal 22 7" xfId="9953"/>
    <cellStyle name="Normal 22 7 2" xfId="17911"/>
    <cellStyle name="Normal 22 7 3" xfId="25855"/>
    <cellStyle name="Normal 22 8" xfId="9955"/>
    <cellStyle name="Normal 22 8 2" xfId="17913"/>
    <cellStyle name="Normal 22 8 3" xfId="25857"/>
    <cellStyle name="Normal 22 9" xfId="10689"/>
    <cellStyle name="Normal 22_Exh G" xfId="3508"/>
    <cellStyle name="Normal 23" xfId="840"/>
    <cellStyle name="Normal 24" xfId="841"/>
    <cellStyle name="Normal 24 2" xfId="1780"/>
    <cellStyle name="Normal 24 2 2" xfId="5301"/>
    <cellStyle name="Normal 24 2 2 2" xfId="8892"/>
    <cellStyle name="Normal 24 2 2 2 2" xfId="16863"/>
    <cellStyle name="Normal 24 2 2 2 3" xfId="24809"/>
    <cellStyle name="Normal 24 2 2 3" xfId="13325"/>
    <cellStyle name="Normal 24 2 2 4" xfId="21280"/>
    <cellStyle name="Normal 24 2 3" xfId="7133"/>
    <cellStyle name="Normal 24 2 3 2" xfId="15105"/>
    <cellStyle name="Normal 24 2 3 3" xfId="23052"/>
    <cellStyle name="Normal 24 2 4" xfId="11569"/>
    <cellStyle name="Normal 24 2 5" xfId="19524"/>
    <cellStyle name="Normal 24 2_Exh G" xfId="3511"/>
    <cellStyle name="Normal 24 3" xfId="4422"/>
    <cellStyle name="Normal 24 3 2" xfId="8014"/>
    <cellStyle name="Normal 24 3 2 2" xfId="15985"/>
    <cellStyle name="Normal 24 3 2 3" xfId="23931"/>
    <cellStyle name="Normal 24 3 3" xfId="12447"/>
    <cellStyle name="Normal 24 3 4" xfId="20402"/>
    <cellStyle name="Normal 24 4" xfId="6252"/>
    <cellStyle name="Normal 24 4 2" xfId="14227"/>
    <cellStyle name="Normal 24 4 3" xfId="22174"/>
    <cellStyle name="Normal 24 5" xfId="9795"/>
    <cellStyle name="Normal 24 5 2" xfId="17753"/>
    <cellStyle name="Normal 24 5 3" xfId="25697"/>
    <cellStyle name="Normal 24 6" xfId="10691"/>
    <cellStyle name="Normal 24 7" xfId="18646"/>
    <cellStyle name="Normal 24_Exh G" xfId="3510"/>
    <cellStyle name="Normal 25" xfId="860"/>
    <cellStyle name="Normal 26" xfId="1042"/>
    <cellStyle name="Normal 26 2" xfId="4579"/>
    <cellStyle name="Normal 26_Exh G" xfId="3512"/>
    <cellStyle name="Normal 27" xfId="1041"/>
    <cellStyle name="Normal 27 2" xfId="25875"/>
    <cellStyle name="Normal 28" xfId="5458"/>
    <cellStyle name="Normal 29" xfId="5459"/>
    <cellStyle name="Normal 29 2" xfId="9050"/>
    <cellStyle name="Normal 3" xfId="3"/>
    <cellStyle name="Normal 3 10" xfId="6411"/>
    <cellStyle name="Normal 3 2" xfId="668"/>
    <cellStyle name="Normal 3 2 2" xfId="669"/>
    <cellStyle name="Normal 3 2 2 2" xfId="1697"/>
    <cellStyle name="Normal 3 2 2 2 2" xfId="5227"/>
    <cellStyle name="Normal 3 2 2 2 2 2" xfId="8818"/>
    <cellStyle name="Normal 3 2 2 2 2 2 2" xfId="16789"/>
    <cellStyle name="Normal 3 2 2 2 2 2 3" xfId="24735"/>
    <cellStyle name="Normal 3 2 2 2 2 3" xfId="13251"/>
    <cellStyle name="Normal 3 2 2 2 2 4" xfId="21206"/>
    <cellStyle name="Normal 3 2 2 2 3" xfId="7059"/>
    <cellStyle name="Normal 3 2 2 2 3 2" xfId="15031"/>
    <cellStyle name="Normal 3 2 2 2 3 3" xfId="22978"/>
    <cellStyle name="Normal 3 2 2 2 4" xfId="11495"/>
    <cellStyle name="Normal 3 2 2 2 5" xfId="19450"/>
    <cellStyle name="Normal 3 2 2 2_Exh G" xfId="3515"/>
    <cellStyle name="Normal 3 2 2 3" xfId="4348"/>
    <cellStyle name="Normal 3 2 2 3 2" xfId="7940"/>
    <cellStyle name="Normal 3 2 2 3 2 2" xfId="15911"/>
    <cellStyle name="Normal 3 2 2 3 2 3" xfId="23857"/>
    <cellStyle name="Normal 3 2 2 3 3" xfId="12373"/>
    <cellStyle name="Normal 3 2 2 3 4" xfId="20328"/>
    <cellStyle name="Normal 3 2 2 4" xfId="6168"/>
    <cellStyle name="Normal 3 2 2 4 2" xfId="14152"/>
    <cellStyle name="Normal 3 2 2 4 3" xfId="22100"/>
    <cellStyle name="Normal 3 2 2 5" xfId="9721"/>
    <cellStyle name="Normal 3 2 2 5 2" xfId="17679"/>
    <cellStyle name="Normal 3 2 2 5 3" xfId="25623"/>
    <cellStyle name="Normal 3 2 2 6" xfId="10617"/>
    <cellStyle name="Normal 3 2 2 7" xfId="18572"/>
    <cellStyle name="Normal 3 2 2_Exh G" xfId="3514"/>
    <cellStyle name="Normal 3 2 3" xfId="1019"/>
    <cellStyle name="Normal 3 2 3 2" xfId="1924"/>
    <cellStyle name="Normal 3 2 3 2 2" xfId="5442"/>
    <cellStyle name="Normal 3 2 3 2 2 2" xfId="9033"/>
    <cellStyle name="Normal 3 2 3 2 2 2 2" xfId="17004"/>
    <cellStyle name="Normal 3 2 3 2 2 2 3" xfId="24950"/>
    <cellStyle name="Normal 3 2 3 2 2 3" xfId="13466"/>
    <cellStyle name="Normal 3 2 3 2 2 4" xfId="21421"/>
    <cellStyle name="Normal 3 2 3 2 3" xfId="7274"/>
    <cellStyle name="Normal 3 2 3 2 3 2" xfId="15246"/>
    <cellStyle name="Normal 3 2 3 2 3 3" xfId="23193"/>
    <cellStyle name="Normal 3 2 3 2 4" xfId="11710"/>
    <cellStyle name="Normal 3 2 3 2 5" xfId="19665"/>
    <cellStyle name="Normal 3 2 3 2_Exh G" xfId="3517"/>
    <cellStyle name="Normal 3 2 3 3" xfId="4563"/>
    <cellStyle name="Normal 3 2 3 3 2" xfId="8155"/>
    <cellStyle name="Normal 3 2 3 3 2 2" xfId="16126"/>
    <cellStyle name="Normal 3 2 3 3 2 3" xfId="24072"/>
    <cellStyle name="Normal 3 2 3 3 3" xfId="12588"/>
    <cellStyle name="Normal 3 2 3 3 4" xfId="20543"/>
    <cellStyle name="Normal 3 2 3 4" xfId="6393"/>
    <cellStyle name="Normal 3 2 3 4 2" xfId="14368"/>
    <cellStyle name="Normal 3 2 3 4 3" xfId="22315"/>
    <cellStyle name="Normal 3 2 3 5" xfId="9936"/>
    <cellStyle name="Normal 3 2 3 5 2" xfId="17894"/>
    <cellStyle name="Normal 3 2 3 5 3" xfId="25838"/>
    <cellStyle name="Normal 3 2 3 6" xfId="10832"/>
    <cellStyle name="Normal 3 2 3 7" xfId="18787"/>
    <cellStyle name="Normal 3 2 3_Exh G" xfId="3516"/>
    <cellStyle name="Normal 3 2 4" xfId="1696"/>
    <cellStyle name="Normal 3 2 4 2" xfId="5226"/>
    <cellStyle name="Normal 3 2 4 2 2" xfId="8817"/>
    <cellStyle name="Normal 3 2 4 2 2 2" xfId="16788"/>
    <cellStyle name="Normal 3 2 4 2 2 3" xfId="24734"/>
    <cellStyle name="Normal 3 2 4 2 3" xfId="13250"/>
    <cellStyle name="Normal 3 2 4 2 4" xfId="21205"/>
    <cellStyle name="Normal 3 2 4 3" xfId="7058"/>
    <cellStyle name="Normal 3 2 4 3 2" xfId="15030"/>
    <cellStyle name="Normal 3 2 4 3 3" xfId="22977"/>
    <cellStyle name="Normal 3 2 4 4" xfId="11494"/>
    <cellStyle name="Normal 3 2 4 5" xfId="19449"/>
    <cellStyle name="Normal 3 2 4_Exh G" xfId="3518"/>
    <cellStyle name="Normal 3 2 5" xfId="4347"/>
    <cellStyle name="Normal 3 2 5 2" xfId="7939"/>
    <cellStyle name="Normal 3 2 5 2 2" xfId="15910"/>
    <cellStyle name="Normal 3 2 5 2 3" xfId="23856"/>
    <cellStyle name="Normal 3 2 5 3" xfId="12372"/>
    <cellStyle name="Normal 3 2 5 4" xfId="20327"/>
    <cellStyle name="Normal 3 2 6" xfId="6167"/>
    <cellStyle name="Normal 3 2 6 2" xfId="14151"/>
    <cellStyle name="Normal 3 2 6 3" xfId="22099"/>
    <cellStyle name="Normal 3 2 7" xfId="9720"/>
    <cellStyle name="Normal 3 2 7 2" xfId="17678"/>
    <cellStyle name="Normal 3 2 7 3" xfId="25622"/>
    <cellStyle name="Normal 3 2 8" xfId="10616"/>
    <cellStyle name="Normal 3 2 9" xfId="18571"/>
    <cellStyle name="Normal 3 2_Exh G" xfId="3513"/>
    <cellStyle name="Normal 3 3" xfId="670"/>
    <cellStyle name="Normal 3 3 2" xfId="1698"/>
    <cellStyle name="Normal 3 3 2 2" xfId="5228"/>
    <cellStyle name="Normal 3 3 2 2 2" xfId="8819"/>
    <cellStyle name="Normal 3 3 2 2 2 2" xfId="16790"/>
    <cellStyle name="Normal 3 3 2 2 2 3" xfId="24736"/>
    <cellStyle name="Normal 3 3 2 2 3" xfId="13252"/>
    <cellStyle name="Normal 3 3 2 2 4" xfId="21207"/>
    <cellStyle name="Normal 3 3 2 3" xfId="7060"/>
    <cellStyle name="Normal 3 3 2 3 2" xfId="15032"/>
    <cellStyle name="Normal 3 3 2 3 3" xfId="22979"/>
    <cellStyle name="Normal 3 3 2 4" xfId="11496"/>
    <cellStyle name="Normal 3 3 2 5" xfId="19451"/>
    <cellStyle name="Normal 3 3 2_Exh G" xfId="3520"/>
    <cellStyle name="Normal 3 3 3" xfId="4349"/>
    <cellStyle name="Normal 3 3 3 2" xfId="7941"/>
    <cellStyle name="Normal 3 3 3 2 2" xfId="15912"/>
    <cellStyle name="Normal 3 3 3 2 3" xfId="23858"/>
    <cellStyle name="Normal 3 3 3 3" xfId="12374"/>
    <cellStyle name="Normal 3 3 3 4" xfId="20329"/>
    <cellStyle name="Normal 3 3 4" xfId="6169"/>
    <cellStyle name="Normal 3 3 4 2" xfId="14153"/>
    <cellStyle name="Normal 3 3 4 3" xfId="22101"/>
    <cellStyle name="Normal 3 3 5" xfId="9722"/>
    <cellStyle name="Normal 3 3 5 2" xfId="17680"/>
    <cellStyle name="Normal 3 3 5 3" xfId="25624"/>
    <cellStyle name="Normal 3 3 6" xfId="10618"/>
    <cellStyle name="Normal 3 3 7" xfId="18573"/>
    <cellStyle name="Normal 3 3_Exh G" xfId="3519"/>
    <cellStyle name="Normal 3 4" xfId="1018"/>
    <cellStyle name="Normal 3 4 2" xfId="1923"/>
    <cellStyle name="Normal 3 4 2 2" xfId="5441"/>
    <cellStyle name="Normal 3 4 2 2 2" xfId="9032"/>
    <cellStyle name="Normal 3 4 2 2 2 2" xfId="17003"/>
    <cellStyle name="Normal 3 4 2 2 2 3" xfId="24949"/>
    <cellStyle name="Normal 3 4 2 2 3" xfId="13465"/>
    <cellStyle name="Normal 3 4 2 2 4" xfId="21420"/>
    <cellStyle name="Normal 3 4 2 3" xfId="7273"/>
    <cellStyle name="Normal 3 4 2 3 2" xfId="15245"/>
    <cellStyle name="Normal 3 4 2 3 3" xfId="23192"/>
    <cellStyle name="Normal 3 4 2 4" xfId="11709"/>
    <cellStyle name="Normal 3 4 2 5" xfId="19664"/>
    <cellStyle name="Normal 3 4 2_Exh G" xfId="3522"/>
    <cellStyle name="Normal 3 4 3" xfId="4562"/>
    <cellStyle name="Normal 3 4 3 2" xfId="8154"/>
    <cellStyle name="Normal 3 4 3 2 2" xfId="16125"/>
    <cellStyle name="Normal 3 4 3 2 3" xfId="24071"/>
    <cellStyle name="Normal 3 4 3 3" xfId="12587"/>
    <cellStyle name="Normal 3 4 3 4" xfId="20542"/>
    <cellStyle name="Normal 3 4 4" xfId="6392"/>
    <cellStyle name="Normal 3 4 4 2" xfId="14367"/>
    <cellStyle name="Normal 3 4 4 3" xfId="22314"/>
    <cellStyle name="Normal 3 4 5" xfId="9935"/>
    <cellStyle name="Normal 3 4 5 2" xfId="17893"/>
    <cellStyle name="Normal 3 4 5 3" xfId="25837"/>
    <cellStyle name="Normal 3 4 6" xfId="10831"/>
    <cellStyle name="Normal 3 4 7" xfId="18786"/>
    <cellStyle name="Normal 3 4_Exh G" xfId="3521"/>
    <cellStyle name="Normal 3 5" xfId="5466"/>
    <cellStyle name="Normal 3 6" xfId="5475"/>
    <cellStyle name="Normal 3 7" xfId="5490"/>
    <cellStyle name="Normal 3 8" xfId="5516"/>
    <cellStyle name="Normal 3 9" xfId="5507"/>
    <cellStyle name="Normal 30" xfId="5461"/>
    <cellStyle name="Normal 30 2" xfId="9052"/>
    <cellStyle name="Normal 31" xfId="5463"/>
    <cellStyle name="Normal 31 2" xfId="9054"/>
    <cellStyle name="Normal 32" xfId="5464"/>
    <cellStyle name="Normal 32 2" xfId="9055"/>
    <cellStyle name="Normal 33" xfId="5481"/>
    <cellStyle name="Normal 33 2" xfId="9061"/>
    <cellStyle name="Normal 34" xfId="5482"/>
    <cellStyle name="Normal 34 2" xfId="9062"/>
    <cellStyle name="Normal 35" xfId="5484"/>
    <cellStyle name="Normal 35 2" xfId="9064"/>
    <cellStyle name="Normal 36" xfId="5485"/>
    <cellStyle name="Normal 36 2" xfId="9065"/>
    <cellStyle name="Normal 37" xfId="5486"/>
    <cellStyle name="Normal 37 2" xfId="9066"/>
    <cellStyle name="Normal 37 2 2" xfId="17025"/>
    <cellStyle name="Normal 37 2 3" xfId="24971"/>
    <cellStyle name="Normal 37 3" xfId="13488"/>
    <cellStyle name="Normal 37 4" xfId="21442"/>
    <cellStyle name="Normal 38" xfId="5488"/>
    <cellStyle name="Normal 39" xfId="5493"/>
    <cellStyle name="Normal 39 2" xfId="5513"/>
    <cellStyle name="Normal 39 2 2" xfId="13504"/>
    <cellStyle name="Normal 39 3" xfId="13491"/>
    <cellStyle name="Normal 4" xfId="4"/>
    <cellStyle name="Normal 4 10" xfId="5517"/>
    <cellStyle name="Normal 4 11" xfId="5508"/>
    <cellStyle name="Normal 4 2" xfId="671"/>
    <cellStyle name="Normal 4 2 10" xfId="5505"/>
    <cellStyle name="Normal 4 2 11" xfId="9723"/>
    <cellStyle name="Normal 4 2 11 2" xfId="17681"/>
    <cellStyle name="Normal 4 2 11 3" xfId="25625"/>
    <cellStyle name="Normal 4 2 12" xfId="10619"/>
    <cellStyle name="Normal 4 2 13" xfId="18574"/>
    <cellStyle name="Normal 4 2 2" xfId="672"/>
    <cellStyle name="Normal 4 2 2 2" xfId="1700"/>
    <cellStyle name="Normal 4 2 2 2 2" xfId="5230"/>
    <cellStyle name="Normal 4 2 2 2 2 2" xfId="8821"/>
    <cellStyle name="Normal 4 2 2 2 2 2 2" xfId="16792"/>
    <cellStyle name="Normal 4 2 2 2 2 2 3" xfId="24738"/>
    <cellStyle name="Normal 4 2 2 2 2 3" xfId="13254"/>
    <cellStyle name="Normal 4 2 2 2 2 4" xfId="21209"/>
    <cellStyle name="Normal 4 2 2 2 3" xfId="7062"/>
    <cellStyle name="Normal 4 2 2 2 3 2" xfId="15034"/>
    <cellStyle name="Normal 4 2 2 2 3 3" xfId="22981"/>
    <cellStyle name="Normal 4 2 2 2 4" xfId="11498"/>
    <cellStyle name="Normal 4 2 2 2 5" xfId="19453"/>
    <cellStyle name="Normal 4 2 2 2_Exh G" xfId="3526"/>
    <cellStyle name="Normal 4 2 2 3" xfId="4351"/>
    <cellStyle name="Normal 4 2 2 3 2" xfId="7943"/>
    <cellStyle name="Normal 4 2 2 3 2 2" xfId="15914"/>
    <cellStyle name="Normal 4 2 2 3 2 3" xfId="23860"/>
    <cellStyle name="Normal 4 2 2 3 3" xfId="12376"/>
    <cellStyle name="Normal 4 2 2 3 4" xfId="20331"/>
    <cellStyle name="Normal 4 2 2 4" xfId="6171"/>
    <cellStyle name="Normal 4 2 2 4 2" xfId="14155"/>
    <cellStyle name="Normal 4 2 2 4 3" xfId="22103"/>
    <cellStyle name="Normal 4 2 2 5" xfId="9724"/>
    <cellStyle name="Normal 4 2 2 5 2" xfId="17682"/>
    <cellStyle name="Normal 4 2 2 5 3" xfId="25626"/>
    <cellStyle name="Normal 4 2 2 6" xfId="10620"/>
    <cellStyle name="Normal 4 2 2 7" xfId="18575"/>
    <cellStyle name="Normal 4 2 2_Exh G" xfId="3525"/>
    <cellStyle name="Normal 4 2 3" xfId="1021"/>
    <cellStyle name="Normal 4 2 3 2" xfId="1926"/>
    <cellStyle name="Normal 4 2 3 2 2" xfId="5444"/>
    <cellStyle name="Normal 4 2 3 2 2 2" xfId="9035"/>
    <cellStyle name="Normal 4 2 3 2 2 2 2" xfId="17006"/>
    <cellStyle name="Normal 4 2 3 2 2 2 3" xfId="24952"/>
    <cellStyle name="Normal 4 2 3 2 2 3" xfId="13468"/>
    <cellStyle name="Normal 4 2 3 2 2 4" xfId="21423"/>
    <cellStyle name="Normal 4 2 3 2 3" xfId="7276"/>
    <cellStyle name="Normal 4 2 3 2 3 2" xfId="15248"/>
    <cellStyle name="Normal 4 2 3 2 3 3" xfId="23195"/>
    <cellStyle name="Normal 4 2 3 2 4" xfId="11712"/>
    <cellStyle name="Normal 4 2 3 2 5" xfId="19667"/>
    <cellStyle name="Normal 4 2 3 2_Exh G" xfId="3528"/>
    <cellStyle name="Normal 4 2 3 3" xfId="4565"/>
    <cellStyle name="Normal 4 2 3 3 2" xfId="8157"/>
    <cellStyle name="Normal 4 2 3 3 2 2" xfId="16128"/>
    <cellStyle name="Normal 4 2 3 3 2 3" xfId="24074"/>
    <cellStyle name="Normal 4 2 3 3 3" xfId="12590"/>
    <cellStyle name="Normal 4 2 3 3 4" xfId="20545"/>
    <cellStyle name="Normal 4 2 3 4" xfId="6395"/>
    <cellStyle name="Normal 4 2 3 4 2" xfId="14370"/>
    <cellStyle name="Normal 4 2 3 4 3" xfId="22317"/>
    <cellStyle name="Normal 4 2 3 5" xfId="9938"/>
    <cellStyle name="Normal 4 2 3 5 2" xfId="17896"/>
    <cellStyle name="Normal 4 2 3 5 3" xfId="25840"/>
    <cellStyle name="Normal 4 2 3 6" xfId="10834"/>
    <cellStyle name="Normal 4 2 3 7" xfId="18789"/>
    <cellStyle name="Normal 4 2 3_Exh G" xfId="3527"/>
    <cellStyle name="Normal 4 2 4" xfId="1699"/>
    <cellStyle name="Normal 4 2 4 2" xfId="5229"/>
    <cellStyle name="Normal 4 2 4 2 2" xfId="8820"/>
    <cellStyle name="Normal 4 2 4 2 2 2" xfId="16791"/>
    <cellStyle name="Normal 4 2 4 2 2 3" xfId="24737"/>
    <cellStyle name="Normal 4 2 4 2 3" xfId="13253"/>
    <cellStyle name="Normal 4 2 4 2 4" xfId="21208"/>
    <cellStyle name="Normal 4 2 4 3" xfId="7061"/>
    <cellStyle name="Normal 4 2 4 3 2" xfId="15033"/>
    <cellStyle name="Normal 4 2 4 3 3" xfId="22980"/>
    <cellStyle name="Normal 4 2 4 4" xfId="11497"/>
    <cellStyle name="Normal 4 2 4 5" xfId="19452"/>
    <cellStyle name="Normal 4 2 4_Exh G" xfId="3529"/>
    <cellStyle name="Normal 4 2 5" xfId="4350"/>
    <cellStyle name="Normal 4 2 5 2" xfId="7942"/>
    <cellStyle name="Normal 4 2 5 2 2" xfId="15913"/>
    <cellStyle name="Normal 4 2 5 2 3" xfId="23859"/>
    <cellStyle name="Normal 4 2 5 3" xfId="12375"/>
    <cellStyle name="Normal 4 2 5 4" xfId="20330"/>
    <cellStyle name="Normal 4 2 6" xfId="5472"/>
    <cellStyle name="Normal 4 2 7" xfId="5479"/>
    <cellStyle name="Normal 4 2 8" xfId="6170"/>
    <cellStyle name="Normal 4 2 8 2" xfId="14154"/>
    <cellStyle name="Normal 4 2 8 3" xfId="22102"/>
    <cellStyle name="Normal 4 2 9" xfId="5511"/>
    <cellStyle name="Normal 4 2_Exh G" xfId="3524"/>
    <cellStyle name="Normal 4 3" xfId="673"/>
    <cellStyle name="Normal 4 3 2" xfId="1701"/>
    <cellStyle name="Normal 4 3 2 2" xfId="5231"/>
    <cellStyle name="Normal 4 3 2 2 2" xfId="8822"/>
    <cellStyle name="Normal 4 3 2 2 2 2" xfId="16793"/>
    <cellStyle name="Normal 4 3 2 2 2 3" xfId="24739"/>
    <cellStyle name="Normal 4 3 2 2 3" xfId="13255"/>
    <cellStyle name="Normal 4 3 2 2 4" xfId="21210"/>
    <cellStyle name="Normal 4 3 2 3" xfId="7063"/>
    <cellStyle name="Normal 4 3 2 3 2" xfId="15035"/>
    <cellStyle name="Normal 4 3 2 3 3" xfId="22982"/>
    <cellStyle name="Normal 4 3 2 4" xfId="11499"/>
    <cellStyle name="Normal 4 3 2 5" xfId="19454"/>
    <cellStyle name="Normal 4 3 2_Exh G" xfId="3531"/>
    <cellStyle name="Normal 4 3 3" xfId="4352"/>
    <cellStyle name="Normal 4 3 3 2" xfId="7944"/>
    <cellStyle name="Normal 4 3 3 2 2" xfId="15915"/>
    <cellStyle name="Normal 4 3 3 2 3" xfId="23861"/>
    <cellStyle name="Normal 4 3 3 3" xfId="12377"/>
    <cellStyle name="Normal 4 3 3 4" xfId="20332"/>
    <cellStyle name="Normal 4 3 4" xfId="6172"/>
    <cellStyle name="Normal 4 3 4 2" xfId="14156"/>
    <cellStyle name="Normal 4 3 4 3" xfId="22104"/>
    <cellStyle name="Normal 4 3 5" xfId="9725"/>
    <cellStyle name="Normal 4 3 5 2" xfId="17683"/>
    <cellStyle name="Normal 4 3 5 3" xfId="25627"/>
    <cellStyle name="Normal 4 3 6" xfId="10621"/>
    <cellStyle name="Normal 4 3 7" xfId="18576"/>
    <cellStyle name="Normal 4 3_Exh G" xfId="3530"/>
    <cellStyle name="Normal 4 4" xfId="1020"/>
    <cellStyle name="Normal 4 4 2" xfId="1925"/>
    <cellStyle name="Normal 4 4 2 2" xfId="5443"/>
    <cellStyle name="Normal 4 4 2 2 2" xfId="9034"/>
    <cellStyle name="Normal 4 4 2 2 2 2" xfId="17005"/>
    <cellStyle name="Normal 4 4 2 2 2 3" xfId="24951"/>
    <cellStyle name="Normal 4 4 2 2 3" xfId="13467"/>
    <cellStyle name="Normal 4 4 2 2 4" xfId="21422"/>
    <cellStyle name="Normal 4 4 2 3" xfId="7275"/>
    <cellStyle name="Normal 4 4 2 3 2" xfId="15247"/>
    <cellStyle name="Normal 4 4 2 3 3" xfId="23194"/>
    <cellStyle name="Normal 4 4 2 4" xfId="11711"/>
    <cellStyle name="Normal 4 4 2 5" xfId="19666"/>
    <cellStyle name="Normal 4 4 2_Exh G" xfId="3533"/>
    <cellStyle name="Normal 4 4 3" xfId="4564"/>
    <cellStyle name="Normal 4 4 3 2" xfId="8156"/>
    <cellStyle name="Normal 4 4 3 2 2" xfId="16127"/>
    <cellStyle name="Normal 4 4 3 2 3" xfId="24073"/>
    <cellStyle name="Normal 4 4 3 3" xfId="12589"/>
    <cellStyle name="Normal 4 4 3 4" xfId="20544"/>
    <cellStyle name="Normal 4 4 4" xfId="6394"/>
    <cellStyle name="Normal 4 4 4 2" xfId="14369"/>
    <cellStyle name="Normal 4 4 4 3" xfId="22316"/>
    <cellStyle name="Normal 4 4 5" xfId="9937"/>
    <cellStyle name="Normal 4 4 5 2" xfId="17895"/>
    <cellStyle name="Normal 4 4 5 3" xfId="25839"/>
    <cellStyle name="Normal 4 4 6" xfId="10833"/>
    <cellStyle name="Normal 4 4 7" xfId="18788"/>
    <cellStyle name="Normal 4 4_Exh G" xfId="3532"/>
    <cellStyle name="Normal 4 5" xfId="1045"/>
    <cellStyle name="Normal 4 6" xfId="3698"/>
    <cellStyle name="Normal 4 7" xfId="5468"/>
    <cellStyle name="Normal 4 8" xfId="5476"/>
    <cellStyle name="Normal 4 9" xfId="5491"/>
    <cellStyle name="Normal 4_Exh G" xfId="3523"/>
    <cellStyle name="Normal 40" xfId="5494"/>
    <cellStyle name="Normal 40 2" xfId="13492"/>
    <cellStyle name="Normal 41" xfId="5499"/>
    <cellStyle name="Normal 41 2" xfId="13496"/>
    <cellStyle name="Normal 42" xfId="5500"/>
    <cellStyle name="Normal 42 2" xfId="13497"/>
    <cellStyle name="Normal 43" xfId="5504"/>
    <cellStyle name="Normal 43 2" xfId="13501"/>
    <cellStyle name="Normal 44" xfId="6248"/>
    <cellStyle name="Normal 44 2" xfId="14223"/>
    <cellStyle name="Normal 45" xfId="9069"/>
    <cellStyle name="Normal 45 2" xfId="17028"/>
    <cellStyle name="Normal 46" xfId="9070"/>
    <cellStyle name="Normal 46 2" xfId="17029"/>
    <cellStyle name="Normal 47" xfId="9952"/>
    <cellStyle name="Normal 47 2" xfId="17910"/>
    <cellStyle name="Normal 47 3" xfId="25854"/>
    <cellStyle name="Normal 48" xfId="9954"/>
    <cellStyle name="Normal 48 2" xfId="17912"/>
    <cellStyle name="Normal 48 3" xfId="25856"/>
    <cellStyle name="Normal 49" xfId="9956"/>
    <cellStyle name="Normal 5" xfId="8"/>
    <cellStyle name="Normal 5 2" xfId="814"/>
    <cellStyle name="Normal 5 2 10" xfId="9791"/>
    <cellStyle name="Normal 5 2 10 2" xfId="17749"/>
    <cellStyle name="Normal 5 2 10 3" xfId="25693"/>
    <cellStyle name="Normal 5 2 11" xfId="10687"/>
    <cellStyle name="Normal 5 2 12" xfId="18642"/>
    <cellStyle name="Normal 5 2 2" xfId="1023"/>
    <cellStyle name="Normal 5 2 2 2" xfId="1928"/>
    <cellStyle name="Normal 5 2 2 2 2" xfId="5446"/>
    <cellStyle name="Normal 5 2 2 2 2 2" xfId="9037"/>
    <cellStyle name="Normal 5 2 2 2 2 2 2" xfId="17008"/>
    <cellStyle name="Normal 5 2 2 2 2 2 3" xfId="24954"/>
    <cellStyle name="Normal 5 2 2 2 2 3" xfId="13470"/>
    <cellStyle name="Normal 5 2 2 2 2 4" xfId="21425"/>
    <cellStyle name="Normal 5 2 2 2 3" xfId="7278"/>
    <cellStyle name="Normal 5 2 2 2 3 2" xfId="15250"/>
    <cellStyle name="Normal 5 2 2 2 3 3" xfId="23197"/>
    <cellStyle name="Normal 5 2 2 2 4" xfId="11714"/>
    <cellStyle name="Normal 5 2 2 2 5" xfId="19669"/>
    <cellStyle name="Normal 5 2 2 2_Exh G" xfId="3536"/>
    <cellStyle name="Normal 5 2 2 3" xfId="4567"/>
    <cellStyle name="Normal 5 2 2 3 2" xfId="8159"/>
    <cellStyle name="Normal 5 2 2 3 2 2" xfId="16130"/>
    <cellStyle name="Normal 5 2 2 3 2 3" xfId="24076"/>
    <cellStyle name="Normal 5 2 2 3 3" xfId="12592"/>
    <cellStyle name="Normal 5 2 2 3 4" xfId="20547"/>
    <cellStyle name="Normal 5 2 2 4" xfId="6397"/>
    <cellStyle name="Normal 5 2 2 4 2" xfId="14372"/>
    <cellStyle name="Normal 5 2 2 4 3" xfId="22319"/>
    <cellStyle name="Normal 5 2 2 5" xfId="9940"/>
    <cellStyle name="Normal 5 2 2 5 2" xfId="17898"/>
    <cellStyle name="Normal 5 2 2 5 3" xfId="25842"/>
    <cellStyle name="Normal 5 2 2 6" xfId="10836"/>
    <cellStyle name="Normal 5 2 2 7" xfId="18791"/>
    <cellStyle name="Normal 5 2 2_Exh G" xfId="3535"/>
    <cellStyle name="Normal 5 2 3" xfId="1768"/>
    <cellStyle name="Normal 5 2 3 2" xfId="5297"/>
    <cellStyle name="Normal 5 2 3 2 2" xfId="8888"/>
    <cellStyle name="Normal 5 2 3 2 2 2" xfId="16859"/>
    <cellStyle name="Normal 5 2 3 2 2 3" xfId="24805"/>
    <cellStyle name="Normal 5 2 3 2 3" xfId="13321"/>
    <cellStyle name="Normal 5 2 3 2 4" xfId="21276"/>
    <cellStyle name="Normal 5 2 3 3" xfId="7129"/>
    <cellStyle name="Normal 5 2 3 3 2" xfId="15101"/>
    <cellStyle name="Normal 5 2 3 3 3" xfId="23048"/>
    <cellStyle name="Normal 5 2 3 4" xfId="11565"/>
    <cellStyle name="Normal 5 2 3 5" xfId="19520"/>
    <cellStyle name="Normal 5 2 3_Exh G" xfId="3537"/>
    <cellStyle name="Normal 5 2 4" xfId="4418"/>
    <cellStyle name="Normal 5 2 4 2" xfId="8010"/>
    <cellStyle name="Normal 5 2 4 2 2" xfId="15981"/>
    <cellStyle name="Normal 5 2 4 2 3" xfId="23927"/>
    <cellStyle name="Normal 5 2 4 3" xfId="12443"/>
    <cellStyle name="Normal 5 2 4 4" xfId="20398"/>
    <cellStyle name="Normal 5 2 5" xfId="5474"/>
    <cellStyle name="Normal 5 2 5 2" xfId="9058"/>
    <cellStyle name="Normal 5 2 6" xfId="5480"/>
    <cellStyle name="Normal 5 2 6 2" xfId="9060"/>
    <cellStyle name="Normal 5 2 7" xfId="6242"/>
    <cellStyle name="Normal 5 2 7 2" xfId="14222"/>
    <cellStyle name="Normal 5 2 7 3" xfId="22170"/>
    <cellStyle name="Normal 5 2 8" xfId="5512"/>
    <cellStyle name="Normal 5 2 9" xfId="6243"/>
    <cellStyle name="Normal 5 2_Exh G" xfId="3534"/>
    <cellStyle name="Normal 5 3" xfId="1022"/>
    <cellStyle name="Normal 5 3 2" xfId="1927"/>
    <cellStyle name="Normal 5 3 2 2" xfId="5445"/>
    <cellStyle name="Normal 5 3 2 2 2" xfId="9036"/>
    <cellStyle name="Normal 5 3 2 2 2 2" xfId="17007"/>
    <cellStyle name="Normal 5 3 2 2 2 3" xfId="24953"/>
    <cellStyle name="Normal 5 3 2 2 3" xfId="13469"/>
    <cellStyle name="Normal 5 3 2 2 4" xfId="21424"/>
    <cellStyle name="Normal 5 3 2 3" xfId="7277"/>
    <cellStyle name="Normal 5 3 2 3 2" xfId="15249"/>
    <cellStyle name="Normal 5 3 2 3 3" xfId="23196"/>
    <cellStyle name="Normal 5 3 2 4" xfId="11713"/>
    <cellStyle name="Normal 5 3 2 5" xfId="19668"/>
    <cellStyle name="Normal 5 3 2_Exh G" xfId="3539"/>
    <cellStyle name="Normal 5 3 3" xfId="4566"/>
    <cellStyle name="Normal 5 3 3 2" xfId="8158"/>
    <cellStyle name="Normal 5 3 3 2 2" xfId="16129"/>
    <cellStyle name="Normal 5 3 3 2 3" xfId="24075"/>
    <cellStyle name="Normal 5 3 3 3" xfId="12591"/>
    <cellStyle name="Normal 5 3 3 4" xfId="20546"/>
    <cellStyle name="Normal 5 3 4" xfId="6396"/>
    <cellStyle name="Normal 5 3 4 2" xfId="14371"/>
    <cellStyle name="Normal 5 3 4 3" xfId="22318"/>
    <cellStyle name="Normal 5 3 5" xfId="9939"/>
    <cellStyle name="Normal 5 3 5 2" xfId="17897"/>
    <cellStyle name="Normal 5 3 5 3" xfId="25841"/>
    <cellStyle name="Normal 5 3 6" xfId="10835"/>
    <cellStyle name="Normal 5 3 7" xfId="18790"/>
    <cellStyle name="Normal 5 3_Exh G" xfId="3538"/>
    <cellStyle name="Normal 5 4" xfId="5470"/>
    <cellStyle name="Normal 5 5" xfId="5477"/>
    <cellStyle name="Normal 5 6" xfId="5492"/>
    <cellStyle name="Normal 5 7" xfId="5519"/>
    <cellStyle name="Normal 5 8" xfId="5509"/>
    <cellStyle name="Normal 5 9" xfId="9051"/>
    <cellStyle name="Normal 50" xfId="9957"/>
    <cellStyle name="Normal 50 2" xfId="17914"/>
    <cellStyle name="Normal 51" xfId="9958"/>
    <cellStyle name="Normal 51 2" xfId="17915"/>
    <cellStyle name="Normal 52" xfId="9961"/>
    <cellStyle name="Normal 52 2" xfId="17918"/>
    <cellStyle name="Normal 53" xfId="9962"/>
    <cellStyle name="Normal 53 2" xfId="17919"/>
    <cellStyle name="Normal 54" xfId="9963"/>
    <cellStyle name="Normal 54 2" xfId="17920"/>
    <cellStyle name="Normal 55" xfId="9964"/>
    <cellStyle name="Normal 55 2" xfId="17921"/>
    <cellStyle name="Normal 56" xfId="9965"/>
    <cellStyle name="Normal 56 2" xfId="17922"/>
    <cellStyle name="Normal 57" xfId="9966"/>
    <cellStyle name="Normal 57 2" xfId="17923"/>
    <cellStyle name="Normal 57 3" xfId="25860"/>
    <cellStyle name="Normal 58" xfId="9967"/>
    <cellStyle name="Normal 59" xfId="25863"/>
    <cellStyle name="Normal 6" xfId="10"/>
    <cellStyle name="Normal 6 2" xfId="674"/>
    <cellStyle name="Normal 6 2 2" xfId="675"/>
    <cellStyle name="Normal 6 2 2 2" xfId="1703"/>
    <cellStyle name="Normal 6 2 2 2 2" xfId="5233"/>
    <cellStyle name="Normal 6 2 2 2 2 2" xfId="8824"/>
    <cellStyle name="Normal 6 2 2 2 2 2 2" xfId="16795"/>
    <cellStyle name="Normal 6 2 2 2 2 2 3" xfId="24741"/>
    <cellStyle name="Normal 6 2 2 2 2 3" xfId="13257"/>
    <cellStyle name="Normal 6 2 2 2 2 4" xfId="21212"/>
    <cellStyle name="Normal 6 2 2 2 3" xfId="7065"/>
    <cellStyle name="Normal 6 2 2 2 3 2" xfId="15037"/>
    <cellStyle name="Normal 6 2 2 2 3 3" xfId="22984"/>
    <cellStyle name="Normal 6 2 2 2 4" xfId="11501"/>
    <cellStyle name="Normal 6 2 2 2 5" xfId="19456"/>
    <cellStyle name="Normal 6 2 2 2_Exh G" xfId="3542"/>
    <cellStyle name="Normal 6 2 2 3" xfId="4354"/>
    <cellStyle name="Normal 6 2 2 3 2" xfId="7946"/>
    <cellStyle name="Normal 6 2 2 3 2 2" xfId="15917"/>
    <cellStyle name="Normal 6 2 2 3 2 3" xfId="23863"/>
    <cellStyle name="Normal 6 2 2 3 3" xfId="12379"/>
    <cellStyle name="Normal 6 2 2 3 4" xfId="20334"/>
    <cellStyle name="Normal 6 2 2 4" xfId="6174"/>
    <cellStyle name="Normal 6 2 2 4 2" xfId="14158"/>
    <cellStyle name="Normal 6 2 2 4 3" xfId="22106"/>
    <cellStyle name="Normal 6 2 2 5" xfId="9727"/>
    <cellStyle name="Normal 6 2 2 5 2" xfId="17685"/>
    <cellStyle name="Normal 6 2 2 5 3" xfId="25629"/>
    <cellStyle name="Normal 6 2 2 6" xfId="10623"/>
    <cellStyle name="Normal 6 2 2 7" xfId="18578"/>
    <cellStyle name="Normal 6 2 2_Exh G" xfId="3541"/>
    <cellStyle name="Normal 6 2 3" xfId="1702"/>
    <cellStyle name="Normal 6 2 3 2" xfId="5232"/>
    <cellStyle name="Normal 6 2 3 2 2" xfId="8823"/>
    <cellStyle name="Normal 6 2 3 2 2 2" xfId="16794"/>
    <cellStyle name="Normal 6 2 3 2 2 3" xfId="24740"/>
    <cellStyle name="Normal 6 2 3 2 3" xfId="13256"/>
    <cellStyle name="Normal 6 2 3 2 4" xfId="21211"/>
    <cellStyle name="Normal 6 2 3 3" xfId="7064"/>
    <cellStyle name="Normal 6 2 3 3 2" xfId="15036"/>
    <cellStyle name="Normal 6 2 3 3 3" xfId="22983"/>
    <cellStyle name="Normal 6 2 3 4" xfId="11500"/>
    <cellStyle name="Normal 6 2 3 5" xfId="19455"/>
    <cellStyle name="Normal 6 2 3_Exh G" xfId="3543"/>
    <cellStyle name="Normal 6 2 4" xfId="4353"/>
    <cellStyle name="Normal 6 2 4 2" xfId="7945"/>
    <cellStyle name="Normal 6 2 4 2 2" xfId="15916"/>
    <cellStyle name="Normal 6 2 4 2 3" xfId="23862"/>
    <cellStyle name="Normal 6 2 4 3" xfId="12378"/>
    <cellStyle name="Normal 6 2 4 4" xfId="20333"/>
    <cellStyle name="Normal 6 2 5" xfId="6173"/>
    <cellStyle name="Normal 6 2 5 2" xfId="14157"/>
    <cellStyle name="Normal 6 2 5 3" xfId="22105"/>
    <cellStyle name="Normal 6 2 6" xfId="9726"/>
    <cellStyle name="Normal 6 2 6 2" xfId="17684"/>
    <cellStyle name="Normal 6 2 6 3" xfId="25628"/>
    <cellStyle name="Normal 6 2 7" xfId="10622"/>
    <cellStyle name="Normal 6 2 8" xfId="18577"/>
    <cellStyle name="Normal 6 2_Exh G" xfId="3540"/>
    <cellStyle name="Normal 6 3" xfId="676"/>
    <cellStyle name="Normal 6 3 2" xfId="1704"/>
    <cellStyle name="Normal 6 3 2 2" xfId="5234"/>
    <cellStyle name="Normal 6 3 2 2 2" xfId="8825"/>
    <cellStyle name="Normal 6 3 2 2 2 2" xfId="16796"/>
    <cellStyle name="Normal 6 3 2 2 2 3" xfId="24742"/>
    <cellStyle name="Normal 6 3 2 2 3" xfId="13258"/>
    <cellStyle name="Normal 6 3 2 2 4" xfId="21213"/>
    <cellStyle name="Normal 6 3 2 3" xfId="7066"/>
    <cellStyle name="Normal 6 3 2 3 2" xfId="15038"/>
    <cellStyle name="Normal 6 3 2 3 3" xfId="22985"/>
    <cellStyle name="Normal 6 3 2 4" xfId="11502"/>
    <cellStyle name="Normal 6 3 2 5" xfId="19457"/>
    <cellStyle name="Normal 6 3 2_Exh G" xfId="3545"/>
    <cellStyle name="Normal 6 3 3" xfId="4355"/>
    <cellStyle name="Normal 6 3 3 2" xfId="7947"/>
    <cellStyle name="Normal 6 3 3 2 2" xfId="15918"/>
    <cellStyle name="Normal 6 3 3 2 3" xfId="23864"/>
    <cellStyle name="Normal 6 3 3 3" xfId="12380"/>
    <cellStyle name="Normal 6 3 3 4" xfId="20335"/>
    <cellStyle name="Normal 6 3 4" xfId="6175"/>
    <cellStyle name="Normal 6 3 4 2" xfId="14159"/>
    <cellStyle name="Normal 6 3 4 3" xfId="22107"/>
    <cellStyle name="Normal 6 3 5" xfId="9728"/>
    <cellStyle name="Normal 6 3 5 2" xfId="17686"/>
    <cellStyle name="Normal 6 3 5 3" xfId="25630"/>
    <cellStyle name="Normal 6 3 6" xfId="10624"/>
    <cellStyle name="Normal 6 3 7" xfId="18579"/>
    <cellStyle name="Normal 6 3_Exh G" xfId="3544"/>
    <cellStyle name="Normal 6 4" xfId="1024"/>
    <cellStyle name="Normal 7" xfId="17"/>
    <cellStyle name="Normal 7 2" xfId="677"/>
    <cellStyle name="Normal 7 2 2" xfId="678"/>
    <cellStyle name="Normal 7 2 2 2" xfId="1706"/>
    <cellStyle name="Normal 7 2 2 2 2" xfId="5236"/>
    <cellStyle name="Normal 7 2 2 2 2 2" xfId="8827"/>
    <cellStyle name="Normal 7 2 2 2 2 2 2" xfId="16798"/>
    <cellStyle name="Normal 7 2 2 2 2 2 3" xfId="24744"/>
    <cellStyle name="Normal 7 2 2 2 2 3" xfId="13260"/>
    <cellStyle name="Normal 7 2 2 2 2 4" xfId="21215"/>
    <cellStyle name="Normal 7 2 2 2 3" xfId="7068"/>
    <cellStyle name="Normal 7 2 2 2 3 2" xfId="15040"/>
    <cellStyle name="Normal 7 2 2 2 3 3" xfId="22987"/>
    <cellStyle name="Normal 7 2 2 2 4" xfId="11504"/>
    <cellStyle name="Normal 7 2 2 2 5" xfId="19459"/>
    <cellStyle name="Normal 7 2 2 2_Exh G" xfId="3548"/>
    <cellStyle name="Normal 7 2 2 3" xfId="4357"/>
    <cellStyle name="Normal 7 2 2 3 2" xfId="7949"/>
    <cellStyle name="Normal 7 2 2 3 2 2" xfId="15920"/>
    <cellStyle name="Normal 7 2 2 3 2 3" xfId="23866"/>
    <cellStyle name="Normal 7 2 2 3 3" xfId="12382"/>
    <cellStyle name="Normal 7 2 2 3 4" xfId="20337"/>
    <cellStyle name="Normal 7 2 2 4" xfId="6177"/>
    <cellStyle name="Normal 7 2 2 4 2" xfId="14161"/>
    <cellStyle name="Normal 7 2 2 4 3" xfId="22109"/>
    <cellStyle name="Normal 7 2 2 5" xfId="9730"/>
    <cellStyle name="Normal 7 2 2 5 2" xfId="17688"/>
    <cellStyle name="Normal 7 2 2 5 3" xfId="25632"/>
    <cellStyle name="Normal 7 2 2 6" xfId="10626"/>
    <cellStyle name="Normal 7 2 2 7" xfId="18581"/>
    <cellStyle name="Normal 7 2 2_Exh G" xfId="3547"/>
    <cellStyle name="Normal 7 2 3" xfId="1705"/>
    <cellStyle name="Normal 7 2 3 2" xfId="5235"/>
    <cellStyle name="Normal 7 2 3 2 2" xfId="8826"/>
    <cellStyle name="Normal 7 2 3 2 2 2" xfId="16797"/>
    <cellStyle name="Normal 7 2 3 2 2 3" xfId="24743"/>
    <cellStyle name="Normal 7 2 3 2 3" xfId="13259"/>
    <cellStyle name="Normal 7 2 3 2 4" xfId="21214"/>
    <cellStyle name="Normal 7 2 3 3" xfId="7067"/>
    <cellStyle name="Normal 7 2 3 3 2" xfId="15039"/>
    <cellStyle name="Normal 7 2 3 3 3" xfId="22986"/>
    <cellStyle name="Normal 7 2 3 4" xfId="11503"/>
    <cellStyle name="Normal 7 2 3 5" xfId="19458"/>
    <cellStyle name="Normal 7 2 3_Exh G" xfId="3549"/>
    <cellStyle name="Normal 7 2 4" xfId="4356"/>
    <cellStyle name="Normal 7 2 4 2" xfId="7948"/>
    <cellStyle name="Normal 7 2 4 2 2" xfId="15919"/>
    <cellStyle name="Normal 7 2 4 2 3" xfId="23865"/>
    <cellStyle name="Normal 7 2 4 3" xfId="12381"/>
    <cellStyle name="Normal 7 2 4 4" xfId="20336"/>
    <cellStyle name="Normal 7 2 5" xfId="6176"/>
    <cellStyle name="Normal 7 2 5 2" xfId="14160"/>
    <cellStyle name="Normal 7 2 5 3" xfId="22108"/>
    <cellStyle name="Normal 7 2 6" xfId="9729"/>
    <cellStyle name="Normal 7 2 6 2" xfId="17687"/>
    <cellStyle name="Normal 7 2 6 3" xfId="25631"/>
    <cellStyle name="Normal 7 2 7" xfId="10625"/>
    <cellStyle name="Normal 7 2 8" xfId="18580"/>
    <cellStyle name="Normal 7 2_Exh G" xfId="3546"/>
    <cellStyle name="Normal 7 3" xfId="679"/>
    <cellStyle name="Normal 7 3 2" xfId="1707"/>
    <cellStyle name="Normal 7 3 2 2" xfId="5237"/>
    <cellStyle name="Normal 7 3 2 2 2" xfId="8828"/>
    <cellStyle name="Normal 7 3 2 2 2 2" xfId="16799"/>
    <cellStyle name="Normal 7 3 2 2 2 3" xfId="24745"/>
    <cellStyle name="Normal 7 3 2 2 3" xfId="13261"/>
    <cellStyle name="Normal 7 3 2 2 4" xfId="21216"/>
    <cellStyle name="Normal 7 3 2 3" xfId="7069"/>
    <cellStyle name="Normal 7 3 2 3 2" xfId="15041"/>
    <cellStyle name="Normal 7 3 2 3 3" xfId="22988"/>
    <cellStyle name="Normal 7 3 2 4" xfId="11505"/>
    <cellStyle name="Normal 7 3 2 5" xfId="19460"/>
    <cellStyle name="Normal 7 3 2_Exh G" xfId="3551"/>
    <cellStyle name="Normal 7 3 3" xfId="4358"/>
    <cellStyle name="Normal 7 3 3 2" xfId="7950"/>
    <cellStyle name="Normal 7 3 3 2 2" xfId="15921"/>
    <cellStyle name="Normal 7 3 3 2 3" xfId="23867"/>
    <cellStyle name="Normal 7 3 3 3" xfId="12383"/>
    <cellStyle name="Normal 7 3 3 4" xfId="20338"/>
    <cellStyle name="Normal 7 3 4" xfId="6178"/>
    <cellStyle name="Normal 7 3 4 2" xfId="14162"/>
    <cellStyle name="Normal 7 3 4 3" xfId="22110"/>
    <cellStyle name="Normal 7 3 5" xfId="9731"/>
    <cellStyle name="Normal 7 3 5 2" xfId="17689"/>
    <cellStyle name="Normal 7 3 5 3" xfId="25633"/>
    <cellStyle name="Normal 7 3 6" xfId="10627"/>
    <cellStyle name="Normal 7 3 7" xfId="18582"/>
    <cellStyle name="Normal 7 3_Exh G" xfId="3550"/>
    <cellStyle name="Normal 7 4" xfId="1025"/>
    <cellStyle name="Normal 8" xfId="20"/>
    <cellStyle name="Normal 8 10" xfId="17925"/>
    <cellStyle name="Normal 8 2" xfId="680"/>
    <cellStyle name="Normal 8 2 2" xfId="681"/>
    <cellStyle name="Normal 8 2 2 2" xfId="1709"/>
    <cellStyle name="Normal 8 2 2 2 2" xfId="5239"/>
    <cellStyle name="Normal 8 2 2 2 2 2" xfId="8830"/>
    <cellStyle name="Normal 8 2 2 2 2 2 2" xfId="16801"/>
    <cellStyle name="Normal 8 2 2 2 2 2 3" xfId="24747"/>
    <cellStyle name="Normal 8 2 2 2 2 3" xfId="13263"/>
    <cellStyle name="Normal 8 2 2 2 2 4" xfId="21218"/>
    <cellStyle name="Normal 8 2 2 2 3" xfId="7071"/>
    <cellStyle name="Normal 8 2 2 2 3 2" xfId="15043"/>
    <cellStyle name="Normal 8 2 2 2 3 3" xfId="22990"/>
    <cellStyle name="Normal 8 2 2 2 4" xfId="11507"/>
    <cellStyle name="Normal 8 2 2 2 5" xfId="19462"/>
    <cellStyle name="Normal 8 2 2 2_Exh G" xfId="3555"/>
    <cellStyle name="Normal 8 2 2 3" xfId="4360"/>
    <cellStyle name="Normal 8 2 2 3 2" xfId="7952"/>
    <cellStyle name="Normal 8 2 2 3 2 2" xfId="15923"/>
    <cellStyle name="Normal 8 2 2 3 2 3" xfId="23869"/>
    <cellStyle name="Normal 8 2 2 3 3" xfId="12385"/>
    <cellStyle name="Normal 8 2 2 3 4" xfId="20340"/>
    <cellStyle name="Normal 8 2 2 4" xfId="6180"/>
    <cellStyle name="Normal 8 2 2 4 2" xfId="14164"/>
    <cellStyle name="Normal 8 2 2 4 3" xfId="22112"/>
    <cellStyle name="Normal 8 2 2 5" xfId="9733"/>
    <cellStyle name="Normal 8 2 2 5 2" xfId="17691"/>
    <cellStyle name="Normal 8 2 2 5 3" xfId="25635"/>
    <cellStyle name="Normal 8 2 2 6" xfId="10629"/>
    <cellStyle name="Normal 8 2 2 7" xfId="18584"/>
    <cellStyle name="Normal 8 2 2_Exh G" xfId="3554"/>
    <cellStyle name="Normal 8 2 3" xfId="1708"/>
    <cellStyle name="Normal 8 2 3 2" xfId="5238"/>
    <cellStyle name="Normal 8 2 3 2 2" xfId="8829"/>
    <cellStyle name="Normal 8 2 3 2 2 2" xfId="16800"/>
    <cellStyle name="Normal 8 2 3 2 2 3" xfId="24746"/>
    <cellStyle name="Normal 8 2 3 2 3" xfId="13262"/>
    <cellStyle name="Normal 8 2 3 2 4" xfId="21217"/>
    <cellStyle name="Normal 8 2 3 3" xfId="7070"/>
    <cellStyle name="Normal 8 2 3 3 2" xfId="15042"/>
    <cellStyle name="Normal 8 2 3 3 3" xfId="22989"/>
    <cellStyle name="Normal 8 2 3 4" xfId="11506"/>
    <cellStyle name="Normal 8 2 3 5" xfId="19461"/>
    <cellStyle name="Normal 8 2 3_Exh G" xfId="3556"/>
    <cellStyle name="Normal 8 2 4" xfId="4359"/>
    <cellStyle name="Normal 8 2 4 2" xfId="7951"/>
    <cellStyle name="Normal 8 2 4 2 2" xfId="15922"/>
    <cellStyle name="Normal 8 2 4 2 3" xfId="23868"/>
    <cellStyle name="Normal 8 2 4 3" xfId="12384"/>
    <cellStyle name="Normal 8 2 4 4" xfId="20339"/>
    <cellStyle name="Normal 8 2 5" xfId="6179"/>
    <cellStyle name="Normal 8 2 5 2" xfId="14163"/>
    <cellStyle name="Normal 8 2 5 3" xfId="22111"/>
    <cellStyle name="Normal 8 2 6" xfId="9732"/>
    <cellStyle name="Normal 8 2 6 2" xfId="17690"/>
    <cellStyle name="Normal 8 2 6 3" xfId="25634"/>
    <cellStyle name="Normal 8 2 7" xfId="10628"/>
    <cellStyle name="Normal 8 2 8" xfId="18583"/>
    <cellStyle name="Normal 8 2_Exh G" xfId="3553"/>
    <cellStyle name="Normal 8 3" xfId="682"/>
    <cellStyle name="Normal 8 3 2" xfId="1710"/>
    <cellStyle name="Normal 8 3 2 2" xfId="5240"/>
    <cellStyle name="Normal 8 3 2 2 2" xfId="8831"/>
    <cellStyle name="Normal 8 3 2 2 2 2" xfId="16802"/>
    <cellStyle name="Normal 8 3 2 2 2 3" xfId="24748"/>
    <cellStyle name="Normal 8 3 2 2 3" xfId="13264"/>
    <cellStyle name="Normal 8 3 2 2 4" xfId="21219"/>
    <cellStyle name="Normal 8 3 2 3" xfId="7072"/>
    <cellStyle name="Normal 8 3 2 3 2" xfId="15044"/>
    <cellStyle name="Normal 8 3 2 3 3" xfId="22991"/>
    <cellStyle name="Normal 8 3 2 4" xfId="11508"/>
    <cellStyle name="Normal 8 3 2 5" xfId="19463"/>
    <cellStyle name="Normal 8 3 2_Exh G" xfId="3558"/>
    <cellStyle name="Normal 8 3 3" xfId="4361"/>
    <cellStyle name="Normal 8 3 3 2" xfId="7953"/>
    <cellStyle name="Normal 8 3 3 2 2" xfId="15924"/>
    <cellStyle name="Normal 8 3 3 2 3" xfId="23870"/>
    <cellStyle name="Normal 8 3 3 3" xfId="12386"/>
    <cellStyle name="Normal 8 3 3 4" xfId="20341"/>
    <cellStyle name="Normal 8 3 4" xfId="6181"/>
    <cellStyle name="Normal 8 3 4 2" xfId="14165"/>
    <cellStyle name="Normal 8 3 4 3" xfId="22113"/>
    <cellStyle name="Normal 8 3 5" xfId="9734"/>
    <cellStyle name="Normal 8 3 5 2" xfId="17692"/>
    <cellStyle name="Normal 8 3 5 3" xfId="25636"/>
    <cellStyle name="Normal 8 3 6" xfId="10630"/>
    <cellStyle name="Normal 8 3 7" xfId="18585"/>
    <cellStyle name="Normal 8 3_Exh G" xfId="3557"/>
    <cellStyle name="Normal 8 4" xfId="1026"/>
    <cellStyle name="Normal 8 5" xfId="1050"/>
    <cellStyle name="Normal 8 5 2" xfId="4580"/>
    <cellStyle name="Normal 8 5 2 2" xfId="8171"/>
    <cellStyle name="Normal 8 5 2 2 2" xfId="16142"/>
    <cellStyle name="Normal 8 5 2 2 3" xfId="24088"/>
    <cellStyle name="Normal 8 5 2 3" xfId="12604"/>
    <cellStyle name="Normal 8 5 2 4" xfId="20559"/>
    <cellStyle name="Normal 8 5 3" xfId="6412"/>
    <cellStyle name="Normal 8 5 3 2" xfId="14384"/>
    <cellStyle name="Normal 8 5 3 3" xfId="22331"/>
    <cellStyle name="Normal 8 5 4" xfId="10848"/>
    <cellStyle name="Normal 8 5 5" xfId="18803"/>
    <cellStyle name="Normal 8 5_Exh G" xfId="3559"/>
    <cellStyle name="Normal 8 6" xfId="3701"/>
    <cellStyle name="Normal 8 6 2" xfId="7293"/>
    <cellStyle name="Normal 8 6 2 2" xfId="15264"/>
    <cellStyle name="Normal 8 6 2 3" xfId="23210"/>
    <cellStyle name="Normal 8 6 3" xfId="11726"/>
    <cellStyle name="Normal 8 6 4" xfId="19681"/>
    <cellStyle name="Normal 8 7" xfId="5521"/>
    <cellStyle name="Normal 8 7 2" xfId="13505"/>
    <cellStyle name="Normal 8 7 3" xfId="21453"/>
    <cellStyle name="Normal 8 8" xfId="9074"/>
    <cellStyle name="Normal 8 8 2" xfId="17032"/>
    <cellStyle name="Normal 8 8 3" xfId="24976"/>
    <cellStyle name="Normal 8 9" xfId="9970"/>
    <cellStyle name="Normal 8_Exh G" xfId="3552"/>
    <cellStyle name="Normal 9" xfId="23"/>
    <cellStyle name="Normal 9 2" xfId="683"/>
    <cellStyle name="Normal 9 2 2" xfId="684"/>
    <cellStyle name="Normal 9 2 2 2" xfId="1712"/>
    <cellStyle name="Normal 9 2 2 2 2" xfId="5242"/>
    <cellStyle name="Normal 9 2 2 2 2 2" xfId="8833"/>
    <cellStyle name="Normal 9 2 2 2 2 2 2" xfId="16804"/>
    <cellStyle name="Normal 9 2 2 2 2 2 3" xfId="24750"/>
    <cellStyle name="Normal 9 2 2 2 2 3" xfId="13266"/>
    <cellStyle name="Normal 9 2 2 2 2 4" xfId="21221"/>
    <cellStyle name="Normal 9 2 2 2 3" xfId="7074"/>
    <cellStyle name="Normal 9 2 2 2 3 2" xfId="15046"/>
    <cellStyle name="Normal 9 2 2 2 3 3" xfId="22993"/>
    <cellStyle name="Normal 9 2 2 2 4" xfId="11510"/>
    <cellStyle name="Normal 9 2 2 2 5" xfId="19465"/>
    <cellStyle name="Normal 9 2 2 2_Exh G" xfId="3563"/>
    <cellStyle name="Normal 9 2 2 3" xfId="4363"/>
    <cellStyle name="Normal 9 2 2 3 2" xfId="7955"/>
    <cellStyle name="Normal 9 2 2 3 2 2" xfId="15926"/>
    <cellStyle name="Normal 9 2 2 3 2 3" xfId="23872"/>
    <cellStyle name="Normal 9 2 2 3 3" xfId="12388"/>
    <cellStyle name="Normal 9 2 2 3 4" xfId="20343"/>
    <cellStyle name="Normal 9 2 2 4" xfId="6183"/>
    <cellStyle name="Normal 9 2 2 4 2" xfId="14167"/>
    <cellStyle name="Normal 9 2 2 4 3" xfId="22115"/>
    <cellStyle name="Normal 9 2 2 5" xfId="9736"/>
    <cellStyle name="Normal 9 2 2 5 2" xfId="17694"/>
    <cellStyle name="Normal 9 2 2 5 3" xfId="25638"/>
    <cellStyle name="Normal 9 2 2 6" xfId="10632"/>
    <cellStyle name="Normal 9 2 2 7" xfId="18587"/>
    <cellStyle name="Normal 9 2 2_Exh G" xfId="3562"/>
    <cellStyle name="Normal 9 2 3" xfId="1711"/>
    <cellStyle name="Normal 9 2 3 2" xfId="5241"/>
    <cellStyle name="Normal 9 2 3 2 2" xfId="8832"/>
    <cellStyle name="Normal 9 2 3 2 2 2" xfId="16803"/>
    <cellStyle name="Normal 9 2 3 2 2 3" xfId="24749"/>
    <cellStyle name="Normal 9 2 3 2 3" xfId="13265"/>
    <cellStyle name="Normal 9 2 3 2 4" xfId="21220"/>
    <cellStyle name="Normal 9 2 3 3" xfId="7073"/>
    <cellStyle name="Normal 9 2 3 3 2" xfId="15045"/>
    <cellStyle name="Normal 9 2 3 3 3" xfId="22992"/>
    <cellStyle name="Normal 9 2 3 4" xfId="11509"/>
    <cellStyle name="Normal 9 2 3 5" xfId="19464"/>
    <cellStyle name="Normal 9 2 3_Exh G" xfId="3564"/>
    <cellStyle name="Normal 9 2 4" xfId="4362"/>
    <cellStyle name="Normal 9 2 4 2" xfId="7954"/>
    <cellStyle name="Normal 9 2 4 2 2" xfId="15925"/>
    <cellStyle name="Normal 9 2 4 2 3" xfId="23871"/>
    <cellStyle name="Normal 9 2 4 3" xfId="12387"/>
    <cellStyle name="Normal 9 2 4 4" xfId="20342"/>
    <cellStyle name="Normal 9 2 5" xfId="6182"/>
    <cellStyle name="Normal 9 2 5 2" xfId="14166"/>
    <cellStyle name="Normal 9 2 5 3" xfId="22114"/>
    <cellStyle name="Normal 9 2 6" xfId="9735"/>
    <cellStyle name="Normal 9 2 6 2" xfId="17693"/>
    <cellStyle name="Normal 9 2 6 3" xfId="25637"/>
    <cellStyle name="Normal 9 2 7" xfId="10631"/>
    <cellStyle name="Normal 9 2 8" xfId="18586"/>
    <cellStyle name="Normal 9 2_Exh G" xfId="3561"/>
    <cellStyle name="Normal 9 3" xfId="685"/>
    <cellStyle name="Normal 9 3 2" xfId="1713"/>
    <cellStyle name="Normal 9 3 2 2" xfId="5243"/>
    <cellStyle name="Normal 9 3 2 2 2" xfId="8834"/>
    <cellStyle name="Normal 9 3 2 2 2 2" xfId="16805"/>
    <cellStyle name="Normal 9 3 2 2 2 3" xfId="24751"/>
    <cellStyle name="Normal 9 3 2 2 3" xfId="13267"/>
    <cellStyle name="Normal 9 3 2 2 4" xfId="21222"/>
    <cellStyle name="Normal 9 3 2 3" xfId="7075"/>
    <cellStyle name="Normal 9 3 2 3 2" xfId="15047"/>
    <cellStyle name="Normal 9 3 2 3 3" xfId="22994"/>
    <cellStyle name="Normal 9 3 2 4" xfId="11511"/>
    <cellStyle name="Normal 9 3 2 5" xfId="19466"/>
    <cellStyle name="Normal 9 3 2_Exh G" xfId="3566"/>
    <cellStyle name="Normal 9 3 3" xfId="4364"/>
    <cellStyle name="Normal 9 3 3 2" xfId="7956"/>
    <cellStyle name="Normal 9 3 3 2 2" xfId="15927"/>
    <cellStyle name="Normal 9 3 3 2 3" xfId="23873"/>
    <cellStyle name="Normal 9 3 3 3" xfId="12389"/>
    <cellStyle name="Normal 9 3 3 4" xfId="20344"/>
    <cellStyle name="Normal 9 3 4" xfId="6184"/>
    <cellStyle name="Normal 9 3 4 2" xfId="14168"/>
    <cellStyle name="Normal 9 3 4 3" xfId="22116"/>
    <cellStyle name="Normal 9 3 5" xfId="9737"/>
    <cellStyle name="Normal 9 3 5 2" xfId="17695"/>
    <cellStyle name="Normal 9 3 5 3" xfId="25639"/>
    <cellStyle name="Normal 9 3 6" xfId="10633"/>
    <cellStyle name="Normal 9 3 7" xfId="18588"/>
    <cellStyle name="Normal 9 3_Exh G" xfId="3565"/>
    <cellStyle name="Normal 9 4" xfId="1027"/>
    <cellStyle name="Normal 9 4 2" xfId="1929"/>
    <cellStyle name="Normal 9 4 2 2" xfId="5447"/>
    <cellStyle name="Normal 9 4 2 2 2" xfId="9038"/>
    <cellStyle name="Normal 9 4 2 2 2 2" xfId="17009"/>
    <cellStyle name="Normal 9 4 2 2 2 3" xfId="24955"/>
    <cellStyle name="Normal 9 4 2 2 3" xfId="13471"/>
    <cellStyle name="Normal 9 4 2 2 4" xfId="21426"/>
    <cellStyle name="Normal 9 4 2 3" xfId="7279"/>
    <cellStyle name="Normal 9 4 2 3 2" xfId="15251"/>
    <cellStyle name="Normal 9 4 2 3 3" xfId="23198"/>
    <cellStyle name="Normal 9 4 2 4" xfId="11715"/>
    <cellStyle name="Normal 9 4 2 5" xfId="19670"/>
    <cellStyle name="Normal 9 4 2_Exh G" xfId="3568"/>
    <cellStyle name="Normal 9 4 3" xfId="4568"/>
    <cellStyle name="Normal 9 4 3 2" xfId="8160"/>
    <cellStyle name="Normal 9 4 3 2 2" xfId="16131"/>
    <cellStyle name="Normal 9 4 3 2 3" xfId="24077"/>
    <cellStyle name="Normal 9 4 3 3" xfId="12593"/>
    <cellStyle name="Normal 9 4 3 4" xfId="20548"/>
    <cellStyle name="Normal 9 4 4" xfId="6398"/>
    <cellStyle name="Normal 9 4 4 2" xfId="14373"/>
    <cellStyle name="Normal 9 4 4 3" xfId="22320"/>
    <cellStyle name="Normal 9 4 5" xfId="9941"/>
    <cellStyle name="Normal 9 4 5 2" xfId="17899"/>
    <cellStyle name="Normal 9 4 5 3" xfId="25843"/>
    <cellStyle name="Normal 9 4 6" xfId="10837"/>
    <cellStyle name="Normal 9 4 7" xfId="18792"/>
    <cellStyle name="Normal 9 4_Exh G" xfId="3567"/>
    <cellStyle name="Normal 9_Exh G" xfId="3560"/>
    <cellStyle name="Normal_Appendix G 11 FEBRUARY 10 temploan no 303 ver2 2" xfId="1028"/>
    <cellStyle name="Normal_ExhibitF_05-06" xfId="19"/>
    <cellStyle name="Normal_ExhibitF_05-06 2" xfId="25861"/>
    <cellStyle name="Normal_Summary Analysis" xfId="25876"/>
    <cellStyle name="Note 10" xfId="686"/>
    <cellStyle name="Note 10 10" xfId="18589"/>
    <cellStyle name="Note 10 2" xfId="687"/>
    <cellStyle name="Note 10 2 2" xfId="688"/>
    <cellStyle name="Note 10 2 2 2" xfId="1716"/>
    <cellStyle name="Note 10 2 2 2 2" xfId="5246"/>
    <cellStyle name="Note 10 2 2 2 2 2" xfId="8837"/>
    <cellStyle name="Note 10 2 2 2 2 2 2" xfId="16808"/>
    <cellStyle name="Note 10 2 2 2 2 2 3" xfId="24754"/>
    <cellStyle name="Note 10 2 2 2 2 3" xfId="13270"/>
    <cellStyle name="Note 10 2 2 2 2 4" xfId="21225"/>
    <cellStyle name="Note 10 2 2 2 3" xfId="7078"/>
    <cellStyle name="Note 10 2 2 2 3 2" xfId="15050"/>
    <cellStyle name="Note 10 2 2 2 3 3" xfId="22997"/>
    <cellStyle name="Note 10 2 2 2 4" xfId="11514"/>
    <cellStyle name="Note 10 2 2 2 5" xfId="19469"/>
    <cellStyle name="Note 10 2 2 2_Exh G" xfId="3572"/>
    <cellStyle name="Note 10 2 2 3" xfId="4367"/>
    <cellStyle name="Note 10 2 2 3 2" xfId="7959"/>
    <cellStyle name="Note 10 2 2 3 2 2" xfId="15930"/>
    <cellStyle name="Note 10 2 2 3 2 3" xfId="23876"/>
    <cellStyle name="Note 10 2 2 3 3" xfId="12392"/>
    <cellStyle name="Note 10 2 2 3 4" xfId="20347"/>
    <cellStyle name="Note 10 2 2 4" xfId="6187"/>
    <cellStyle name="Note 10 2 2 4 2" xfId="14171"/>
    <cellStyle name="Note 10 2 2 4 3" xfId="22119"/>
    <cellStyle name="Note 10 2 2 5" xfId="9740"/>
    <cellStyle name="Note 10 2 2 5 2" xfId="17698"/>
    <cellStyle name="Note 10 2 2 5 3" xfId="25642"/>
    <cellStyle name="Note 10 2 2 6" xfId="10636"/>
    <cellStyle name="Note 10 2 2 7" xfId="18591"/>
    <cellStyle name="Note 10 2 2_Exh G" xfId="3571"/>
    <cellStyle name="Note 10 2 3" xfId="1715"/>
    <cellStyle name="Note 10 2 3 2" xfId="5245"/>
    <cellStyle name="Note 10 2 3 2 2" xfId="8836"/>
    <cellStyle name="Note 10 2 3 2 2 2" xfId="16807"/>
    <cellStyle name="Note 10 2 3 2 2 3" xfId="24753"/>
    <cellStyle name="Note 10 2 3 2 3" xfId="13269"/>
    <cellStyle name="Note 10 2 3 2 4" xfId="21224"/>
    <cellStyle name="Note 10 2 3 3" xfId="7077"/>
    <cellStyle name="Note 10 2 3 3 2" xfId="15049"/>
    <cellStyle name="Note 10 2 3 3 3" xfId="22996"/>
    <cellStyle name="Note 10 2 3 4" xfId="11513"/>
    <cellStyle name="Note 10 2 3 5" xfId="19468"/>
    <cellStyle name="Note 10 2 3_Exh G" xfId="3573"/>
    <cellStyle name="Note 10 2 4" xfId="4366"/>
    <cellStyle name="Note 10 2 4 2" xfId="7958"/>
    <cellStyle name="Note 10 2 4 2 2" xfId="15929"/>
    <cellStyle name="Note 10 2 4 2 3" xfId="23875"/>
    <cellStyle name="Note 10 2 4 3" xfId="12391"/>
    <cellStyle name="Note 10 2 4 4" xfId="20346"/>
    <cellStyle name="Note 10 2 5" xfId="6186"/>
    <cellStyle name="Note 10 2 5 2" xfId="14170"/>
    <cellStyle name="Note 10 2 5 3" xfId="22118"/>
    <cellStyle name="Note 10 2 6" xfId="9739"/>
    <cellStyle name="Note 10 2 6 2" xfId="17697"/>
    <cellStyle name="Note 10 2 6 3" xfId="25641"/>
    <cellStyle name="Note 10 2 7" xfId="10635"/>
    <cellStyle name="Note 10 2 8" xfId="18590"/>
    <cellStyle name="Note 10 2_Exh G" xfId="3570"/>
    <cellStyle name="Note 10 3" xfId="689"/>
    <cellStyle name="Note 10 3 2" xfId="1717"/>
    <cellStyle name="Note 10 3 2 2" xfId="5247"/>
    <cellStyle name="Note 10 3 2 2 2" xfId="8838"/>
    <cellStyle name="Note 10 3 2 2 2 2" xfId="16809"/>
    <cellStyle name="Note 10 3 2 2 2 3" xfId="24755"/>
    <cellStyle name="Note 10 3 2 2 3" xfId="13271"/>
    <cellStyle name="Note 10 3 2 2 4" xfId="21226"/>
    <cellStyle name="Note 10 3 2 3" xfId="7079"/>
    <cellStyle name="Note 10 3 2 3 2" xfId="15051"/>
    <cellStyle name="Note 10 3 2 3 3" xfId="22998"/>
    <cellStyle name="Note 10 3 2 4" xfId="11515"/>
    <cellStyle name="Note 10 3 2 5" xfId="19470"/>
    <cellStyle name="Note 10 3 2_Exh G" xfId="3575"/>
    <cellStyle name="Note 10 3 3" xfId="4368"/>
    <cellStyle name="Note 10 3 3 2" xfId="7960"/>
    <cellStyle name="Note 10 3 3 2 2" xfId="15931"/>
    <cellStyle name="Note 10 3 3 2 3" xfId="23877"/>
    <cellStyle name="Note 10 3 3 3" xfId="12393"/>
    <cellStyle name="Note 10 3 3 4" xfId="20348"/>
    <cellStyle name="Note 10 3 4" xfId="6188"/>
    <cellStyle name="Note 10 3 4 2" xfId="14172"/>
    <cellStyle name="Note 10 3 4 3" xfId="22120"/>
    <cellStyle name="Note 10 3 5" xfId="9741"/>
    <cellStyle name="Note 10 3 5 2" xfId="17699"/>
    <cellStyle name="Note 10 3 5 3" xfId="25643"/>
    <cellStyle name="Note 10 3 6" xfId="10637"/>
    <cellStyle name="Note 10 3 7" xfId="18592"/>
    <cellStyle name="Note 10 3_Exh G" xfId="3574"/>
    <cellStyle name="Note 10 4" xfId="1029"/>
    <cellStyle name="Note 10 4 2" xfId="6399"/>
    <cellStyle name="Note 10 5" xfId="1714"/>
    <cellStyle name="Note 10 5 2" xfId="5244"/>
    <cellStyle name="Note 10 5 2 2" xfId="8835"/>
    <cellStyle name="Note 10 5 2 2 2" xfId="16806"/>
    <cellStyle name="Note 10 5 2 2 3" xfId="24752"/>
    <cellStyle name="Note 10 5 2 3" xfId="13268"/>
    <cellStyle name="Note 10 5 2 4" xfId="21223"/>
    <cellStyle name="Note 10 5 3" xfId="7076"/>
    <cellStyle name="Note 10 5 3 2" xfId="15048"/>
    <cellStyle name="Note 10 5 3 3" xfId="22995"/>
    <cellStyle name="Note 10 5 4" xfId="11512"/>
    <cellStyle name="Note 10 5 5" xfId="19467"/>
    <cellStyle name="Note 10 5_Exh G" xfId="3576"/>
    <cellStyle name="Note 10 6" xfId="4365"/>
    <cellStyle name="Note 10 6 2" xfId="7957"/>
    <cellStyle name="Note 10 6 2 2" xfId="15928"/>
    <cellStyle name="Note 10 6 2 3" xfId="23874"/>
    <cellStyle name="Note 10 6 3" xfId="12390"/>
    <cellStyle name="Note 10 6 4" xfId="20345"/>
    <cellStyle name="Note 10 7" xfId="6185"/>
    <cellStyle name="Note 10 7 2" xfId="14169"/>
    <cellStyle name="Note 10 7 3" xfId="22117"/>
    <cellStyle name="Note 10 8" xfId="9738"/>
    <cellStyle name="Note 10 8 2" xfId="17696"/>
    <cellStyle name="Note 10 8 3" xfId="25640"/>
    <cellStyle name="Note 10 9" xfId="10634"/>
    <cellStyle name="Note 10_Exh G" xfId="3569"/>
    <cellStyle name="Note 11" xfId="690"/>
    <cellStyle name="Note 11 2" xfId="691"/>
    <cellStyle name="Note 11 2 2" xfId="692"/>
    <cellStyle name="Note 11 2 2 2" xfId="1720"/>
    <cellStyle name="Note 11 2 2 2 2" xfId="5250"/>
    <cellStyle name="Note 11 2 2 2 2 2" xfId="8841"/>
    <cellStyle name="Note 11 2 2 2 2 2 2" xfId="16812"/>
    <cellStyle name="Note 11 2 2 2 2 2 3" xfId="24758"/>
    <cellStyle name="Note 11 2 2 2 2 3" xfId="13274"/>
    <cellStyle name="Note 11 2 2 2 2 4" xfId="21229"/>
    <cellStyle name="Note 11 2 2 2 3" xfId="7082"/>
    <cellStyle name="Note 11 2 2 2 3 2" xfId="15054"/>
    <cellStyle name="Note 11 2 2 2 3 3" xfId="23001"/>
    <cellStyle name="Note 11 2 2 2 4" xfId="11518"/>
    <cellStyle name="Note 11 2 2 2 5" xfId="19473"/>
    <cellStyle name="Note 11 2 2 2_Exh G" xfId="3580"/>
    <cellStyle name="Note 11 2 2 3" xfId="4371"/>
    <cellStyle name="Note 11 2 2 3 2" xfId="7963"/>
    <cellStyle name="Note 11 2 2 3 2 2" xfId="15934"/>
    <cellStyle name="Note 11 2 2 3 2 3" xfId="23880"/>
    <cellStyle name="Note 11 2 2 3 3" xfId="12396"/>
    <cellStyle name="Note 11 2 2 3 4" xfId="20351"/>
    <cellStyle name="Note 11 2 2 4" xfId="6191"/>
    <cellStyle name="Note 11 2 2 4 2" xfId="14175"/>
    <cellStyle name="Note 11 2 2 4 3" xfId="22123"/>
    <cellStyle name="Note 11 2 2 5" xfId="9744"/>
    <cellStyle name="Note 11 2 2 5 2" xfId="17702"/>
    <cellStyle name="Note 11 2 2 5 3" xfId="25646"/>
    <cellStyle name="Note 11 2 2 6" xfId="10640"/>
    <cellStyle name="Note 11 2 2 7" xfId="18595"/>
    <cellStyle name="Note 11 2 2_Exh G" xfId="3579"/>
    <cellStyle name="Note 11 2 3" xfId="1719"/>
    <cellStyle name="Note 11 2 3 2" xfId="5249"/>
    <cellStyle name="Note 11 2 3 2 2" xfId="8840"/>
    <cellStyle name="Note 11 2 3 2 2 2" xfId="16811"/>
    <cellStyle name="Note 11 2 3 2 2 3" xfId="24757"/>
    <cellStyle name="Note 11 2 3 2 3" xfId="13273"/>
    <cellStyle name="Note 11 2 3 2 4" xfId="21228"/>
    <cellStyle name="Note 11 2 3 3" xfId="7081"/>
    <cellStyle name="Note 11 2 3 3 2" xfId="15053"/>
    <cellStyle name="Note 11 2 3 3 3" xfId="23000"/>
    <cellStyle name="Note 11 2 3 4" xfId="11517"/>
    <cellStyle name="Note 11 2 3 5" xfId="19472"/>
    <cellStyle name="Note 11 2 3_Exh G" xfId="3581"/>
    <cellStyle name="Note 11 2 4" xfId="4370"/>
    <cellStyle name="Note 11 2 4 2" xfId="7962"/>
    <cellStyle name="Note 11 2 4 2 2" xfId="15933"/>
    <cellStyle name="Note 11 2 4 2 3" xfId="23879"/>
    <cellStyle name="Note 11 2 4 3" xfId="12395"/>
    <cellStyle name="Note 11 2 4 4" xfId="20350"/>
    <cellStyle name="Note 11 2 5" xfId="6190"/>
    <cellStyle name="Note 11 2 5 2" xfId="14174"/>
    <cellStyle name="Note 11 2 5 3" xfId="22122"/>
    <cellStyle name="Note 11 2 6" xfId="9743"/>
    <cellStyle name="Note 11 2 6 2" xfId="17701"/>
    <cellStyle name="Note 11 2 6 3" xfId="25645"/>
    <cellStyle name="Note 11 2 7" xfId="10639"/>
    <cellStyle name="Note 11 2 8" xfId="18594"/>
    <cellStyle name="Note 11 2_Exh G" xfId="3578"/>
    <cellStyle name="Note 11 3" xfId="693"/>
    <cellStyle name="Note 11 3 2" xfId="1721"/>
    <cellStyle name="Note 11 3 2 2" xfId="5251"/>
    <cellStyle name="Note 11 3 2 2 2" xfId="8842"/>
    <cellStyle name="Note 11 3 2 2 2 2" xfId="16813"/>
    <cellStyle name="Note 11 3 2 2 2 3" xfId="24759"/>
    <cellStyle name="Note 11 3 2 2 3" xfId="13275"/>
    <cellStyle name="Note 11 3 2 2 4" xfId="21230"/>
    <cellStyle name="Note 11 3 2 3" xfId="7083"/>
    <cellStyle name="Note 11 3 2 3 2" xfId="15055"/>
    <cellStyle name="Note 11 3 2 3 3" xfId="23002"/>
    <cellStyle name="Note 11 3 2 4" xfId="11519"/>
    <cellStyle name="Note 11 3 2 5" xfId="19474"/>
    <cellStyle name="Note 11 3 2_Exh G" xfId="3583"/>
    <cellStyle name="Note 11 3 3" xfId="4372"/>
    <cellStyle name="Note 11 3 3 2" xfId="7964"/>
    <cellStyle name="Note 11 3 3 2 2" xfId="15935"/>
    <cellStyle name="Note 11 3 3 2 3" xfId="23881"/>
    <cellStyle name="Note 11 3 3 3" xfId="12397"/>
    <cellStyle name="Note 11 3 3 4" xfId="20352"/>
    <cellStyle name="Note 11 3 4" xfId="6192"/>
    <cellStyle name="Note 11 3 4 2" xfId="14176"/>
    <cellStyle name="Note 11 3 4 3" xfId="22124"/>
    <cellStyle name="Note 11 3 5" xfId="9745"/>
    <cellStyle name="Note 11 3 5 2" xfId="17703"/>
    <cellStyle name="Note 11 3 5 3" xfId="25647"/>
    <cellStyle name="Note 11 3 6" xfId="10641"/>
    <cellStyle name="Note 11 3 7" xfId="18596"/>
    <cellStyle name="Note 11 3_Exh G" xfId="3582"/>
    <cellStyle name="Note 11 4" xfId="1718"/>
    <cellStyle name="Note 11 4 2" xfId="5248"/>
    <cellStyle name="Note 11 4 2 2" xfId="8839"/>
    <cellStyle name="Note 11 4 2 2 2" xfId="16810"/>
    <cellStyle name="Note 11 4 2 2 3" xfId="24756"/>
    <cellStyle name="Note 11 4 2 3" xfId="13272"/>
    <cellStyle name="Note 11 4 2 4" xfId="21227"/>
    <cellStyle name="Note 11 4 3" xfId="7080"/>
    <cellStyle name="Note 11 4 3 2" xfId="15052"/>
    <cellStyle name="Note 11 4 3 3" xfId="22999"/>
    <cellStyle name="Note 11 4 4" xfId="11516"/>
    <cellStyle name="Note 11 4 5" xfId="19471"/>
    <cellStyle name="Note 11 4_Exh G" xfId="3584"/>
    <cellStyle name="Note 11 5" xfId="4369"/>
    <cellStyle name="Note 11 5 2" xfId="7961"/>
    <cellStyle name="Note 11 5 2 2" xfId="15932"/>
    <cellStyle name="Note 11 5 2 3" xfId="23878"/>
    <cellStyle name="Note 11 5 3" xfId="12394"/>
    <cellStyle name="Note 11 5 4" xfId="20349"/>
    <cellStyle name="Note 11 6" xfId="6189"/>
    <cellStyle name="Note 11 6 2" xfId="14173"/>
    <cellStyle name="Note 11 6 3" xfId="22121"/>
    <cellStyle name="Note 11 7" xfId="9742"/>
    <cellStyle name="Note 11 7 2" xfId="17700"/>
    <cellStyle name="Note 11 7 3" xfId="25644"/>
    <cellStyle name="Note 11 8" xfId="10638"/>
    <cellStyle name="Note 11 9" xfId="18593"/>
    <cellStyle name="Note 11_Exh G" xfId="3577"/>
    <cellStyle name="Note 12" xfId="694"/>
    <cellStyle name="Note 12 2" xfId="695"/>
    <cellStyle name="Note 12 2 2" xfId="696"/>
    <cellStyle name="Note 12 2 2 2" xfId="1724"/>
    <cellStyle name="Note 12 2 2 2 2" xfId="5254"/>
    <cellStyle name="Note 12 2 2 2 2 2" xfId="8845"/>
    <cellStyle name="Note 12 2 2 2 2 2 2" xfId="16816"/>
    <cellStyle name="Note 12 2 2 2 2 2 3" xfId="24762"/>
    <cellStyle name="Note 12 2 2 2 2 3" xfId="13278"/>
    <cellStyle name="Note 12 2 2 2 2 4" xfId="21233"/>
    <cellStyle name="Note 12 2 2 2 3" xfId="7086"/>
    <cellStyle name="Note 12 2 2 2 3 2" xfId="15058"/>
    <cellStyle name="Note 12 2 2 2 3 3" xfId="23005"/>
    <cellStyle name="Note 12 2 2 2 4" xfId="11522"/>
    <cellStyle name="Note 12 2 2 2 5" xfId="19477"/>
    <cellStyle name="Note 12 2 2 2_Exh G" xfId="3588"/>
    <cellStyle name="Note 12 2 2 3" xfId="4375"/>
    <cellStyle name="Note 12 2 2 3 2" xfId="7967"/>
    <cellStyle name="Note 12 2 2 3 2 2" xfId="15938"/>
    <cellStyle name="Note 12 2 2 3 2 3" xfId="23884"/>
    <cellStyle name="Note 12 2 2 3 3" xfId="12400"/>
    <cellStyle name="Note 12 2 2 3 4" xfId="20355"/>
    <cellStyle name="Note 12 2 2 4" xfId="6195"/>
    <cellStyle name="Note 12 2 2 4 2" xfId="14179"/>
    <cellStyle name="Note 12 2 2 4 3" xfId="22127"/>
    <cellStyle name="Note 12 2 2 5" xfId="9748"/>
    <cellStyle name="Note 12 2 2 5 2" xfId="17706"/>
    <cellStyle name="Note 12 2 2 5 3" xfId="25650"/>
    <cellStyle name="Note 12 2 2 6" xfId="10644"/>
    <cellStyle name="Note 12 2 2 7" xfId="18599"/>
    <cellStyle name="Note 12 2 2_Exh G" xfId="3587"/>
    <cellStyle name="Note 12 2 3" xfId="1723"/>
    <cellStyle name="Note 12 2 3 2" xfId="5253"/>
    <cellStyle name="Note 12 2 3 2 2" xfId="8844"/>
    <cellStyle name="Note 12 2 3 2 2 2" xfId="16815"/>
    <cellStyle name="Note 12 2 3 2 2 3" xfId="24761"/>
    <cellStyle name="Note 12 2 3 2 3" xfId="13277"/>
    <cellStyle name="Note 12 2 3 2 4" xfId="21232"/>
    <cellStyle name="Note 12 2 3 3" xfId="7085"/>
    <cellStyle name="Note 12 2 3 3 2" xfId="15057"/>
    <cellStyle name="Note 12 2 3 3 3" xfId="23004"/>
    <cellStyle name="Note 12 2 3 4" xfId="11521"/>
    <cellStyle name="Note 12 2 3 5" xfId="19476"/>
    <cellStyle name="Note 12 2 3_Exh G" xfId="3589"/>
    <cellStyle name="Note 12 2 4" xfId="4374"/>
    <cellStyle name="Note 12 2 4 2" xfId="7966"/>
    <cellStyle name="Note 12 2 4 2 2" xfId="15937"/>
    <cellStyle name="Note 12 2 4 2 3" xfId="23883"/>
    <cellStyle name="Note 12 2 4 3" xfId="12399"/>
    <cellStyle name="Note 12 2 4 4" xfId="20354"/>
    <cellStyle name="Note 12 2 5" xfId="6194"/>
    <cellStyle name="Note 12 2 5 2" xfId="14178"/>
    <cellStyle name="Note 12 2 5 3" xfId="22126"/>
    <cellStyle name="Note 12 2 6" xfId="9747"/>
    <cellStyle name="Note 12 2 6 2" xfId="17705"/>
    <cellStyle name="Note 12 2 6 3" xfId="25649"/>
    <cellStyle name="Note 12 2 7" xfId="10643"/>
    <cellStyle name="Note 12 2 8" xfId="18598"/>
    <cellStyle name="Note 12 2_Exh G" xfId="3586"/>
    <cellStyle name="Note 12 3" xfId="697"/>
    <cellStyle name="Note 12 3 2" xfId="1725"/>
    <cellStyle name="Note 12 3 2 2" xfId="5255"/>
    <cellStyle name="Note 12 3 2 2 2" xfId="8846"/>
    <cellStyle name="Note 12 3 2 2 2 2" xfId="16817"/>
    <cellStyle name="Note 12 3 2 2 2 3" xfId="24763"/>
    <cellStyle name="Note 12 3 2 2 3" xfId="13279"/>
    <cellStyle name="Note 12 3 2 2 4" xfId="21234"/>
    <cellStyle name="Note 12 3 2 3" xfId="7087"/>
    <cellStyle name="Note 12 3 2 3 2" xfId="15059"/>
    <cellStyle name="Note 12 3 2 3 3" xfId="23006"/>
    <cellStyle name="Note 12 3 2 4" xfId="11523"/>
    <cellStyle name="Note 12 3 2 5" xfId="19478"/>
    <cellStyle name="Note 12 3 2_Exh G" xfId="3591"/>
    <cellStyle name="Note 12 3 3" xfId="4376"/>
    <cellStyle name="Note 12 3 3 2" xfId="7968"/>
    <cellStyle name="Note 12 3 3 2 2" xfId="15939"/>
    <cellStyle name="Note 12 3 3 2 3" xfId="23885"/>
    <cellStyle name="Note 12 3 3 3" xfId="12401"/>
    <cellStyle name="Note 12 3 3 4" xfId="20356"/>
    <cellStyle name="Note 12 3 4" xfId="6196"/>
    <cellStyle name="Note 12 3 4 2" xfId="14180"/>
    <cellStyle name="Note 12 3 4 3" xfId="22128"/>
    <cellStyle name="Note 12 3 5" xfId="9749"/>
    <cellStyle name="Note 12 3 5 2" xfId="17707"/>
    <cellStyle name="Note 12 3 5 3" xfId="25651"/>
    <cellStyle name="Note 12 3 6" xfId="10645"/>
    <cellStyle name="Note 12 3 7" xfId="18600"/>
    <cellStyle name="Note 12 3_Exh G" xfId="3590"/>
    <cellStyle name="Note 12 4" xfId="1722"/>
    <cellStyle name="Note 12 4 2" xfId="5252"/>
    <cellStyle name="Note 12 4 2 2" xfId="8843"/>
    <cellStyle name="Note 12 4 2 2 2" xfId="16814"/>
    <cellStyle name="Note 12 4 2 2 3" xfId="24760"/>
    <cellStyle name="Note 12 4 2 3" xfId="13276"/>
    <cellStyle name="Note 12 4 2 4" xfId="21231"/>
    <cellStyle name="Note 12 4 3" xfId="7084"/>
    <cellStyle name="Note 12 4 3 2" xfId="15056"/>
    <cellStyle name="Note 12 4 3 3" xfId="23003"/>
    <cellStyle name="Note 12 4 4" xfId="11520"/>
    <cellStyle name="Note 12 4 5" xfId="19475"/>
    <cellStyle name="Note 12 4_Exh G" xfId="3592"/>
    <cellStyle name="Note 12 5" xfId="4373"/>
    <cellStyle name="Note 12 5 2" xfId="7965"/>
    <cellStyle name="Note 12 5 2 2" xfId="15936"/>
    <cellStyle name="Note 12 5 2 3" xfId="23882"/>
    <cellStyle name="Note 12 5 3" xfId="12398"/>
    <cellStyle name="Note 12 5 4" xfId="20353"/>
    <cellStyle name="Note 12 6" xfId="6193"/>
    <cellStyle name="Note 12 6 2" xfId="14177"/>
    <cellStyle name="Note 12 6 3" xfId="22125"/>
    <cellStyle name="Note 12 7" xfId="9746"/>
    <cellStyle name="Note 12 7 2" xfId="17704"/>
    <cellStyle name="Note 12 7 3" xfId="25648"/>
    <cellStyle name="Note 12 8" xfId="10642"/>
    <cellStyle name="Note 12 9" xfId="18597"/>
    <cellStyle name="Note 12_Exh G" xfId="3585"/>
    <cellStyle name="Note 13" xfId="698"/>
    <cellStyle name="Note 13 2" xfId="699"/>
    <cellStyle name="Note 13 2 2" xfId="700"/>
    <cellStyle name="Note 13 2 2 2" xfId="1728"/>
    <cellStyle name="Note 13 2 2 2 2" xfId="5258"/>
    <cellStyle name="Note 13 2 2 2 2 2" xfId="8849"/>
    <cellStyle name="Note 13 2 2 2 2 2 2" xfId="16820"/>
    <cellStyle name="Note 13 2 2 2 2 2 3" xfId="24766"/>
    <cellStyle name="Note 13 2 2 2 2 3" xfId="13282"/>
    <cellStyle name="Note 13 2 2 2 2 4" xfId="21237"/>
    <cellStyle name="Note 13 2 2 2 3" xfId="7090"/>
    <cellStyle name="Note 13 2 2 2 3 2" xfId="15062"/>
    <cellStyle name="Note 13 2 2 2 3 3" xfId="23009"/>
    <cellStyle name="Note 13 2 2 2 4" xfId="11526"/>
    <cellStyle name="Note 13 2 2 2 5" xfId="19481"/>
    <cellStyle name="Note 13 2 2 2_Exh G" xfId="3596"/>
    <cellStyle name="Note 13 2 2 3" xfId="4379"/>
    <cellStyle name="Note 13 2 2 3 2" xfId="7971"/>
    <cellStyle name="Note 13 2 2 3 2 2" xfId="15942"/>
    <cellStyle name="Note 13 2 2 3 2 3" xfId="23888"/>
    <cellStyle name="Note 13 2 2 3 3" xfId="12404"/>
    <cellStyle name="Note 13 2 2 3 4" xfId="20359"/>
    <cellStyle name="Note 13 2 2 4" xfId="6199"/>
    <cellStyle name="Note 13 2 2 4 2" xfId="14183"/>
    <cellStyle name="Note 13 2 2 4 3" xfId="22131"/>
    <cellStyle name="Note 13 2 2 5" xfId="9752"/>
    <cellStyle name="Note 13 2 2 5 2" xfId="17710"/>
    <cellStyle name="Note 13 2 2 5 3" xfId="25654"/>
    <cellStyle name="Note 13 2 2 6" xfId="10648"/>
    <cellStyle name="Note 13 2 2 7" xfId="18603"/>
    <cellStyle name="Note 13 2 2_Exh G" xfId="3595"/>
    <cellStyle name="Note 13 2 3" xfId="1727"/>
    <cellStyle name="Note 13 2 3 2" xfId="5257"/>
    <cellStyle name="Note 13 2 3 2 2" xfId="8848"/>
    <cellStyle name="Note 13 2 3 2 2 2" xfId="16819"/>
    <cellStyle name="Note 13 2 3 2 2 3" xfId="24765"/>
    <cellStyle name="Note 13 2 3 2 3" xfId="13281"/>
    <cellStyle name="Note 13 2 3 2 4" xfId="21236"/>
    <cellStyle name="Note 13 2 3 3" xfId="7089"/>
    <cellStyle name="Note 13 2 3 3 2" xfId="15061"/>
    <cellStyle name="Note 13 2 3 3 3" xfId="23008"/>
    <cellStyle name="Note 13 2 3 4" xfId="11525"/>
    <cellStyle name="Note 13 2 3 5" xfId="19480"/>
    <cellStyle name="Note 13 2 3_Exh G" xfId="3597"/>
    <cellStyle name="Note 13 2 4" xfId="4378"/>
    <cellStyle name="Note 13 2 4 2" xfId="7970"/>
    <cellStyle name="Note 13 2 4 2 2" xfId="15941"/>
    <cellStyle name="Note 13 2 4 2 3" xfId="23887"/>
    <cellStyle name="Note 13 2 4 3" xfId="12403"/>
    <cellStyle name="Note 13 2 4 4" xfId="20358"/>
    <cellStyle name="Note 13 2 5" xfId="6198"/>
    <cellStyle name="Note 13 2 5 2" xfId="14182"/>
    <cellStyle name="Note 13 2 5 3" xfId="22130"/>
    <cellStyle name="Note 13 2 6" xfId="9751"/>
    <cellStyle name="Note 13 2 6 2" xfId="17709"/>
    <cellStyle name="Note 13 2 6 3" xfId="25653"/>
    <cellStyle name="Note 13 2 7" xfId="10647"/>
    <cellStyle name="Note 13 2 8" xfId="18602"/>
    <cellStyle name="Note 13 2_Exh G" xfId="3594"/>
    <cellStyle name="Note 13 3" xfId="701"/>
    <cellStyle name="Note 13 3 2" xfId="1729"/>
    <cellStyle name="Note 13 3 2 2" xfId="5259"/>
    <cellStyle name="Note 13 3 2 2 2" xfId="8850"/>
    <cellStyle name="Note 13 3 2 2 2 2" xfId="16821"/>
    <cellStyle name="Note 13 3 2 2 2 3" xfId="24767"/>
    <cellStyle name="Note 13 3 2 2 3" xfId="13283"/>
    <cellStyle name="Note 13 3 2 2 4" xfId="21238"/>
    <cellStyle name="Note 13 3 2 3" xfId="7091"/>
    <cellStyle name="Note 13 3 2 3 2" xfId="15063"/>
    <cellStyle name="Note 13 3 2 3 3" xfId="23010"/>
    <cellStyle name="Note 13 3 2 4" xfId="11527"/>
    <cellStyle name="Note 13 3 2 5" xfId="19482"/>
    <cellStyle name="Note 13 3 2_Exh G" xfId="3599"/>
    <cellStyle name="Note 13 3 3" xfId="4380"/>
    <cellStyle name="Note 13 3 3 2" xfId="7972"/>
    <cellStyle name="Note 13 3 3 2 2" xfId="15943"/>
    <cellStyle name="Note 13 3 3 2 3" xfId="23889"/>
    <cellStyle name="Note 13 3 3 3" xfId="12405"/>
    <cellStyle name="Note 13 3 3 4" xfId="20360"/>
    <cellStyle name="Note 13 3 4" xfId="6200"/>
    <cellStyle name="Note 13 3 4 2" xfId="14184"/>
    <cellStyle name="Note 13 3 4 3" xfId="22132"/>
    <cellStyle name="Note 13 3 5" xfId="9753"/>
    <cellStyle name="Note 13 3 5 2" xfId="17711"/>
    <cellStyle name="Note 13 3 5 3" xfId="25655"/>
    <cellStyle name="Note 13 3 6" xfId="10649"/>
    <cellStyle name="Note 13 3 7" xfId="18604"/>
    <cellStyle name="Note 13 3_Exh G" xfId="3598"/>
    <cellStyle name="Note 13 4" xfId="1726"/>
    <cellStyle name="Note 13 4 2" xfId="5256"/>
    <cellStyle name="Note 13 4 2 2" xfId="8847"/>
    <cellStyle name="Note 13 4 2 2 2" xfId="16818"/>
    <cellStyle name="Note 13 4 2 2 3" xfId="24764"/>
    <cellStyle name="Note 13 4 2 3" xfId="13280"/>
    <cellStyle name="Note 13 4 2 4" xfId="21235"/>
    <cellStyle name="Note 13 4 3" xfId="7088"/>
    <cellStyle name="Note 13 4 3 2" xfId="15060"/>
    <cellStyle name="Note 13 4 3 3" xfId="23007"/>
    <cellStyle name="Note 13 4 4" xfId="11524"/>
    <cellStyle name="Note 13 4 5" xfId="19479"/>
    <cellStyle name="Note 13 4_Exh G" xfId="3600"/>
    <cellStyle name="Note 13 5" xfId="4377"/>
    <cellStyle name="Note 13 5 2" xfId="7969"/>
    <cellStyle name="Note 13 5 2 2" xfId="15940"/>
    <cellStyle name="Note 13 5 2 3" xfId="23886"/>
    <cellStyle name="Note 13 5 3" xfId="12402"/>
    <cellStyle name="Note 13 5 4" xfId="20357"/>
    <cellStyle name="Note 13 6" xfId="6197"/>
    <cellStyle name="Note 13 6 2" xfId="14181"/>
    <cellStyle name="Note 13 6 3" xfId="22129"/>
    <cellStyle name="Note 13 7" xfId="9750"/>
    <cellStyle name="Note 13 7 2" xfId="17708"/>
    <cellStyle name="Note 13 7 3" xfId="25652"/>
    <cellStyle name="Note 13 8" xfId="10646"/>
    <cellStyle name="Note 13 9" xfId="18601"/>
    <cellStyle name="Note 13_Exh G" xfId="3593"/>
    <cellStyle name="Note 14" xfId="702"/>
    <cellStyle name="Note 14 2" xfId="703"/>
    <cellStyle name="Note 14 2 2" xfId="704"/>
    <cellStyle name="Note 14 2 2 2" xfId="1732"/>
    <cellStyle name="Note 14 2 2 2 2" xfId="5262"/>
    <cellStyle name="Note 14 2 2 2 2 2" xfId="8853"/>
    <cellStyle name="Note 14 2 2 2 2 2 2" xfId="16824"/>
    <cellStyle name="Note 14 2 2 2 2 2 3" xfId="24770"/>
    <cellStyle name="Note 14 2 2 2 2 3" xfId="13286"/>
    <cellStyle name="Note 14 2 2 2 2 4" xfId="21241"/>
    <cellStyle name="Note 14 2 2 2 3" xfId="7094"/>
    <cellStyle name="Note 14 2 2 2 3 2" xfId="15066"/>
    <cellStyle name="Note 14 2 2 2 3 3" xfId="23013"/>
    <cellStyle name="Note 14 2 2 2 4" xfId="11530"/>
    <cellStyle name="Note 14 2 2 2 5" xfId="19485"/>
    <cellStyle name="Note 14 2 2 2_Exh G" xfId="3604"/>
    <cellStyle name="Note 14 2 2 3" xfId="4383"/>
    <cellStyle name="Note 14 2 2 3 2" xfId="7975"/>
    <cellStyle name="Note 14 2 2 3 2 2" xfId="15946"/>
    <cellStyle name="Note 14 2 2 3 2 3" xfId="23892"/>
    <cellStyle name="Note 14 2 2 3 3" xfId="12408"/>
    <cellStyle name="Note 14 2 2 3 4" xfId="20363"/>
    <cellStyle name="Note 14 2 2 4" xfId="6203"/>
    <cellStyle name="Note 14 2 2 4 2" xfId="14187"/>
    <cellStyle name="Note 14 2 2 4 3" xfId="22135"/>
    <cellStyle name="Note 14 2 2 5" xfId="9756"/>
    <cellStyle name="Note 14 2 2 5 2" xfId="17714"/>
    <cellStyle name="Note 14 2 2 5 3" xfId="25658"/>
    <cellStyle name="Note 14 2 2 6" xfId="10652"/>
    <cellStyle name="Note 14 2 2 7" xfId="18607"/>
    <cellStyle name="Note 14 2 2_Exh G" xfId="3603"/>
    <cellStyle name="Note 14 2 3" xfId="1731"/>
    <cellStyle name="Note 14 2 3 2" xfId="5261"/>
    <cellStyle name="Note 14 2 3 2 2" xfId="8852"/>
    <cellStyle name="Note 14 2 3 2 2 2" xfId="16823"/>
    <cellStyle name="Note 14 2 3 2 2 3" xfId="24769"/>
    <cellStyle name="Note 14 2 3 2 3" xfId="13285"/>
    <cellStyle name="Note 14 2 3 2 4" xfId="21240"/>
    <cellStyle name="Note 14 2 3 3" xfId="7093"/>
    <cellStyle name="Note 14 2 3 3 2" xfId="15065"/>
    <cellStyle name="Note 14 2 3 3 3" xfId="23012"/>
    <cellStyle name="Note 14 2 3 4" xfId="11529"/>
    <cellStyle name="Note 14 2 3 5" xfId="19484"/>
    <cellStyle name="Note 14 2 3_Exh G" xfId="3605"/>
    <cellStyle name="Note 14 2 4" xfId="4382"/>
    <cellStyle name="Note 14 2 4 2" xfId="7974"/>
    <cellStyle name="Note 14 2 4 2 2" xfId="15945"/>
    <cellStyle name="Note 14 2 4 2 3" xfId="23891"/>
    <cellStyle name="Note 14 2 4 3" xfId="12407"/>
    <cellStyle name="Note 14 2 4 4" xfId="20362"/>
    <cellStyle name="Note 14 2 5" xfId="6202"/>
    <cellStyle name="Note 14 2 5 2" xfId="14186"/>
    <cellStyle name="Note 14 2 5 3" xfId="22134"/>
    <cellStyle name="Note 14 2 6" xfId="9755"/>
    <cellStyle name="Note 14 2 6 2" xfId="17713"/>
    <cellStyle name="Note 14 2 6 3" xfId="25657"/>
    <cellStyle name="Note 14 2 7" xfId="10651"/>
    <cellStyle name="Note 14 2 8" xfId="18606"/>
    <cellStyle name="Note 14 2_Exh G" xfId="3602"/>
    <cellStyle name="Note 14 3" xfId="705"/>
    <cellStyle name="Note 14 3 2" xfId="1733"/>
    <cellStyle name="Note 14 3 2 2" xfId="5263"/>
    <cellStyle name="Note 14 3 2 2 2" xfId="8854"/>
    <cellStyle name="Note 14 3 2 2 2 2" xfId="16825"/>
    <cellStyle name="Note 14 3 2 2 2 3" xfId="24771"/>
    <cellStyle name="Note 14 3 2 2 3" xfId="13287"/>
    <cellStyle name="Note 14 3 2 2 4" xfId="21242"/>
    <cellStyle name="Note 14 3 2 3" xfId="7095"/>
    <cellStyle name="Note 14 3 2 3 2" xfId="15067"/>
    <cellStyle name="Note 14 3 2 3 3" xfId="23014"/>
    <cellStyle name="Note 14 3 2 4" xfId="11531"/>
    <cellStyle name="Note 14 3 2 5" xfId="19486"/>
    <cellStyle name="Note 14 3 2_Exh G" xfId="3607"/>
    <cellStyle name="Note 14 3 3" xfId="4384"/>
    <cellStyle name="Note 14 3 3 2" xfId="7976"/>
    <cellStyle name="Note 14 3 3 2 2" xfId="15947"/>
    <cellStyle name="Note 14 3 3 2 3" xfId="23893"/>
    <cellStyle name="Note 14 3 3 3" xfId="12409"/>
    <cellStyle name="Note 14 3 3 4" xfId="20364"/>
    <cellStyle name="Note 14 3 4" xfId="6204"/>
    <cellStyle name="Note 14 3 4 2" xfId="14188"/>
    <cellStyle name="Note 14 3 4 3" xfId="22136"/>
    <cellStyle name="Note 14 3 5" xfId="9757"/>
    <cellStyle name="Note 14 3 5 2" xfId="17715"/>
    <cellStyle name="Note 14 3 5 3" xfId="25659"/>
    <cellStyle name="Note 14 3 6" xfId="10653"/>
    <cellStyle name="Note 14 3 7" xfId="18608"/>
    <cellStyle name="Note 14 3_Exh G" xfId="3606"/>
    <cellStyle name="Note 14 4" xfId="1730"/>
    <cellStyle name="Note 14 4 2" xfId="5260"/>
    <cellStyle name="Note 14 4 2 2" xfId="8851"/>
    <cellStyle name="Note 14 4 2 2 2" xfId="16822"/>
    <cellStyle name="Note 14 4 2 2 3" xfId="24768"/>
    <cellStyle name="Note 14 4 2 3" xfId="13284"/>
    <cellStyle name="Note 14 4 2 4" xfId="21239"/>
    <cellStyle name="Note 14 4 3" xfId="7092"/>
    <cellStyle name="Note 14 4 3 2" xfId="15064"/>
    <cellStyle name="Note 14 4 3 3" xfId="23011"/>
    <cellStyle name="Note 14 4 4" xfId="11528"/>
    <cellStyle name="Note 14 4 5" xfId="19483"/>
    <cellStyle name="Note 14 4_Exh G" xfId="3608"/>
    <cellStyle name="Note 14 5" xfId="4381"/>
    <cellStyle name="Note 14 5 2" xfId="7973"/>
    <cellStyle name="Note 14 5 2 2" xfId="15944"/>
    <cellStyle name="Note 14 5 2 3" xfId="23890"/>
    <cellStyle name="Note 14 5 3" xfId="12406"/>
    <cellStyle name="Note 14 5 4" xfId="20361"/>
    <cellStyle name="Note 14 6" xfId="6201"/>
    <cellStyle name="Note 14 6 2" xfId="14185"/>
    <cellStyle name="Note 14 6 3" xfId="22133"/>
    <cellStyle name="Note 14 7" xfId="9754"/>
    <cellStyle name="Note 14 7 2" xfId="17712"/>
    <cellStyle name="Note 14 7 3" xfId="25656"/>
    <cellStyle name="Note 14 8" xfId="10650"/>
    <cellStyle name="Note 14 9" xfId="18605"/>
    <cellStyle name="Note 14_Exh G" xfId="3601"/>
    <cellStyle name="Note 15" xfId="706"/>
    <cellStyle name="Note 15 2" xfId="1734"/>
    <cellStyle name="Note 15 2 2" xfId="5264"/>
    <cellStyle name="Note 15 2 2 2" xfId="8855"/>
    <cellStyle name="Note 15 2 2 2 2" xfId="16826"/>
    <cellStyle name="Note 15 2 2 2 3" xfId="24772"/>
    <cellStyle name="Note 15 2 2 3" xfId="13288"/>
    <cellStyle name="Note 15 2 2 4" xfId="21243"/>
    <cellStyle name="Note 15 2 3" xfId="7096"/>
    <cellStyle name="Note 15 2 3 2" xfId="15068"/>
    <cellStyle name="Note 15 2 3 3" xfId="23015"/>
    <cellStyle name="Note 15 2 4" xfId="11532"/>
    <cellStyle name="Note 15 2 5" xfId="19487"/>
    <cellStyle name="Note 15 2_Exh G" xfId="3610"/>
    <cellStyle name="Note 15 3" xfId="4385"/>
    <cellStyle name="Note 15 3 2" xfId="7977"/>
    <cellStyle name="Note 15 3 2 2" xfId="15948"/>
    <cellStyle name="Note 15 3 2 3" xfId="23894"/>
    <cellStyle name="Note 15 3 3" xfId="12410"/>
    <cellStyle name="Note 15 3 4" xfId="20365"/>
    <cellStyle name="Note 15 4" xfId="6205"/>
    <cellStyle name="Note 15 4 2" xfId="14189"/>
    <cellStyle name="Note 15 4 3" xfId="22137"/>
    <cellStyle name="Note 15 5" xfId="9758"/>
    <cellStyle name="Note 15 5 2" xfId="17716"/>
    <cellStyle name="Note 15 5 3" xfId="25660"/>
    <cellStyle name="Note 15 6" xfId="10654"/>
    <cellStyle name="Note 15 7" xfId="18609"/>
    <cellStyle name="Note 15_Exh G" xfId="3609"/>
    <cellStyle name="Note 16" xfId="855"/>
    <cellStyle name="Note 16 2" xfId="1794"/>
    <cellStyle name="Note 16 2 2" xfId="5315"/>
    <cellStyle name="Note 16 2 2 2" xfId="8906"/>
    <cellStyle name="Note 16 2 2 2 2" xfId="16877"/>
    <cellStyle name="Note 16 2 2 2 3" xfId="24823"/>
    <cellStyle name="Note 16 2 2 3" xfId="13339"/>
    <cellStyle name="Note 16 2 2 4" xfId="21294"/>
    <cellStyle name="Note 16 2 3" xfId="7147"/>
    <cellStyle name="Note 16 2 3 2" xfId="15119"/>
    <cellStyle name="Note 16 2 3 3" xfId="23066"/>
    <cellStyle name="Note 16 2 4" xfId="11583"/>
    <cellStyle name="Note 16 2 5" xfId="19538"/>
    <cellStyle name="Note 16 2_Exh G" xfId="3612"/>
    <cellStyle name="Note 16 3" xfId="4436"/>
    <cellStyle name="Note 16 3 2" xfId="8028"/>
    <cellStyle name="Note 16 3 2 2" xfId="15999"/>
    <cellStyle name="Note 16 3 2 3" xfId="23945"/>
    <cellStyle name="Note 16 3 3" xfId="12461"/>
    <cellStyle name="Note 16 3 4" xfId="20416"/>
    <cellStyle name="Note 16 4" xfId="6266"/>
    <cellStyle name="Note 16 4 2" xfId="14241"/>
    <cellStyle name="Note 16 4 3" xfId="22188"/>
    <cellStyle name="Note 16 5" xfId="9809"/>
    <cellStyle name="Note 16 5 2" xfId="17767"/>
    <cellStyle name="Note 16 5 3" xfId="25711"/>
    <cellStyle name="Note 16 6" xfId="10705"/>
    <cellStyle name="Note 16 7" xfId="18660"/>
    <cellStyle name="Note 16_Exh G" xfId="3611"/>
    <cellStyle name="Note 2" xfId="22"/>
    <cellStyle name="Note 2 10" xfId="17927"/>
    <cellStyle name="Note 2 2" xfId="707"/>
    <cellStyle name="Note 2 2 2" xfId="708"/>
    <cellStyle name="Note 2 2 2 2" xfId="1736"/>
    <cellStyle name="Note 2 2 2 2 2" xfId="5266"/>
    <cellStyle name="Note 2 2 2 2 2 2" xfId="8857"/>
    <cellStyle name="Note 2 2 2 2 2 2 2" xfId="16828"/>
    <cellStyle name="Note 2 2 2 2 2 2 3" xfId="24774"/>
    <cellStyle name="Note 2 2 2 2 2 3" xfId="13290"/>
    <cellStyle name="Note 2 2 2 2 2 4" xfId="21245"/>
    <cellStyle name="Note 2 2 2 2 3" xfId="7098"/>
    <cellStyle name="Note 2 2 2 2 3 2" xfId="15070"/>
    <cellStyle name="Note 2 2 2 2 3 3" xfId="23017"/>
    <cellStyle name="Note 2 2 2 2 4" xfId="11534"/>
    <cellStyle name="Note 2 2 2 2 5" xfId="19489"/>
    <cellStyle name="Note 2 2 2 2_Exh G" xfId="3616"/>
    <cellStyle name="Note 2 2 2 3" xfId="4387"/>
    <cellStyle name="Note 2 2 2 3 2" xfId="7979"/>
    <cellStyle name="Note 2 2 2 3 2 2" xfId="15950"/>
    <cellStyle name="Note 2 2 2 3 2 3" xfId="23896"/>
    <cellStyle name="Note 2 2 2 3 3" xfId="12412"/>
    <cellStyle name="Note 2 2 2 3 4" xfId="20367"/>
    <cellStyle name="Note 2 2 2 4" xfId="6207"/>
    <cellStyle name="Note 2 2 2 4 2" xfId="14191"/>
    <cellStyle name="Note 2 2 2 4 3" xfId="22139"/>
    <cellStyle name="Note 2 2 2 5" xfId="9760"/>
    <cellStyle name="Note 2 2 2 5 2" xfId="17718"/>
    <cellStyle name="Note 2 2 2 5 3" xfId="25662"/>
    <cellStyle name="Note 2 2 2 6" xfId="10656"/>
    <cellStyle name="Note 2 2 2 7" xfId="18611"/>
    <cellStyle name="Note 2 2 2_Exh G" xfId="3615"/>
    <cellStyle name="Note 2 2 3" xfId="1031"/>
    <cellStyle name="Note 2 2 3 2" xfId="1931"/>
    <cellStyle name="Note 2 2 3 2 2" xfId="5449"/>
    <cellStyle name="Note 2 2 3 2 2 2" xfId="9040"/>
    <cellStyle name="Note 2 2 3 2 2 2 2" xfId="17011"/>
    <cellStyle name="Note 2 2 3 2 2 2 3" xfId="24957"/>
    <cellStyle name="Note 2 2 3 2 2 3" xfId="13473"/>
    <cellStyle name="Note 2 2 3 2 2 4" xfId="21428"/>
    <cellStyle name="Note 2 2 3 2 3" xfId="7281"/>
    <cellStyle name="Note 2 2 3 2 3 2" xfId="15253"/>
    <cellStyle name="Note 2 2 3 2 3 3" xfId="23200"/>
    <cellStyle name="Note 2 2 3 2 4" xfId="11717"/>
    <cellStyle name="Note 2 2 3 2 5" xfId="19672"/>
    <cellStyle name="Note 2 2 3 2_Exh G" xfId="3618"/>
    <cellStyle name="Note 2 2 3 3" xfId="4570"/>
    <cellStyle name="Note 2 2 3 3 2" xfId="8162"/>
    <cellStyle name="Note 2 2 3 3 2 2" xfId="16133"/>
    <cellStyle name="Note 2 2 3 3 2 3" xfId="24079"/>
    <cellStyle name="Note 2 2 3 3 3" xfId="12595"/>
    <cellStyle name="Note 2 2 3 3 4" xfId="20550"/>
    <cellStyle name="Note 2 2 3 4" xfId="6401"/>
    <cellStyle name="Note 2 2 3 4 2" xfId="14375"/>
    <cellStyle name="Note 2 2 3 4 3" xfId="22322"/>
    <cellStyle name="Note 2 2 3 5" xfId="9943"/>
    <cellStyle name="Note 2 2 3 5 2" xfId="17901"/>
    <cellStyle name="Note 2 2 3 5 3" xfId="25845"/>
    <cellStyle name="Note 2 2 3 6" xfId="10839"/>
    <cellStyle name="Note 2 2 3 7" xfId="18794"/>
    <cellStyle name="Note 2 2 3_Exh G" xfId="3617"/>
    <cellStyle name="Note 2 2 4" xfId="1735"/>
    <cellStyle name="Note 2 2 4 2" xfId="5265"/>
    <cellStyle name="Note 2 2 4 2 2" xfId="8856"/>
    <cellStyle name="Note 2 2 4 2 2 2" xfId="16827"/>
    <cellStyle name="Note 2 2 4 2 2 3" xfId="24773"/>
    <cellStyle name="Note 2 2 4 2 3" xfId="13289"/>
    <cellStyle name="Note 2 2 4 2 4" xfId="21244"/>
    <cellStyle name="Note 2 2 4 3" xfId="7097"/>
    <cellStyle name="Note 2 2 4 3 2" xfId="15069"/>
    <cellStyle name="Note 2 2 4 3 3" xfId="23016"/>
    <cellStyle name="Note 2 2 4 4" xfId="11533"/>
    <cellStyle name="Note 2 2 4 5" xfId="19488"/>
    <cellStyle name="Note 2 2 4_Exh G" xfId="3619"/>
    <cellStyle name="Note 2 2 5" xfId="4386"/>
    <cellStyle name="Note 2 2 5 2" xfId="7978"/>
    <cellStyle name="Note 2 2 5 2 2" xfId="15949"/>
    <cellStyle name="Note 2 2 5 2 3" xfId="23895"/>
    <cellStyle name="Note 2 2 5 3" xfId="12411"/>
    <cellStyle name="Note 2 2 5 4" xfId="20366"/>
    <cellStyle name="Note 2 2 6" xfId="6206"/>
    <cellStyle name="Note 2 2 6 2" xfId="14190"/>
    <cellStyle name="Note 2 2 6 3" xfId="22138"/>
    <cellStyle name="Note 2 2 7" xfId="9759"/>
    <cellStyle name="Note 2 2 7 2" xfId="17717"/>
    <cellStyle name="Note 2 2 7 3" xfId="25661"/>
    <cellStyle name="Note 2 2 8" xfId="10655"/>
    <cellStyle name="Note 2 2 9" xfId="18610"/>
    <cellStyle name="Note 2 2_Exh G" xfId="3614"/>
    <cellStyle name="Note 2 3" xfId="709"/>
    <cellStyle name="Note 2 3 2" xfId="1737"/>
    <cellStyle name="Note 2 3 2 2" xfId="5267"/>
    <cellStyle name="Note 2 3 2 2 2" xfId="8858"/>
    <cellStyle name="Note 2 3 2 2 2 2" xfId="16829"/>
    <cellStyle name="Note 2 3 2 2 2 3" xfId="24775"/>
    <cellStyle name="Note 2 3 2 2 3" xfId="13291"/>
    <cellStyle name="Note 2 3 2 2 4" xfId="21246"/>
    <cellStyle name="Note 2 3 2 3" xfId="7099"/>
    <cellStyle name="Note 2 3 2 3 2" xfId="15071"/>
    <cellStyle name="Note 2 3 2 3 3" xfId="23018"/>
    <cellStyle name="Note 2 3 2 4" xfId="11535"/>
    <cellStyle name="Note 2 3 2 5" xfId="19490"/>
    <cellStyle name="Note 2 3 2_Exh G" xfId="3621"/>
    <cellStyle name="Note 2 3 3" xfId="4388"/>
    <cellStyle name="Note 2 3 3 2" xfId="7980"/>
    <cellStyle name="Note 2 3 3 2 2" xfId="15951"/>
    <cellStyle name="Note 2 3 3 2 3" xfId="23897"/>
    <cellStyle name="Note 2 3 3 3" xfId="12413"/>
    <cellStyle name="Note 2 3 3 4" xfId="20368"/>
    <cellStyle name="Note 2 3 4" xfId="6208"/>
    <cellStyle name="Note 2 3 4 2" xfId="14192"/>
    <cellStyle name="Note 2 3 4 3" xfId="22140"/>
    <cellStyle name="Note 2 3 5" xfId="9761"/>
    <cellStyle name="Note 2 3 5 2" xfId="17719"/>
    <cellStyle name="Note 2 3 5 3" xfId="25663"/>
    <cellStyle name="Note 2 3 6" xfId="10657"/>
    <cellStyle name="Note 2 3 7" xfId="18612"/>
    <cellStyle name="Note 2 3_Exh G" xfId="3620"/>
    <cellStyle name="Note 2 4" xfId="1030"/>
    <cellStyle name="Note 2 4 2" xfId="1930"/>
    <cellStyle name="Note 2 4 2 2" xfId="5448"/>
    <cellStyle name="Note 2 4 2 2 2" xfId="9039"/>
    <cellStyle name="Note 2 4 2 2 2 2" xfId="17010"/>
    <cellStyle name="Note 2 4 2 2 2 3" xfId="24956"/>
    <cellStyle name="Note 2 4 2 2 3" xfId="13472"/>
    <cellStyle name="Note 2 4 2 2 4" xfId="21427"/>
    <cellStyle name="Note 2 4 2 3" xfId="7280"/>
    <cellStyle name="Note 2 4 2 3 2" xfId="15252"/>
    <cellStyle name="Note 2 4 2 3 3" xfId="23199"/>
    <cellStyle name="Note 2 4 2 4" xfId="11716"/>
    <cellStyle name="Note 2 4 2 5" xfId="19671"/>
    <cellStyle name="Note 2 4 2_Exh G" xfId="3623"/>
    <cellStyle name="Note 2 4 3" xfId="4569"/>
    <cellStyle name="Note 2 4 3 2" xfId="8161"/>
    <cellStyle name="Note 2 4 3 2 2" xfId="16132"/>
    <cellStyle name="Note 2 4 3 2 3" xfId="24078"/>
    <cellStyle name="Note 2 4 3 3" xfId="12594"/>
    <cellStyle name="Note 2 4 3 4" xfId="20549"/>
    <cellStyle name="Note 2 4 4" xfId="6400"/>
    <cellStyle name="Note 2 4 4 2" xfId="14374"/>
    <cellStyle name="Note 2 4 4 3" xfId="22321"/>
    <cellStyle name="Note 2 4 5" xfId="9942"/>
    <cellStyle name="Note 2 4 5 2" xfId="17900"/>
    <cellStyle name="Note 2 4 5 3" xfId="25844"/>
    <cellStyle name="Note 2 4 6" xfId="10838"/>
    <cellStyle name="Note 2 4 7" xfId="18793"/>
    <cellStyle name="Note 2 4_Exh G" xfId="3622"/>
    <cellStyle name="Note 2 5" xfId="1052"/>
    <cellStyle name="Note 2 5 2" xfId="4582"/>
    <cellStyle name="Note 2 5 2 2" xfId="8173"/>
    <cellStyle name="Note 2 5 2 2 2" xfId="16144"/>
    <cellStyle name="Note 2 5 2 2 3" xfId="24090"/>
    <cellStyle name="Note 2 5 2 3" xfId="12606"/>
    <cellStyle name="Note 2 5 2 4" xfId="20561"/>
    <cellStyle name="Note 2 5 3" xfId="6414"/>
    <cellStyle name="Note 2 5 3 2" xfId="14386"/>
    <cellStyle name="Note 2 5 3 3" xfId="22333"/>
    <cellStyle name="Note 2 5 4" xfId="10850"/>
    <cellStyle name="Note 2 5 5" xfId="18805"/>
    <cellStyle name="Note 2 5_Exh G" xfId="3624"/>
    <cellStyle name="Note 2 6" xfId="3703"/>
    <cellStyle name="Note 2 6 2" xfId="7295"/>
    <cellStyle name="Note 2 6 2 2" xfId="15266"/>
    <cellStyle name="Note 2 6 2 3" xfId="23212"/>
    <cellStyle name="Note 2 6 3" xfId="11728"/>
    <cellStyle name="Note 2 6 4" xfId="19683"/>
    <cellStyle name="Note 2 7" xfId="5523"/>
    <cellStyle name="Note 2 7 2" xfId="13507"/>
    <cellStyle name="Note 2 7 3" xfId="21455"/>
    <cellStyle name="Note 2 8" xfId="9076"/>
    <cellStyle name="Note 2 8 2" xfId="17034"/>
    <cellStyle name="Note 2 8 3" xfId="24978"/>
    <cellStyle name="Note 2 9" xfId="9972"/>
    <cellStyle name="Note 2_Exh G" xfId="3613"/>
    <cellStyle name="Note 3" xfId="710"/>
    <cellStyle name="Note 3 10" xfId="18613"/>
    <cellStyle name="Note 3 2" xfId="711"/>
    <cellStyle name="Note 3 2 2" xfId="712"/>
    <cellStyle name="Note 3 2 2 2" xfId="1740"/>
    <cellStyle name="Note 3 2 2 2 2" xfId="5270"/>
    <cellStyle name="Note 3 2 2 2 2 2" xfId="8861"/>
    <cellStyle name="Note 3 2 2 2 2 2 2" xfId="16832"/>
    <cellStyle name="Note 3 2 2 2 2 2 3" xfId="24778"/>
    <cellStyle name="Note 3 2 2 2 2 3" xfId="13294"/>
    <cellStyle name="Note 3 2 2 2 2 4" xfId="21249"/>
    <cellStyle name="Note 3 2 2 2 3" xfId="7102"/>
    <cellStyle name="Note 3 2 2 2 3 2" xfId="15074"/>
    <cellStyle name="Note 3 2 2 2 3 3" xfId="23021"/>
    <cellStyle name="Note 3 2 2 2 4" xfId="11538"/>
    <cellStyle name="Note 3 2 2 2 5" xfId="19493"/>
    <cellStyle name="Note 3 2 2 2_Exh G" xfId="3628"/>
    <cellStyle name="Note 3 2 2 3" xfId="4391"/>
    <cellStyle name="Note 3 2 2 3 2" xfId="7983"/>
    <cellStyle name="Note 3 2 2 3 2 2" xfId="15954"/>
    <cellStyle name="Note 3 2 2 3 2 3" xfId="23900"/>
    <cellStyle name="Note 3 2 2 3 3" xfId="12416"/>
    <cellStyle name="Note 3 2 2 3 4" xfId="20371"/>
    <cellStyle name="Note 3 2 2 4" xfId="6211"/>
    <cellStyle name="Note 3 2 2 4 2" xfId="14195"/>
    <cellStyle name="Note 3 2 2 4 3" xfId="22143"/>
    <cellStyle name="Note 3 2 2 5" xfId="9764"/>
    <cellStyle name="Note 3 2 2 5 2" xfId="17722"/>
    <cellStyle name="Note 3 2 2 5 3" xfId="25666"/>
    <cellStyle name="Note 3 2 2 6" xfId="10660"/>
    <cellStyle name="Note 3 2 2 7" xfId="18615"/>
    <cellStyle name="Note 3 2 2_Exh G" xfId="3627"/>
    <cellStyle name="Note 3 2 3" xfId="1033"/>
    <cellStyle name="Note 3 2 3 2" xfId="1933"/>
    <cellStyle name="Note 3 2 3 2 2" xfId="5451"/>
    <cellStyle name="Note 3 2 3 2 2 2" xfId="9042"/>
    <cellStyle name="Note 3 2 3 2 2 2 2" xfId="17013"/>
    <cellStyle name="Note 3 2 3 2 2 2 3" xfId="24959"/>
    <cellStyle name="Note 3 2 3 2 2 3" xfId="13475"/>
    <cellStyle name="Note 3 2 3 2 2 4" xfId="21430"/>
    <cellStyle name="Note 3 2 3 2 3" xfId="7283"/>
    <cellStyle name="Note 3 2 3 2 3 2" xfId="15255"/>
    <cellStyle name="Note 3 2 3 2 3 3" xfId="23202"/>
    <cellStyle name="Note 3 2 3 2 4" xfId="11719"/>
    <cellStyle name="Note 3 2 3 2 5" xfId="19674"/>
    <cellStyle name="Note 3 2 3 2_Exh G" xfId="3630"/>
    <cellStyle name="Note 3 2 3 3" xfId="4572"/>
    <cellStyle name="Note 3 2 3 3 2" xfId="8164"/>
    <cellStyle name="Note 3 2 3 3 2 2" xfId="16135"/>
    <cellStyle name="Note 3 2 3 3 2 3" xfId="24081"/>
    <cellStyle name="Note 3 2 3 3 3" xfId="12597"/>
    <cellStyle name="Note 3 2 3 3 4" xfId="20552"/>
    <cellStyle name="Note 3 2 3 4" xfId="6403"/>
    <cellStyle name="Note 3 2 3 4 2" xfId="14377"/>
    <cellStyle name="Note 3 2 3 4 3" xfId="22324"/>
    <cellStyle name="Note 3 2 3 5" xfId="9945"/>
    <cellStyle name="Note 3 2 3 5 2" xfId="17903"/>
    <cellStyle name="Note 3 2 3 5 3" xfId="25847"/>
    <cellStyle name="Note 3 2 3 6" xfId="10841"/>
    <cellStyle name="Note 3 2 3 7" xfId="18796"/>
    <cellStyle name="Note 3 2 3_Exh G" xfId="3629"/>
    <cellStyle name="Note 3 2 4" xfId="1739"/>
    <cellStyle name="Note 3 2 4 2" xfId="5269"/>
    <cellStyle name="Note 3 2 4 2 2" xfId="8860"/>
    <cellStyle name="Note 3 2 4 2 2 2" xfId="16831"/>
    <cellStyle name="Note 3 2 4 2 2 3" xfId="24777"/>
    <cellStyle name="Note 3 2 4 2 3" xfId="13293"/>
    <cellStyle name="Note 3 2 4 2 4" xfId="21248"/>
    <cellStyle name="Note 3 2 4 3" xfId="7101"/>
    <cellStyle name="Note 3 2 4 3 2" xfId="15073"/>
    <cellStyle name="Note 3 2 4 3 3" xfId="23020"/>
    <cellStyle name="Note 3 2 4 4" xfId="11537"/>
    <cellStyle name="Note 3 2 4 5" xfId="19492"/>
    <cellStyle name="Note 3 2 4_Exh G" xfId="3631"/>
    <cellStyle name="Note 3 2 5" xfId="4390"/>
    <cellStyle name="Note 3 2 5 2" xfId="7982"/>
    <cellStyle name="Note 3 2 5 2 2" xfId="15953"/>
    <cellStyle name="Note 3 2 5 2 3" xfId="23899"/>
    <cellStyle name="Note 3 2 5 3" xfId="12415"/>
    <cellStyle name="Note 3 2 5 4" xfId="20370"/>
    <cellStyle name="Note 3 2 6" xfId="6210"/>
    <cellStyle name="Note 3 2 6 2" xfId="14194"/>
    <cellStyle name="Note 3 2 6 3" xfId="22142"/>
    <cellStyle name="Note 3 2 7" xfId="9763"/>
    <cellStyle name="Note 3 2 7 2" xfId="17721"/>
    <cellStyle name="Note 3 2 7 3" xfId="25665"/>
    <cellStyle name="Note 3 2 8" xfId="10659"/>
    <cellStyle name="Note 3 2 9" xfId="18614"/>
    <cellStyle name="Note 3 2_Exh G" xfId="3626"/>
    <cellStyle name="Note 3 3" xfId="713"/>
    <cellStyle name="Note 3 3 2" xfId="1741"/>
    <cellStyle name="Note 3 3 2 2" xfId="5271"/>
    <cellStyle name="Note 3 3 2 2 2" xfId="8862"/>
    <cellStyle name="Note 3 3 2 2 2 2" xfId="16833"/>
    <cellStyle name="Note 3 3 2 2 2 3" xfId="24779"/>
    <cellStyle name="Note 3 3 2 2 3" xfId="13295"/>
    <cellStyle name="Note 3 3 2 2 4" xfId="21250"/>
    <cellStyle name="Note 3 3 2 3" xfId="7103"/>
    <cellStyle name="Note 3 3 2 3 2" xfId="15075"/>
    <cellStyle name="Note 3 3 2 3 3" xfId="23022"/>
    <cellStyle name="Note 3 3 2 4" xfId="11539"/>
    <cellStyle name="Note 3 3 2 5" xfId="19494"/>
    <cellStyle name="Note 3 3 2_Exh G" xfId="3633"/>
    <cellStyle name="Note 3 3 3" xfId="4392"/>
    <cellStyle name="Note 3 3 3 2" xfId="7984"/>
    <cellStyle name="Note 3 3 3 2 2" xfId="15955"/>
    <cellStyle name="Note 3 3 3 2 3" xfId="23901"/>
    <cellStyle name="Note 3 3 3 3" xfId="12417"/>
    <cellStyle name="Note 3 3 3 4" xfId="20372"/>
    <cellStyle name="Note 3 3 4" xfId="6212"/>
    <cellStyle name="Note 3 3 4 2" xfId="14196"/>
    <cellStyle name="Note 3 3 4 3" xfId="22144"/>
    <cellStyle name="Note 3 3 5" xfId="9765"/>
    <cellStyle name="Note 3 3 5 2" xfId="17723"/>
    <cellStyle name="Note 3 3 5 3" xfId="25667"/>
    <cellStyle name="Note 3 3 6" xfId="10661"/>
    <cellStyle name="Note 3 3 7" xfId="18616"/>
    <cellStyle name="Note 3 3_Exh G" xfId="3632"/>
    <cellStyle name="Note 3 4" xfId="1032"/>
    <cellStyle name="Note 3 4 2" xfId="1932"/>
    <cellStyle name="Note 3 4 2 2" xfId="5450"/>
    <cellStyle name="Note 3 4 2 2 2" xfId="9041"/>
    <cellStyle name="Note 3 4 2 2 2 2" xfId="17012"/>
    <cellStyle name="Note 3 4 2 2 2 3" xfId="24958"/>
    <cellStyle name="Note 3 4 2 2 3" xfId="13474"/>
    <cellStyle name="Note 3 4 2 2 4" xfId="21429"/>
    <cellStyle name="Note 3 4 2 3" xfId="7282"/>
    <cellStyle name="Note 3 4 2 3 2" xfId="15254"/>
    <cellStyle name="Note 3 4 2 3 3" xfId="23201"/>
    <cellStyle name="Note 3 4 2 4" xfId="11718"/>
    <cellStyle name="Note 3 4 2 5" xfId="19673"/>
    <cellStyle name="Note 3 4 2_Exh G" xfId="3635"/>
    <cellStyle name="Note 3 4 3" xfId="4571"/>
    <cellStyle name="Note 3 4 3 2" xfId="8163"/>
    <cellStyle name="Note 3 4 3 2 2" xfId="16134"/>
    <cellStyle name="Note 3 4 3 2 3" xfId="24080"/>
    <cellStyle name="Note 3 4 3 3" xfId="12596"/>
    <cellStyle name="Note 3 4 3 4" xfId="20551"/>
    <cellStyle name="Note 3 4 4" xfId="6402"/>
    <cellStyle name="Note 3 4 4 2" xfId="14376"/>
    <cellStyle name="Note 3 4 4 3" xfId="22323"/>
    <cellStyle name="Note 3 4 5" xfId="9944"/>
    <cellStyle name="Note 3 4 5 2" xfId="17902"/>
    <cellStyle name="Note 3 4 5 3" xfId="25846"/>
    <cellStyle name="Note 3 4 6" xfId="10840"/>
    <cellStyle name="Note 3 4 7" xfId="18795"/>
    <cellStyle name="Note 3 4_Exh G" xfId="3634"/>
    <cellStyle name="Note 3 5" xfId="1738"/>
    <cellStyle name="Note 3 5 2" xfId="5268"/>
    <cellStyle name="Note 3 5 2 2" xfId="8859"/>
    <cellStyle name="Note 3 5 2 2 2" xfId="16830"/>
    <cellStyle name="Note 3 5 2 2 3" xfId="24776"/>
    <cellStyle name="Note 3 5 2 3" xfId="13292"/>
    <cellStyle name="Note 3 5 2 4" xfId="21247"/>
    <cellStyle name="Note 3 5 3" xfId="7100"/>
    <cellStyle name="Note 3 5 3 2" xfId="15072"/>
    <cellStyle name="Note 3 5 3 3" xfId="23019"/>
    <cellStyle name="Note 3 5 4" xfId="11536"/>
    <cellStyle name="Note 3 5 5" xfId="19491"/>
    <cellStyle name="Note 3 5_Exh G" xfId="3636"/>
    <cellStyle name="Note 3 6" xfId="4389"/>
    <cellStyle name="Note 3 6 2" xfId="7981"/>
    <cellStyle name="Note 3 6 2 2" xfId="15952"/>
    <cellStyle name="Note 3 6 2 3" xfId="23898"/>
    <cellStyle name="Note 3 6 3" xfId="12414"/>
    <cellStyle name="Note 3 6 4" xfId="20369"/>
    <cellStyle name="Note 3 7" xfId="6209"/>
    <cellStyle name="Note 3 7 2" xfId="14193"/>
    <cellStyle name="Note 3 7 3" xfId="22141"/>
    <cellStyle name="Note 3 8" xfId="9762"/>
    <cellStyle name="Note 3 8 2" xfId="17720"/>
    <cellStyle name="Note 3 8 3" xfId="25664"/>
    <cellStyle name="Note 3 9" xfId="10658"/>
    <cellStyle name="Note 3_Exh G" xfId="3625"/>
    <cellStyle name="Note 4" xfId="714"/>
    <cellStyle name="Note 4 10" xfId="18617"/>
    <cellStyle name="Note 4 2" xfId="715"/>
    <cellStyle name="Note 4 2 2" xfId="716"/>
    <cellStyle name="Note 4 2 2 2" xfId="1744"/>
    <cellStyle name="Note 4 2 2 2 2" xfId="5274"/>
    <cellStyle name="Note 4 2 2 2 2 2" xfId="8865"/>
    <cellStyle name="Note 4 2 2 2 2 2 2" xfId="16836"/>
    <cellStyle name="Note 4 2 2 2 2 2 3" xfId="24782"/>
    <cellStyle name="Note 4 2 2 2 2 3" xfId="13298"/>
    <cellStyle name="Note 4 2 2 2 2 4" xfId="21253"/>
    <cellStyle name="Note 4 2 2 2 3" xfId="7106"/>
    <cellStyle name="Note 4 2 2 2 3 2" xfId="15078"/>
    <cellStyle name="Note 4 2 2 2 3 3" xfId="23025"/>
    <cellStyle name="Note 4 2 2 2 4" xfId="11542"/>
    <cellStyle name="Note 4 2 2 2 5" xfId="19497"/>
    <cellStyle name="Note 4 2 2 2_Exh G" xfId="3640"/>
    <cellStyle name="Note 4 2 2 3" xfId="4395"/>
    <cellStyle name="Note 4 2 2 3 2" xfId="7987"/>
    <cellStyle name="Note 4 2 2 3 2 2" xfId="15958"/>
    <cellStyle name="Note 4 2 2 3 2 3" xfId="23904"/>
    <cellStyle name="Note 4 2 2 3 3" xfId="12420"/>
    <cellStyle name="Note 4 2 2 3 4" xfId="20375"/>
    <cellStyle name="Note 4 2 2 4" xfId="6215"/>
    <cellStyle name="Note 4 2 2 4 2" xfId="14199"/>
    <cellStyle name="Note 4 2 2 4 3" xfId="22147"/>
    <cellStyle name="Note 4 2 2 5" xfId="9768"/>
    <cellStyle name="Note 4 2 2 5 2" xfId="17726"/>
    <cellStyle name="Note 4 2 2 5 3" xfId="25670"/>
    <cellStyle name="Note 4 2 2 6" xfId="10664"/>
    <cellStyle name="Note 4 2 2 7" xfId="18619"/>
    <cellStyle name="Note 4 2 2_Exh G" xfId="3639"/>
    <cellStyle name="Note 4 2 3" xfId="1035"/>
    <cellStyle name="Note 4 2 3 2" xfId="1935"/>
    <cellStyle name="Note 4 2 3 2 2" xfId="5453"/>
    <cellStyle name="Note 4 2 3 2 2 2" xfId="9044"/>
    <cellStyle name="Note 4 2 3 2 2 2 2" xfId="17015"/>
    <cellStyle name="Note 4 2 3 2 2 2 3" xfId="24961"/>
    <cellStyle name="Note 4 2 3 2 2 3" xfId="13477"/>
    <cellStyle name="Note 4 2 3 2 2 4" xfId="21432"/>
    <cellStyle name="Note 4 2 3 2 3" xfId="7285"/>
    <cellStyle name="Note 4 2 3 2 3 2" xfId="15257"/>
    <cellStyle name="Note 4 2 3 2 3 3" xfId="23204"/>
    <cellStyle name="Note 4 2 3 2 4" xfId="11721"/>
    <cellStyle name="Note 4 2 3 2 5" xfId="19676"/>
    <cellStyle name="Note 4 2 3 2_Exh G" xfId="3642"/>
    <cellStyle name="Note 4 2 3 3" xfId="4574"/>
    <cellStyle name="Note 4 2 3 3 2" xfId="8166"/>
    <cellStyle name="Note 4 2 3 3 2 2" xfId="16137"/>
    <cellStyle name="Note 4 2 3 3 2 3" xfId="24083"/>
    <cellStyle name="Note 4 2 3 3 3" xfId="12599"/>
    <cellStyle name="Note 4 2 3 3 4" xfId="20554"/>
    <cellStyle name="Note 4 2 3 4" xfId="6405"/>
    <cellStyle name="Note 4 2 3 4 2" xfId="14379"/>
    <cellStyle name="Note 4 2 3 4 3" xfId="22326"/>
    <cellStyle name="Note 4 2 3 5" xfId="9947"/>
    <cellStyle name="Note 4 2 3 5 2" xfId="17905"/>
    <cellStyle name="Note 4 2 3 5 3" xfId="25849"/>
    <cellStyle name="Note 4 2 3 6" xfId="10843"/>
    <cellStyle name="Note 4 2 3 7" xfId="18798"/>
    <cellStyle name="Note 4 2 3_Exh G" xfId="3641"/>
    <cellStyle name="Note 4 2 4" xfId="1743"/>
    <cellStyle name="Note 4 2 4 2" xfId="5273"/>
    <cellStyle name="Note 4 2 4 2 2" xfId="8864"/>
    <cellStyle name="Note 4 2 4 2 2 2" xfId="16835"/>
    <cellStyle name="Note 4 2 4 2 2 3" xfId="24781"/>
    <cellStyle name="Note 4 2 4 2 3" xfId="13297"/>
    <cellStyle name="Note 4 2 4 2 4" xfId="21252"/>
    <cellStyle name="Note 4 2 4 3" xfId="7105"/>
    <cellStyle name="Note 4 2 4 3 2" xfId="15077"/>
    <cellStyle name="Note 4 2 4 3 3" xfId="23024"/>
    <cellStyle name="Note 4 2 4 4" xfId="11541"/>
    <cellStyle name="Note 4 2 4 5" xfId="19496"/>
    <cellStyle name="Note 4 2 4_Exh G" xfId="3643"/>
    <cellStyle name="Note 4 2 5" xfId="4394"/>
    <cellStyle name="Note 4 2 5 2" xfId="7986"/>
    <cellStyle name="Note 4 2 5 2 2" xfId="15957"/>
    <cellStyle name="Note 4 2 5 2 3" xfId="23903"/>
    <cellStyle name="Note 4 2 5 3" xfId="12419"/>
    <cellStyle name="Note 4 2 5 4" xfId="20374"/>
    <cellStyle name="Note 4 2 6" xfId="6214"/>
    <cellStyle name="Note 4 2 6 2" xfId="14198"/>
    <cellStyle name="Note 4 2 6 3" xfId="22146"/>
    <cellStyle name="Note 4 2 7" xfId="9767"/>
    <cellStyle name="Note 4 2 7 2" xfId="17725"/>
    <cellStyle name="Note 4 2 7 3" xfId="25669"/>
    <cellStyle name="Note 4 2 8" xfId="10663"/>
    <cellStyle name="Note 4 2 9" xfId="18618"/>
    <cellStyle name="Note 4 2_Exh G" xfId="3638"/>
    <cellStyle name="Note 4 3" xfId="717"/>
    <cellStyle name="Note 4 3 2" xfId="1745"/>
    <cellStyle name="Note 4 3 2 2" xfId="5275"/>
    <cellStyle name="Note 4 3 2 2 2" xfId="8866"/>
    <cellStyle name="Note 4 3 2 2 2 2" xfId="16837"/>
    <cellStyle name="Note 4 3 2 2 2 3" xfId="24783"/>
    <cellStyle name="Note 4 3 2 2 3" xfId="13299"/>
    <cellStyle name="Note 4 3 2 2 4" xfId="21254"/>
    <cellStyle name="Note 4 3 2 3" xfId="7107"/>
    <cellStyle name="Note 4 3 2 3 2" xfId="15079"/>
    <cellStyle name="Note 4 3 2 3 3" xfId="23026"/>
    <cellStyle name="Note 4 3 2 4" xfId="11543"/>
    <cellStyle name="Note 4 3 2 5" xfId="19498"/>
    <cellStyle name="Note 4 3 2_Exh G" xfId="3645"/>
    <cellStyle name="Note 4 3 3" xfId="4396"/>
    <cellStyle name="Note 4 3 3 2" xfId="7988"/>
    <cellStyle name="Note 4 3 3 2 2" xfId="15959"/>
    <cellStyle name="Note 4 3 3 2 3" xfId="23905"/>
    <cellStyle name="Note 4 3 3 3" xfId="12421"/>
    <cellStyle name="Note 4 3 3 4" xfId="20376"/>
    <cellStyle name="Note 4 3 4" xfId="6216"/>
    <cellStyle name="Note 4 3 4 2" xfId="14200"/>
    <cellStyle name="Note 4 3 4 3" xfId="22148"/>
    <cellStyle name="Note 4 3 5" xfId="9769"/>
    <cellStyle name="Note 4 3 5 2" xfId="17727"/>
    <cellStyle name="Note 4 3 5 3" xfId="25671"/>
    <cellStyle name="Note 4 3 6" xfId="10665"/>
    <cellStyle name="Note 4 3 7" xfId="18620"/>
    <cellStyle name="Note 4 3_Exh G" xfId="3644"/>
    <cellStyle name="Note 4 4" xfId="1034"/>
    <cellStyle name="Note 4 4 2" xfId="1934"/>
    <cellStyle name="Note 4 4 2 2" xfId="5452"/>
    <cellStyle name="Note 4 4 2 2 2" xfId="9043"/>
    <cellStyle name="Note 4 4 2 2 2 2" xfId="17014"/>
    <cellStyle name="Note 4 4 2 2 2 3" xfId="24960"/>
    <cellStyle name="Note 4 4 2 2 3" xfId="13476"/>
    <cellStyle name="Note 4 4 2 2 4" xfId="21431"/>
    <cellStyle name="Note 4 4 2 3" xfId="7284"/>
    <cellStyle name="Note 4 4 2 3 2" xfId="15256"/>
    <cellStyle name="Note 4 4 2 3 3" xfId="23203"/>
    <cellStyle name="Note 4 4 2 4" xfId="11720"/>
    <cellStyle name="Note 4 4 2 5" xfId="19675"/>
    <cellStyle name="Note 4 4 2_Exh G" xfId="3647"/>
    <cellStyle name="Note 4 4 3" xfId="4573"/>
    <cellStyle name="Note 4 4 3 2" xfId="8165"/>
    <cellStyle name="Note 4 4 3 2 2" xfId="16136"/>
    <cellStyle name="Note 4 4 3 2 3" xfId="24082"/>
    <cellStyle name="Note 4 4 3 3" xfId="12598"/>
    <cellStyle name="Note 4 4 3 4" xfId="20553"/>
    <cellStyle name="Note 4 4 4" xfId="6404"/>
    <cellStyle name="Note 4 4 4 2" xfId="14378"/>
    <cellStyle name="Note 4 4 4 3" xfId="22325"/>
    <cellStyle name="Note 4 4 5" xfId="9946"/>
    <cellStyle name="Note 4 4 5 2" xfId="17904"/>
    <cellStyle name="Note 4 4 5 3" xfId="25848"/>
    <cellStyle name="Note 4 4 6" xfId="10842"/>
    <cellStyle name="Note 4 4 7" xfId="18797"/>
    <cellStyle name="Note 4 4_Exh G" xfId="3646"/>
    <cellStyle name="Note 4 5" xfId="1742"/>
    <cellStyle name="Note 4 5 2" xfId="5272"/>
    <cellStyle name="Note 4 5 2 2" xfId="8863"/>
    <cellStyle name="Note 4 5 2 2 2" xfId="16834"/>
    <cellStyle name="Note 4 5 2 2 3" xfId="24780"/>
    <cellStyle name="Note 4 5 2 3" xfId="13296"/>
    <cellStyle name="Note 4 5 2 4" xfId="21251"/>
    <cellStyle name="Note 4 5 3" xfId="7104"/>
    <cellStyle name="Note 4 5 3 2" xfId="15076"/>
    <cellStyle name="Note 4 5 3 3" xfId="23023"/>
    <cellStyle name="Note 4 5 4" xfId="11540"/>
    <cellStyle name="Note 4 5 5" xfId="19495"/>
    <cellStyle name="Note 4 5_Exh G" xfId="3648"/>
    <cellStyle name="Note 4 6" xfId="4393"/>
    <cellStyle name="Note 4 6 2" xfId="7985"/>
    <cellStyle name="Note 4 6 2 2" xfId="15956"/>
    <cellStyle name="Note 4 6 2 3" xfId="23902"/>
    <cellStyle name="Note 4 6 3" xfId="12418"/>
    <cellStyle name="Note 4 6 4" xfId="20373"/>
    <cellStyle name="Note 4 7" xfId="6213"/>
    <cellStyle name="Note 4 7 2" xfId="14197"/>
    <cellStyle name="Note 4 7 3" xfId="22145"/>
    <cellStyle name="Note 4 8" xfId="9766"/>
    <cellStyle name="Note 4 8 2" xfId="17724"/>
    <cellStyle name="Note 4 8 3" xfId="25668"/>
    <cellStyle name="Note 4 9" xfId="10662"/>
    <cellStyle name="Note 4_Exh G" xfId="3637"/>
    <cellStyle name="Note 5" xfId="718"/>
    <cellStyle name="Note 5 10" xfId="18621"/>
    <cellStyle name="Note 5 2" xfId="719"/>
    <cellStyle name="Note 5 2 2" xfId="720"/>
    <cellStyle name="Note 5 2 2 2" xfId="1748"/>
    <cellStyle name="Note 5 2 2 2 2" xfId="5278"/>
    <cellStyle name="Note 5 2 2 2 2 2" xfId="8869"/>
    <cellStyle name="Note 5 2 2 2 2 2 2" xfId="16840"/>
    <cellStyle name="Note 5 2 2 2 2 2 3" xfId="24786"/>
    <cellStyle name="Note 5 2 2 2 2 3" xfId="13302"/>
    <cellStyle name="Note 5 2 2 2 2 4" xfId="21257"/>
    <cellStyle name="Note 5 2 2 2 3" xfId="7110"/>
    <cellStyle name="Note 5 2 2 2 3 2" xfId="15082"/>
    <cellStyle name="Note 5 2 2 2 3 3" xfId="23029"/>
    <cellStyle name="Note 5 2 2 2 4" xfId="11546"/>
    <cellStyle name="Note 5 2 2 2 5" xfId="19501"/>
    <cellStyle name="Note 5 2 2 2_Exh G" xfId="3652"/>
    <cellStyle name="Note 5 2 2 3" xfId="4399"/>
    <cellStyle name="Note 5 2 2 3 2" xfId="7991"/>
    <cellStyle name="Note 5 2 2 3 2 2" xfId="15962"/>
    <cellStyle name="Note 5 2 2 3 2 3" xfId="23908"/>
    <cellStyle name="Note 5 2 2 3 3" xfId="12424"/>
    <cellStyle name="Note 5 2 2 3 4" xfId="20379"/>
    <cellStyle name="Note 5 2 2 4" xfId="6219"/>
    <cellStyle name="Note 5 2 2 4 2" xfId="14203"/>
    <cellStyle name="Note 5 2 2 4 3" xfId="22151"/>
    <cellStyle name="Note 5 2 2 5" xfId="9772"/>
    <cellStyle name="Note 5 2 2 5 2" xfId="17730"/>
    <cellStyle name="Note 5 2 2 5 3" xfId="25674"/>
    <cellStyle name="Note 5 2 2 6" xfId="10668"/>
    <cellStyle name="Note 5 2 2 7" xfId="18623"/>
    <cellStyle name="Note 5 2 2_Exh G" xfId="3651"/>
    <cellStyle name="Note 5 2 3" xfId="1747"/>
    <cellStyle name="Note 5 2 3 2" xfId="5277"/>
    <cellStyle name="Note 5 2 3 2 2" xfId="8868"/>
    <cellStyle name="Note 5 2 3 2 2 2" xfId="16839"/>
    <cellStyle name="Note 5 2 3 2 2 3" xfId="24785"/>
    <cellStyle name="Note 5 2 3 2 3" xfId="13301"/>
    <cellStyle name="Note 5 2 3 2 4" xfId="21256"/>
    <cellStyle name="Note 5 2 3 3" xfId="7109"/>
    <cellStyle name="Note 5 2 3 3 2" xfId="15081"/>
    <cellStyle name="Note 5 2 3 3 3" xfId="23028"/>
    <cellStyle name="Note 5 2 3 4" xfId="11545"/>
    <cellStyle name="Note 5 2 3 5" xfId="19500"/>
    <cellStyle name="Note 5 2 3_Exh G" xfId="3653"/>
    <cellStyle name="Note 5 2 4" xfId="4398"/>
    <cellStyle name="Note 5 2 4 2" xfId="7990"/>
    <cellStyle name="Note 5 2 4 2 2" xfId="15961"/>
    <cellStyle name="Note 5 2 4 2 3" xfId="23907"/>
    <cellStyle name="Note 5 2 4 3" xfId="12423"/>
    <cellStyle name="Note 5 2 4 4" xfId="20378"/>
    <cellStyle name="Note 5 2 5" xfId="6218"/>
    <cellStyle name="Note 5 2 5 2" xfId="14202"/>
    <cellStyle name="Note 5 2 5 3" xfId="22150"/>
    <cellStyle name="Note 5 2 6" xfId="9771"/>
    <cellStyle name="Note 5 2 6 2" xfId="17729"/>
    <cellStyle name="Note 5 2 6 3" xfId="25673"/>
    <cellStyle name="Note 5 2 7" xfId="10667"/>
    <cellStyle name="Note 5 2 8" xfId="18622"/>
    <cellStyle name="Note 5 2_Exh G" xfId="3650"/>
    <cellStyle name="Note 5 3" xfId="721"/>
    <cellStyle name="Note 5 3 2" xfId="1749"/>
    <cellStyle name="Note 5 3 2 2" xfId="5279"/>
    <cellStyle name="Note 5 3 2 2 2" xfId="8870"/>
    <cellStyle name="Note 5 3 2 2 2 2" xfId="16841"/>
    <cellStyle name="Note 5 3 2 2 2 3" xfId="24787"/>
    <cellStyle name="Note 5 3 2 2 3" xfId="13303"/>
    <cellStyle name="Note 5 3 2 2 4" xfId="21258"/>
    <cellStyle name="Note 5 3 2 3" xfId="7111"/>
    <cellStyle name="Note 5 3 2 3 2" xfId="15083"/>
    <cellStyle name="Note 5 3 2 3 3" xfId="23030"/>
    <cellStyle name="Note 5 3 2 4" xfId="11547"/>
    <cellStyle name="Note 5 3 2 5" xfId="19502"/>
    <cellStyle name="Note 5 3 2_Exh G" xfId="3655"/>
    <cellStyle name="Note 5 3 3" xfId="4400"/>
    <cellStyle name="Note 5 3 3 2" xfId="7992"/>
    <cellStyle name="Note 5 3 3 2 2" xfId="15963"/>
    <cellStyle name="Note 5 3 3 2 3" xfId="23909"/>
    <cellStyle name="Note 5 3 3 3" xfId="12425"/>
    <cellStyle name="Note 5 3 3 4" xfId="20380"/>
    <cellStyle name="Note 5 3 4" xfId="6220"/>
    <cellStyle name="Note 5 3 4 2" xfId="14204"/>
    <cellStyle name="Note 5 3 4 3" xfId="22152"/>
    <cellStyle name="Note 5 3 5" xfId="9773"/>
    <cellStyle name="Note 5 3 5 2" xfId="17731"/>
    <cellStyle name="Note 5 3 5 3" xfId="25675"/>
    <cellStyle name="Note 5 3 6" xfId="10669"/>
    <cellStyle name="Note 5 3 7" xfId="18624"/>
    <cellStyle name="Note 5 3_Exh G" xfId="3654"/>
    <cellStyle name="Note 5 4" xfId="1036"/>
    <cellStyle name="Note 5 4 2" xfId="6406"/>
    <cellStyle name="Note 5 5" xfId="1746"/>
    <cellStyle name="Note 5 5 2" xfId="5276"/>
    <cellStyle name="Note 5 5 2 2" xfId="8867"/>
    <cellStyle name="Note 5 5 2 2 2" xfId="16838"/>
    <cellStyle name="Note 5 5 2 2 3" xfId="24784"/>
    <cellStyle name="Note 5 5 2 3" xfId="13300"/>
    <cellStyle name="Note 5 5 2 4" xfId="21255"/>
    <cellStyle name="Note 5 5 3" xfId="7108"/>
    <cellStyle name="Note 5 5 3 2" xfId="15080"/>
    <cellStyle name="Note 5 5 3 3" xfId="23027"/>
    <cellStyle name="Note 5 5 4" xfId="11544"/>
    <cellStyle name="Note 5 5 5" xfId="19499"/>
    <cellStyle name="Note 5 5_Exh G" xfId="3656"/>
    <cellStyle name="Note 5 6" xfId="4397"/>
    <cellStyle name="Note 5 6 2" xfId="7989"/>
    <cellStyle name="Note 5 6 2 2" xfId="15960"/>
    <cellStyle name="Note 5 6 2 3" xfId="23906"/>
    <cellStyle name="Note 5 6 3" xfId="12422"/>
    <cellStyle name="Note 5 6 4" xfId="20377"/>
    <cellStyle name="Note 5 7" xfId="6217"/>
    <cellStyle name="Note 5 7 2" xfId="14201"/>
    <cellStyle name="Note 5 7 3" xfId="22149"/>
    <cellStyle name="Note 5 8" xfId="9770"/>
    <cellStyle name="Note 5 8 2" xfId="17728"/>
    <cellStyle name="Note 5 8 3" xfId="25672"/>
    <cellStyle name="Note 5 9" xfId="10666"/>
    <cellStyle name="Note 5_Exh G" xfId="3649"/>
    <cellStyle name="Note 6" xfId="722"/>
    <cellStyle name="Note 6 10" xfId="18625"/>
    <cellStyle name="Note 6 2" xfId="723"/>
    <cellStyle name="Note 6 2 2" xfId="724"/>
    <cellStyle name="Note 6 2 2 2" xfId="1752"/>
    <cellStyle name="Note 6 2 2 2 2" xfId="5282"/>
    <cellStyle name="Note 6 2 2 2 2 2" xfId="8873"/>
    <cellStyle name="Note 6 2 2 2 2 2 2" xfId="16844"/>
    <cellStyle name="Note 6 2 2 2 2 2 3" xfId="24790"/>
    <cellStyle name="Note 6 2 2 2 2 3" xfId="13306"/>
    <cellStyle name="Note 6 2 2 2 2 4" xfId="21261"/>
    <cellStyle name="Note 6 2 2 2 3" xfId="7114"/>
    <cellStyle name="Note 6 2 2 2 3 2" xfId="15086"/>
    <cellStyle name="Note 6 2 2 2 3 3" xfId="23033"/>
    <cellStyle name="Note 6 2 2 2 4" xfId="11550"/>
    <cellStyle name="Note 6 2 2 2 5" xfId="19505"/>
    <cellStyle name="Note 6 2 2 2_Exh G" xfId="3660"/>
    <cellStyle name="Note 6 2 2 3" xfId="4403"/>
    <cellStyle name="Note 6 2 2 3 2" xfId="7995"/>
    <cellStyle name="Note 6 2 2 3 2 2" xfId="15966"/>
    <cellStyle name="Note 6 2 2 3 2 3" xfId="23912"/>
    <cellStyle name="Note 6 2 2 3 3" xfId="12428"/>
    <cellStyle name="Note 6 2 2 3 4" xfId="20383"/>
    <cellStyle name="Note 6 2 2 4" xfId="6223"/>
    <cellStyle name="Note 6 2 2 4 2" xfId="14207"/>
    <cellStyle name="Note 6 2 2 4 3" xfId="22155"/>
    <cellStyle name="Note 6 2 2 5" xfId="9776"/>
    <cellStyle name="Note 6 2 2 5 2" xfId="17734"/>
    <cellStyle name="Note 6 2 2 5 3" xfId="25678"/>
    <cellStyle name="Note 6 2 2 6" xfId="10672"/>
    <cellStyle name="Note 6 2 2 7" xfId="18627"/>
    <cellStyle name="Note 6 2 2_Exh G" xfId="3659"/>
    <cellStyle name="Note 6 2 3" xfId="1751"/>
    <cellStyle name="Note 6 2 3 2" xfId="5281"/>
    <cellStyle name="Note 6 2 3 2 2" xfId="8872"/>
    <cellStyle name="Note 6 2 3 2 2 2" xfId="16843"/>
    <cellStyle name="Note 6 2 3 2 2 3" xfId="24789"/>
    <cellStyle name="Note 6 2 3 2 3" xfId="13305"/>
    <cellStyle name="Note 6 2 3 2 4" xfId="21260"/>
    <cellStyle name="Note 6 2 3 3" xfId="7113"/>
    <cellStyle name="Note 6 2 3 3 2" xfId="15085"/>
    <cellStyle name="Note 6 2 3 3 3" xfId="23032"/>
    <cellStyle name="Note 6 2 3 4" xfId="11549"/>
    <cellStyle name="Note 6 2 3 5" xfId="19504"/>
    <cellStyle name="Note 6 2 3_Exh G" xfId="3661"/>
    <cellStyle name="Note 6 2 4" xfId="4402"/>
    <cellStyle name="Note 6 2 4 2" xfId="7994"/>
    <cellStyle name="Note 6 2 4 2 2" xfId="15965"/>
    <cellStyle name="Note 6 2 4 2 3" xfId="23911"/>
    <cellStyle name="Note 6 2 4 3" xfId="12427"/>
    <cellStyle name="Note 6 2 4 4" xfId="20382"/>
    <cellStyle name="Note 6 2 5" xfId="6222"/>
    <cellStyle name="Note 6 2 5 2" xfId="14206"/>
    <cellStyle name="Note 6 2 5 3" xfId="22154"/>
    <cellStyle name="Note 6 2 6" xfId="9775"/>
    <cellStyle name="Note 6 2 6 2" xfId="17733"/>
    <cellStyle name="Note 6 2 6 3" xfId="25677"/>
    <cellStyle name="Note 6 2 7" xfId="10671"/>
    <cellStyle name="Note 6 2 8" xfId="18626"/>
    <cellStyle name="Note 6 2_Exh G" xfId="3658"/>
    <cellStyle name="Note 6 3" xfId="725"/>
    <cellStyle name="Note 6 3 2" xfId="1753"/>
    <cellStyle name="Note 6 3 2 2" xfId="5283"/>
    <cellStyle name="Note 6 3 2 2 2" xfId="8874"/>
    <cellStyle name="Note 6 3 2 2 2 2" xfId="16845"/>
    <cellStyle name="Note 6 3 2 2 2 3" xfId="24791"/>
    <cellStyle name="Note 6 3 2 2 3" xfId="13307"/>
    <cellStyle name="Note 6 3 2 2 4" xfId="21262"/>
    <cellStyle name="Note 6 3 2 3" xfId="7115"/>
    <cellStyle name="Note 6 3 2 3 2" xfId="15087"/>
    <cellStyle name="Note 6 3 2 3 3" xfId="23034"/>
    <cellStyle name="Note 6 3 2 4" xfId="11551"/>
    <cellStyle name="Note 6 3 2 5" xfId="19506"/>
    <cellStyle name="Note 6 3 2_Exh G" xfId="3663"/>
    <cellStyle name="Note 6 3 3" xfId="4404"/>
    <cellStyle name="Note 6 3 3 2" xfId="7996"/>
    <cellStyle name="Note 6 3 3 2 2" xfId="15967"/>
    <cellStyle name="Note 6 3 3 2 3" xfId="23913"/>
    <cellStyle name="Note 6 3 3 3" xfId="12429"/>
    <cellStyle name="Note 6 3 3 4" xfId="20384"/>
    <cellStyle name="Note 6 3 4" xfId="6224"/>
    <cellStyle name="Note 6 3 4 2" xfId="14208"/>
    <cellStyle name="Note 6 3 4 3" xfId="22156"/>
    <cellStyle name="Note 6 3 5" xfId="9777"/>
    <cellStyle name="Note 6 3 5 2" xfId="17735"/>
    <cellStyle name="Note 6 3 5 3" xfId="25679"/>
    <cellStyle name="Note 6 3 6" xfId="10673"/>
    <cellStyle name="Note 6 3 7" xfId="18628"/>
    <cellStyle name="Note 6 3_Exh G" xfId="3662"/>
    <cellStyle name="Note 6 4" xfId="1037"/>
    <cellStyle name="Note 6 4 2" xfId="1936"/>
    <cellStyle name="Note 6 4 2 2" xfId="5454"/>
    <cellStyle name="Note 6 4 2 2 2" xfId="9045"/>
    <cellStyle name="Note 6 4 2 2 2 2" xfId="17016"/>
    <cellStyle name="Note 6 4 2 2 2 3" xfId="24962"/>
    <cellStyle name="Note 6 4 2 2 3" xfId="13478"/>
    <cellStyle name="Note 6 4 2 2 4" xfId="21433"/>
    <cellStyle name="Note 6 4 2 3" xfId="7286"/>
    <cellStyle name="Note 6 4 2 3 2" xfId="15258"/>
    <cellStyle name="Note 6 4 2 3 3" xfId="23205"/>
    <cellStyle name="Note 6 4 2 4" xfId="11722"/>
    <cellStyle name="Note 6 4 2 5" xfId="19677"/>
    <cellStyle name="Note 6 4 2_Exh G" xfId="3665"/>
    <cellStyle name="Note 6 4 3" xfId="4575"/>
    <cellStyle name="Note 6 4 3 2" xfId="8167"/>
    <cellStyle name="Note 6 4 3 2 2" xfId="16138"/>
    <cellStyle name="Note 6 4 3 2 3" xfId="24084"/>
    <cellStyle name="Note 6 4 3 3" xfId="12600"/>
    <cellStyle name="Note 6 4 3 4" xfId="20555"/>
    <cellStyle name="Note 6 4 4" xfId="6407"/>
    <cellStyle name="Note 6 4 4 2" xfId="14380"/>
    <cellStyle name="Note 6 4 4 3" xfId="22327"/>
    <cellStyle name="Note 6 4 5" xfId="9948"/>
    <cellStyle name="Note 6 4 5 2" xfId="17906"/>
    <cellStyle name="Note 6 4 5 3" xfId="25850"/>
    <cellStyle name="Note 6 4 6" xfId="10844"/>
    <cellStyle name="Note 6 4 7" xfId="18799"/>
    <cellStyle name="Note 6 4_Exh G" xfId="3664"/>
    <cellStyle name="Note 6 5" xfId="1750"/>
    <cellStyle name="Note 6 5 2" xfId="5280"/>
    <cellStyle name="Note 6 5 2 2" xfId="8871"/>
    <cellStyle name="Note 6 5 2 2 2" xfId="16842"/>
    <cellStyle name="Note 6 5 2 2 3" xfId="24788"/>
    <cellStyle name="Note 6 5 2 3" xfId="13304"/>
    <cellStyle name="Note 6 5 2 4" xfId="21259"/>
    <cellStyle name="Note 6 5 3" xfId="7112"/>
    <cellStyle name="Note 6 5 3 2" xfId="15084"/>
    <cellStyle name="Note 6 5 3 3" xfId="23031"/>
    <cellStyle name="Note 6 5 4" xfId="11548"/>
    <cellStyle name="Note 6 5 5" xfId="19503"/>
    <cellStyle name="Note 6 5_Exh G" xfId="3666"/>
    <cellStyle name="Note 6 6" xfId="4401"/>
    <cellStyle name="Note 6 6 2" xfId="7993"/>
    <cellStyle name="Note 6 6 2 2" xfId="15964"/>
    <cellStyle name="Note 6 6 2 3" xfId="23910"/>
    <cellStyle name="Note 6 6 3" xfId="12426"/>
    <cellStyle name="Note 6 6 4" xfId="20381"/>
    <cellStyle name="Note 6 7" xfId="6221"/>
    <cellStyle name="Note 6 7 2" xfId="14205"/>
    <cellStyle name="Note 6 7 3" xfId="22153"/>
    <cellStyle name="Note 6 8" xfId="9774"/>
    <cellStyle name="Note 6 8 2" xfId="17732"/>
    <cellStyle name="Note 6 8 3" xfId="25676"/>
    <cellStyle name="Note 6 9" xfId="10670"/>
    <cellStyle name="Note 6_Exh G" xfId="3657"/>
    <cellStyle name="Note 7" xfId="726"/>
    <cellStyle name="Note 7 10" xfId="18629"/>
    <cellStyle name="Note 7 2" xfId="727"/>
    <cellStyle name="Note 7 2 2" xfId="728"/>
    <cellStyle name="Note 7 2 2 2" xfId="1756"/>
    <cellStyle name="Note 7 2 2 2 2" xfId="5286"/>
    <cellStyle name="Note 7 2 2 2 2 2" xfId="8877"/>
    <cellStyle name="Note 7 2 2 2 2 2 2" xfId="16848"/>
    <cellStyle name="Note 7 2 2 2 2 2 3" xfId="24794"/>
    <cellStyle name="Note 7 2 2 2 2 3" xfId="13310"/>
    <cellStyle name="Note 7 2 2 2 2 4" xfId="21265"/>
    <cellStyle name="Note 7 2 2 2 3" xfId="7118"/>
    <cellStyle name="Note 7 2 2 2 3 2" xfId="15090"/>
    <cellStyle name="Note 7 2 2 2 3 3" xfId="23037"/>
    <cellStyle name="Note 7 2 2 2 4" xfId="11554"/>
    <cellStyle name="Note 7 2 2 2 5" xfId="19509"/>
    <cellStyle name="Note 7 2 2 2_Exh G" xfId="3670"/>
    <cellStyle name="Note 7 2 2 3" xfId="4407"/>
    <cellStyle name="Note 7 2 2 3 2" xfId="7999"/>
    <cellStyle name="Note 7 2 2 3 2 2" xfId="15970"/>
    <cellStyle name="Note 7 2 2 3 2 3" xfId="23916"/>
    <cellStyle name="Note 7 2 2 3 3" xfId="12432"/>
    <cellStyle name="Note 7 2 2 3 4" xfId="20387"/>
    <cellStyle name="Note 7 2 2 4" xfId="6227"/>
    <cellStyle name="Note 7 2 2 4 2" xfId="14211"/>
    <cellStyle name="Note 7 2 2 4 3" xfId="22159"/>
    <cellStyle name="Note 7 2 2 5" xfId="9780"/>
    <cellStyle name="Note 7 2 2 5 2" xfId="17738"/>
    <cellStyle name="Note 7 2 2 5 3" xfId="25682"/>
    <cellStyle name="Note 7 2 2 6" xfId="10676"/>
    <cellStyle name="Note 7 2 2 7" xfId="18631"/>
    <cellStyle name="Note 7 2 2_Exh G" xfId="3669"/>
    <cellStyle name="Note 7 2 3" xfId="1755"/>
    <cellStyle name="Note 7 2 3 2" xfId="5285"/>
    <cellStyle name="Note 7 2 3 2 2" xfId="8876"/>
    <cellStyle name="Note 7 2 3 2 2 2" xfId="16847"/>
    <cellStyle name="Note 7 2 3 2 2 3" xfId="24793"/>
    <cellStyle name="Note 7 2 3 2 3" xfId="13309"/>
    <cellStyle name="Note 7 2 3 2 4" xfId="21264"/>
    <cellStyle name="Note 7 2 3 3" xfId="7117"/>
    <cellStyle name="Note 7 2 3 3 2" xfId="15089"/>
    <cellStyle name="Note 7 2 3 3 3" xfId="23036"/>
    <cellStyle name="Note 7 2 3 4" xfId="11553"/>
    <cellStyle name="Note 7 2 3 5" xfId="19508"/>
    <cellStyle name="Note 7 2 3_Exh G" xfId="3671"/>
    <cellStyle name="Note 7 2 4" xfId="4406"/>
    <cellStyle name="Note 7 2 4 2" xfId="7998"/>
    <cellStyle name="Note 7 2 4 2 2" xfId="15969"/>
    <cellStyle name="Note 7 2 4 2 3" xfId="23915"/>
    <cellStyle name="Note 7 2 4 3" xfId="12431"/>
    <cellStyle name="Note 7 2 4 4" xfId="20386"/>
    <cellStyle name="Note 7 2 5" xfId="6226"/>
    <cellStyle name="Note 7 2 5 2" xfId="14210"/>
    <cellStyle name="Note 7 2 5 3" xfId="22158"/>
    <cellStyle name="Note 7 2 6" xfId="9779"/>
    <cellStyle name="Note 7 2 6 2" xfId="17737"/>
    <cellStyle name="Note 7 2 6 3" xfId="25681"/>
    <cellStyle name="Note 7 2 7" xfId="10675"/>
    <cellStyle name="Note 7 2 8" xfId="18630"/>
    <cellStyle name="Note 7 2_Exh G" xfId="3668"/>
    <cellStyle name="Note 7 3" xfId="729"/>
    <cellStyle name="Note 7 3 2" xfId="1757"/>
    <cellStyle name="Note 7 3 2 2" xfId="5287"/>
    <cellStyle name="Note 7 3 2 2 2" xfId="8878"/>
    <cellStyle name="Note 7 3 2 2 2 2" xfId="16849"/>
    <cellStyle name="Note 7 3 2 2 2 3" xfId="24795"/>
    <cellStyle name="Note 7 3 2 2 3" xfId="13311"/>
    <cellStyle name="Note 7 3 2 2 4" xfId="21266"/>
    <cellStyle name="Note 7 3 2 3" xfId="7119"/>
    <cellStyle name="Note 7 3 2 3 2" xfId="15091"/>
    <cellStyle name="Note 7 3 2 3 3" xfId="23038"/>
    <cellStyle name="Note 7 3 2 4" xfId="11555"/>
    <cellStyle name="Note 7 3 2 5" xfId="19510"/>
    <cellStyle name="Note 7 3 2_Exh G" xfId="3673"/>
    <cellStyle name="Note 7 3 3" xfId="4408"/>
    <cellStyle name="Note 7 3 3 2" xfId="8000"/>
    <cellStyle name="Note 7 3 3 2 2" xfId="15971"/>
    <cellStyle name="Note 7 3 3 2 3" xfId="23917"/>
    <cellStyle name="Note 7 3 3 3" xfId="12433"/>
    <cellStyle name="Note 7 3 3 4" xfId="20388"/>
    <cellStyle name="Note 7 3 4" xfId="6228"/>
    <cellStyle name="Note 7 3 4 2" xfId="14212"/>
    <cellStyle name="Note 7 3 4 3" xfId="22160"/>
    <cellStyle name="Note 7 3 5" xfId="9781"/>
    <cellStyle name="Note 7 3 5 2" xfId="17739"/>
    <cellStyle name="Note 7 3 5 3" xfId="25683"/>
    <cellStyle name="Note 7 3 6" xfId="10677"/>
    <cellStyle name="Note 7 3 7" xfId="18632"/>
    <cellStyle name="Note 7 3_Exh G" xfId="3672"/>
    <cellStyle name="Note 7 4" xfId="1038"/>
    <cellStyle name="Note 7 4 2" xfId="1937"/>
    <cellStyle name="Note 7 4 2 2" xfId="5455"/>
    <cellStyle name="Note 7 4 2 2 2" xfId="9046"/>
    <cellStyle name="Note 7 4 2 2 2 2" xfId="17017"/>
    <cellStyle name="Note 7 4 2 2 2 3" xfId="24963"/>
    <cellStyle name="Note 7 4 2 2 3" xfId="13479"/>
    <cellStyle name="Note 7 4 2 2 4" xfId="21434"/>
    <cellStyle name="Note 7 4 2 3" xfId="7287"/>
    <cellStyle name="Note 7 4 2 3 2" xfId="15259"/>
    <cellStyle name="Note 7 4 2 3 3" xfId="23206"/>
    <cellStyle name="Note 7 4 2 4" xfId="11723"/>
    <cellStyle name="Note 7 4 2 5" xfId="19678"/>
    <cellStyle name="Note 7 4 2_Exh G" xfId="3675"/>
    <cellStyle name="Note 7 4 3" xfId="4576"/>
    <cellStyle name="Note 7 4 3 2" xfId="8168"/>
    <cellStyle name="Note 7 4 3 2 2" xfId="16139"/>
    <cellStyle name="Note 7 4 3 2 3" xfId="24085"/>
    <cellStyle name="Note 7 4 3 3" xfId="12601"/>
    <cellStyle name="Note 7 4 3 4" xfId="20556"/>
    <cellStyle name="Note 7 4 4" xfId="6408"/>
    <cellStyle name="Note 7 4 4 2" xfId="14381"/>
    <cellStyle name="Note 7 4 4 3" xfId="22328"/>
    <cellStyle name="Note 7 4 5" xfId="9949"/>
    <cellStyle name="Note 7 4 5 2" xfId="17907"/>
    <cellStyle name="Note 7 4 5 3" xfId="25851"/>
    <cellStyle name="Note 7 4 6" xfId="10845"/>
    <cellStyle name="Note 7 4 7" xfId="18800"/>
    <cellStyle name="Note 7 4_Exh G" xfId="3674"/>
    <cellStyle name="Note 7 5" xfId="1754"/>
    <cellStyle name="Note 7 5 2" xfId="5284"/>
    <cellStyle name="Note 7 5 2 2" xfId="8875"/>
    <cellStyle name="Note 7 5 2 2 2" xfId="16846"/>
    <cellStyle name="Note 7 5 2 2 3" xfId="24792"/>
    <cellStyle name="Note 7 5 2 3" xfId="13308"/>
    <cellStyle name="Note 7 5 2 4" xfId="21263"/>
    <cellStyle name="Note 7 5 3" xfId="7116"/>
    <cellStyle name="Note 7 5 3 2" xfId="15088"/>
    <cellStyle name="Note 7 5 3 3" xfId="23035"/>
    <cellStyle name="Note 7 5 4" xfId="11552"/>
    <cellStyle name="Note 7 5 5" xfId="19507"/>
    <cellStyle name="Note 7 5_Exh G" xfId="3676"/>
    <cellStyle name="Note 7 6" xfId="4405"/>
    <cellStyle name="Note 7 6 2" xfId="7997"/>
    <cellStyle name="Note 7 6 2 2" xfId="15968"/>
    <cellStyle name="Note 7 6 2 3" xfId="23914"/>
    <cellStyle name="Note 7 6 3" xfId="12430"/>
    <cellStyle name="Note 7 6 4" xfId="20385"/>
    <cellStyle name="Note 7 7" xfId="6225"/>
    <cellStyle name="Note 7 7 2" xfId="14209"/>
    <cellStyle name="Note 7 7 3" xfId="22157"/>
    <cellStyle name="Note 7 8" xfId="9778"/>
    <cellStyle name="Note 7 8 2" xfId="17736"/>
    <cellStyle name="Note 7 8 3" xfId="25680"/>
    <cellStyle name="Note 7 9" xfId="10674"/>
    <cellStyle name="Note 7_Exh G" xfId="3667"/>
    <cellStyle name="Note 8" xfId="730"/>
    <cellStyle name="Note 8 10" xfId="18633"/>
    <cellStyle name="Note 8 2" xfId="731"/>
    <cellStyle name="Note 8 2 2" xfId="732"/>
    <cellStyle name="Note 8 2 2 2" xfId="1760"/>
    <cellStyle name="Note 8 2 2 2 2" xfId="5290"/>
    <cellStyle name="Note 8 2 2 2 2 2" xfId="8881"/>
    <cellStyle name="Note 8 2 2 2 2 2 2" xfId="16852"/>
    <cellStyle name="Note 8 2 2 2 2 2 3" xfId="24798"/>
    <cellStyle name="Note 8 2 2 2 2 3" xfId="13314"/>
    <cellStyle name="Note 8 2 2 2 2 4" xfId="21269"/>
    <cellStyle name="Note 8 2 2 2 3" xfId="7122"/>
    <cellStyle name="Note 8 2 2 2 3 2" xfId="15094"/>
    <cellStyle name="Note 8 2 2 2 3 3" xfId="23041"/>
    <cellStyle name="Note 8 2 2 2 4" xfId="11558"/>
    <cellStyle name="Note 8 2 2 2 5" xfId="19513"/>
    <cellStyle name="Note 8 2 2 2_Exh G" xfId="3680"/>
    <cellStyle name="Note 8 2 2 3" xfId="4411"/>
    <cellStyle name="Note 8 2 2 3 2" xfId="8003"/>
    <cellStyle name="Note 8 2 2 3 2 2" xfId="15974"/>
    <cellStyle name="Note 8 2 2 3 2 3" xfId="23920"/>
    <cellStyle name="Note 8 2 2 3 3" xfId="12436"/>
    <cellStyle name="Note 8 2 2 3 4" xfId="20391"/>
    <cellStyle name="Note 8 2 2 4" xfId="6231"/>
    <cellStyle name="Note 8 2 2 4 2" xfId="14215"/>
    <cellStyle name="Note 8 2 2 4 3" xfId="22163"/>
    <cellStyle name="Note 8 2 2 5" xfId="9784"/>
    <cellStyle name="Note 8 2 2 5 2" xfId="17742"/>
    <cellStyle name="Note 8 2 2 5 3" xfId="25686"/>
    <cellStyle name="Note 8 2 2 6" xfId="10680"/>
    <cellStyle name="Note 8 2 2 7" xfId="18635"/>
    <cellStyle name="Note 8 2 2_Exh G" xfId="3679"/>
    <cellStyle name="Note 8 2 3" xfId="1759"/>
    <cellStyle name="Note 8 2 3 2" xfId="5289"/>
    <cellStyle name="Note 8 2 3 2 2" xfId="8880"/>
    <cellStyle name="Note 8 2 3 2 2 2" xfId="16851"/>
    <cellStyle name="Note 8 2 3 2 2 3" xfId="24797"/>
    <cellStyle name="Note 8 2 3 2 3" xfId="13313"/>
    <cellStyle name="Note 8 2 3 2 4" xfId="21268"/>
    <cellStyle name="Note 8 2 3 3" xfId="7121"/>
    <cellStyle name="Note 8 2 3 3 2" xfId="15093"/>
    <cellStyle name="Note 8 2 3 3 3" xfId="23040"/>
    <cellStyle name="Note 8 2 3 4" xfId="11557"/>
    <cellStyle name="Note 8 2 3 5" xfId="19512"/>
    <cellStyle name="Note 8 2 3_Exh G" xfId="3681"/>
    <cellStyle name="Note 8 2 4" xfId="4410"/>
    <cellStyle name="Note 8 2 4 2" xfId="8002"/>
    <cellStyle name="Note 8 2 4 2 2" xfId="15973"/>
    <cellStyle name="Note 8 2 4 2 3" xfId="23919"/>
    <cellStyle name="Note 8 2 4 3" xfId="12435"/>
    <cellStyle name="Note 8 2 4 4" xfId="20390"/>
    <cellStyle name="Note 8 2 5" xfId="6230"/>
    <cellStyle name="Note 8 2 5 2" xfId="14214"/>
    <cellStyle name="Note 8 2 5 3" xfId="22162"/>
    <cellStyle name="Note 8 2 6" xfId="9783"/>
    <cellStyle name="Note 8 2 6 2" xfId="17741"/>
    <cellStyle name="Note 8 2 6 3" xfId="25685"/>
    <cellStyle name="Note 8 2 7" xfId="10679"/>
    <cellStyle name="Note 8 2 8" xfId="18634"/>
    <cellStyle name="Note 8 2_Exh G" xfId="3678"/>
    <cellStyle name="Note 8 3" xfId="733"/>
    <cellStyle name="Note 8 3 2" xfId="1761"/>
    <cellStyle name="Note 8 3 2 2" xfId="5291"/>
    <cellStyle name="Note 8 3 2 2 2" xfId="8882"/>
    <cellStyle name="Note 8 3 2 2 2 2" xfId="16853"/>
    <cellStyle name="Note 8 3 2 2 2 3" xfId="24799"/>
    <cellStyle name="Note 8 3 2 2 3" xfId="13315"/>
    <cellStyle name="Note 8 3 2 2 4" xfId="21270"/>
    <cellStyle name="Note 8 3 2 3" xfId="7123"/>
    <cellStyle name="Note 8 3 2 3 2" xfId="15095"/>
    <cellStyle name="Note 8 3 2 3 3" xfId="23042"/>
    <cellStyle name="Note 8 3 2 4" xfId="11559"/>
    <cellStyle name="Note 8 3 2 5" xfId="19514"/>
    <cellStyle name="Note 8 3 2_Exh G" xfId="3683"/>
    <cellStyle name="Note 8 3 3" xfId="4412"/>
    <cellStyle name="Note 8 3 3 2" xfId="8004"/>
    <cellStyle name="Note 8 3 3 2 2" xfId="15975"/>
    <cellStyle name="Note 8 3 3 2 3" xfId="23921"/>
    <cellStyle name="Note 8 3 3 3" xfId="12437"/>
    <cellStyle name="Note 8 3 3 4" xfId="20392"/>
    <cellStyle name="Note 8 3 4" xfId="6232"/>
    <cellStyle name="Note 8 3 4 2" xfId="14216"/>
    <cellStyle name="Note 8 3 4 3" xfId="22164"/>
    <cellStyle name="Note 8 3 5" xfId="9785"/>
    <cellStyle name="Note 8 3 5 2" xfId="17743"/>
    <cellStyle name="Note 8 3 5 3" xfId="25687"/>
    <cellStyle name="Note 8 3 6" xfId="10681"/>
    <cellStyle name="Note 8 3 7" xfId="18636"/>
    <cellStyle name="Note 8 3_Exh G" xfId="3682"/>
    <cellStyle name="Note 8 4" xfId="1039"/>
    <cellStyle name="Note 8 4 2" xfId="1938"/>
    <cellStyle name="Note 8 4 2 2" xfId="5456"/>
    <cellStyle name="Note 8 4 2 2 2" xfId="9047"/>
    <cellStyle name="Note 8 4 2 2 2 2" xfId="17018"/>
    <cellStyle name="Note 8 4 2 2 2 3" xfId="24964"/>
    <cellStyle name="Note 8 4 2 2 3" xfId="13480"/>
    <cellStyle name="Note 8 4 2 2 4" xfId="21435"/>
    <cellStyle name="Note 8 4 2 3" xfId="7288"/>
    <cellStyle name="Note 8 4 2 3 2" xfId="15260"/>
    <cellStyle name="Note 8 4 2 3 3" xfId="23207"/>
    <cellStyle name="Note 8 4 2 4" xfId="11724"/>
    <cellStyle name="Note 8 4 2 5" xfId="19679"/>
    <cellStyle name="Note 8 4 2_Exh G" xfId="3685"/>
    <cellStyle name="Note 8 4 3" xfId="4577"/>
    <cellStyle name="Note 8 4 3 2" xfId="8169"/>
    <cellStyle name="Note 8 4 3 2 2" xfId="16140"/>
    <cellStyle name="Note 8 4 3 2 3" xfId="24086"/>
    <cellStyle name="Note 8 4 3 3" xfId="12602"/>
    <cellStyle name="Note 8 4 3 4" xfId="20557"/>
    <cellStyle name="Note 8 4 4" xfId="6409"/>
    <cellStyle name="Note 8 4 4 2" xfId="14382"/>
    <cellStyle name="Note 8 4 4 3" xfId="22329"/>
    <cellStyle name="Note 8 4 5" xfId="9950"/>
    <cellStyle name="Note 8 4 5 2" xfId="17908"/>
    <cellStyle name="Note 8 4 5 3" xfId="25852"/>
    <cellStyle name="Note 8 4 6" xfId="10846"/>
    <cellStyle name="Note 8 4 7" xfId="18801"/>
    <cellStyle name="Note 8 4_Exh G" xfId="3684"/>
    <cellStyle name="Note 8 5" xfId="1758"/>
    <cellStyle name="Note 8 5 2" xfId="5288"/>
    <cellStyle name="Note 8 5 2 2" xfId="8879"/>
    <cellStyle name="Note 8 5 2 2 2" xfId="16850"/>
    <cellStyle name="Note 8 5 2 2 3" xfId="24796"/>
    <cellStyle name="Note 8 5 2 3" xfId="13312"/>
    <cellStyle name="Note 8 5 2 4" xfId="21267"/>
    <cellStyle name="Note 8 5 3" xfId="7120"/>
    <cellStyle name="Note 8 5 3 2" xfId="15092"/>
    <cellStyle name="Note 8 5 3 3" xfId="23039"/>
    <cellStyle name="Note 8 5 4" xfId="11556"/>
    <cellStyle name="Note 8 5 5" xfId="19511"/>
    <cellStyle name="Note 8 5_Exh G" xfId="3686"/>
    <cellStyle name="Note 8 6" xfId="4409"/>
    <cellStyle name="Note 8 6 2" xfId="8001"/>
    <cellStyle name="Note 8 6 2 2" xfId="15972"/>
    <cellStyle name="Note 8 6 2 3" xfId="23918"/>
    <cellStyle name="Note 8 6 3" xfId="12434"/>
    <cellStyle name="Note 8 6 4" xfId="20389"/>
    <cellStyle name="Note 8 7" xfId="6229"/>
    <cellStyle name="Note 8 7 2" xfId="14213"/>
    <cellStyle name="Note 8 7 3" xfId="22161"/>
    <cellStyle name="Note 8 8" xfId="9782"/>
    <cellStyle name="Note 8 8 2" xfId="17740"/>
    <cellStyle name="Note 8 8 3" xfId="25684"/>
    <cellStyle name="Note 8 9" xfId="10678"/>
    <cellStyle name="Note 8_Exh G" xfId="3677"/>
    <cellStyle name="Note 9" xfId="734"/>
    <cellStyle name="Note 9 10" xfId="18637"/>
    <cellStyle name="Note 9 2" xfId="735"/>
    <cellStyle name="Note 9 2 2" xfId="736"/>
    <cellStyle name="Note 9 2 2 2" xfId="1764"/>
    <cellStyle name="Note 9 2 2 2 2" xfId="5294"/>
    <cellStyle name="Note 9 2 2 2 2 2" xfId="8885"/>
    <cellStyle name="Note 9 2 2 2 2 2 2" xfId="16856"/>
    <cellStyle name="Note 9 2 2 2 2 2 3" xfId="24802"/>
    <cellStyle name="Note 9 2 2 2 2 3" xfId="13318"/>
    <cellStyle name="Note 9 2 2 2 2 4" xfId="21273"/>
    <cellStyle name="Note 9 2 2 2 3" xfId="7126"/>
    <cellStyle name="Note 9 2 2 2 3 2" xfId="15098"/>
    <cellStyle name="Note 9 2 2 2 3 3" xfId="23045"/>
    <cellStyle name="Note 9 2 2 2 4" xfId="11562"/>
    <cellStyle name="Note 9 2 2 2 5" xfId="19517"/>
    <cellStyle name="Note 9 2 2 2_Exh G" xfId="3690"/>
    <cellStyle name="Note 9 2 2 3" xfId="4415"/>
    <cellStyle name="Note 9 2 2 3 2" xfId="8007"/>
    <cellStyle name="Note 9 2 2 3 2 2" xfId="15978"/>
    <cellStyle name="Note 9 2 2 3 2 3" xfId="23924"/>
    <cellStyle name="Note 9 2 2 3 3" xfId="12440"/>
    <cellStyle name="Note 9 2 2 3 4" xfId="20395"/>
    <cellStyle name="Note 9 2 2 4" xfId="6235"/>
    <cellStyle name="Note 9 2 2 4 2" xfId="14219"/>
    <cellStyle name="Note 9 2 2 4 3" xfId="22167"/>
    <cellStyle name="Note 9 2 2 5" xfId="9788"/>
    <cellStyle name="Note 9 2 2 5 2" xfId="17746"/>
    <cellStyle name="Note 9 2 2 5 3" xfId="25690"/>
    <cellStyle name="Note 9 2 2 6" xfId="10684"/>
    <cellStyle name="Note 9 2 2 7" xfId="18639"/>
    <cellStyle name="Note 9 2 2_Exh G" xfId="3689"/>
    <cellStyle name="Note 9 2 3" xfId="1763"/>
    <cellStyle name="Note 9 2 3 2" xfId="5293"/>
    <cellStyle name="Note 9 2 3 2 2" xfId="8884"/>
    <cellStyle name="Note 9 2 3 2 2 2" xfId="16855"/>
    <cellStyle name="Note 9 2 3 2 2 3" xfId="24801"/>
    <cellStyle name="Note 9 2 3 2 3" xfId="13317"/>
    <cellStyle name="Note 9 2 3 2 4" xfId="21272"/>
    <cellStyle name="Note 9 2 3 3" xfId="7125"/>
    <cellStyle name="Note 9 2 3 3 2" xfId="15097"/>
    <cellStyle name="Note 9 2 3 3 3" xfId="23044"/>
    <cellStyle name="Note 9 2 3 4" xfId="11561"/>
    <cellStyle name="Note 9 2 3 5" xfId="19516"/>
    <cellStyle name="Note 9 2 3_Exh G" xfId="3691"/>
    <cellStyle name="Note 9 2 4" xfId="4414"/>
    <cellStyle name="Note 9 2 4 2" xfId="8006"/>
    <cellStyle name="Note 9 2 4 2 2" xfId="15977"/>
    <cellStyle name="Note 9 2 4 2 3" xfId="23923"/>
    <cellStyle name="Note 9 2 4 3" xfId="12439"/>
    <cellStyle name="Note 9 2 4 4" xfId="20394"/>
    <cellStyle name="Note 9 2 5" xfId="6234"/>
    <cellStyle name="Note 9 2 5 2" xfId="14218"/>
    <cellStyle name="Note 9 2 5 3" xfId="22166"/>
    <cellStyle name="Note 9 2 6" xfId="9787"/>
    <cellStyle name="Note 9 2 6 2" xfId="17745"/>
    <cellStyle name="Note 9 2 6 3" xfId="25689"/>
    <cellStyle name="Note 9 2 7" xfId="10683"/>
    <cellStyle name="Note 9 2 8" xfId="18638"/>
    <cellStyle name="Note 9 2_Exh G" xfId="3688"/>
    <cellStyle name="Note 9 3" xfId="737"/>
    <cellStyle name="Note 9 3 2" xfId="1765"/>
    <cellStyle name="Note 9 3 2 2" xfId="5295"/>
    <cellStyle name="Note 9 3 2 2 2" xfId="8886"/>
    <cellStyle name="Note 9 3 2 2 2 2" xfId="16857"/>
    <cellStyle name="Note 9 3 2 2 2 3" xfId="24803"/>
    <cellStyle name="Note 9 3 2 2 3" xfId="13319"/>
    <cellStyle name="Note 9 3 2 2 4" xfId="21274"/>
    <cellStyle name="Note 9 3 2 3" xfId="7127"/>
    <cellStyle name="Note 9 3 2 3 2" xfId="15099"/>
    <cellStyle name="Note 9 3 2 3 3" xfId="23046"/>
    <cellStyle name="Note 9 3 2 4" xfId="11563"/>
    <cellStyle name="Note 9 3 2 5" xfId="19518"/>
    <cellStyle name="Note 9 3 2_Exh G" xfId="3693"/>
    <cellStyle name="Note 9 3 3" xfId="4416"/>
    <cellStyle name="Note 9 3 3 2" xfId="8008"/>
    <cellStyle name="Note 9 3 3 2 2" xfId="15979"/>
    <cellStyle name="Note 9 3 3 2 3" xfId="23925"/>
    <cellStyle name="Note 9 3 3 3" xfId="12441"/>
    <cellStyle name="Note 9 3 3 4" xfId="20396"/>
    <cellStyle name="Note 9 3 4" xfId="6236"/>
    <cellStyle name="Note 9 3 4 2" xfId="14220"/>
    <cellStyle name="Note 9 3 4 3" xfId="22168"/>
    <cellStyle name="Note 9 3 5" xfId="9789"/>
    <cellStyle name="Note 9 3 5 2" xfId="17747"/>
    <cellStyle name="Note 9 3 5 3" xfId="25691"/>
    <cellStyle name="Note 9 3 6" xfId="10685"/>
    <cellStyle name="Note 9 3 7" xfId="18640"/>
    <cellStyle name="Note 9 3_Exh G" xfId="3692"/>
    <cellStyle name="Note 9 4" xfId="1040"/>
    <cellStyle name="Note 9 4 2" xfId="1939"/>
    <cellStyle name="Note 9 4 2 2" xfId="5457"/>
    <cellStyle name="Note 9 4 2 2 2" xfId="9048"/>
    <cellStyle name="Note 9 4 2 2 2 2" xfId="17019"/>
    <cellStyle name="Note 9 4 2 2 2 3" xfId="24965"/>
    <cellStyle name="Note 9 4 2 2 3" xfId="13481"/>
    <cellStyle name="Note 9 4 2 2 4" xfId="21436"/>
    <cellStyle name="Note 9 4 2 3" xfId="7289"/>
    <cellStyle name="Note 9 4 2 3 2" xfId="15261"/>
    <cellStyle name="Note 9 4 2 3 3" xfId="23208"/>
    <cellStyle name="Note 9 4 2 4" xfId="11725"/>
    <cellStyle name="Note 9 4 2 5" xfId="19680"/>
    <cellStyle name="Note 9 4 2_Exh G" xfId="3695"/>
    <cellStyle name="Note 9 4 3" xfId="4578"/>
    <cellStyle name="Note 9 4 3 2" xfId="8170"/>
    <cellStyle name="Note 9 4 3 2 2" xfId="16141"/>
    <cellStyle name="Note 9 4 3 2 3" xfId="24087"/>
    <cellStyle name="Note 9 4 3 3" xfId="12603"/>
    <cellStyle name="Note 9 4 3 4" xfId="20558"/>
    <cellStyle name="Note 9 4 4" xfId="6410"/>
    <cellStyle name="Note 9 4 4 2" xfId="14383"/>
    <cellStyle name="Note 9 4 4 3" xfId="22330"/>
    <cellStyle name="Note 9 4 5" xfId="9951"/>
    <cellStyle name="Note 9 4 5 2" xfId="17909"/>
    <cellStyle name="Note 9 4 5 3" xfId="25853"/>
    <cellStyle name="Note 9 4 6" xfId="10847"/>
    <cellStyle name="Note 9 4 7" xfId="18802"/>
    <cellStyle name="Note 9 4_Exh G" xfId="3694"/>
    <cellStyle name="Note 9 5" xfId="1762"/>
    <cellStyle name="Note 9 5 2" xfId="5292"/>
    <cellStyle name="Note 9 5 2 2" xfId="8883"/>
    <cellStyle name="Note 9 5 2 2 2" xfId="16854"/>
    <cellStyle name="Note 9 5 2 2 3" xfId="24800"/>
    <cellStyle name="Note 9 5 2 3" xfId="13316"/>
    <cellStyle name="Note 9 5 2 4" xfId="21271"/>
    <cellStyle name="Note 9 5 3" xfId="7124"/>
    <cellStyle name="Note 9 5 3 2" xfId="15096"/>
    <cellStyle name="Note 9 5 3 3" xfId="23043"/>
    <cellStyle name="Note 9 5 4" xfId="11560"/>
    <cellStyle name="Note 9 5 5" xfId="19515"/>
    <cellStyle name="Note 9 5_Exh G" xfId="3696"/>
    <cellStyle name="Note 9 6" xfId="4413"/>
    <cellStyle name="Note 9 6 2" xfId="8005"/>
    <cellStyle name="Note 9 6 2 2" xfId="15976"/>
    <cellStyle name="Note 9 6 2 3" xfId="23922"/>
    <cellStyle name="Note 9 6 3" xfId="12438"/>
    <cellStyle name="Note 9 6 4" xfId="20393"/>
    <cellStyle name="Note 9 7" xfId="6233"/>
    <cellStyle name="Note 9 7 2" xfId="14217"/>
    <cellStyle name="Note 9 7 3" xfId="22165"/>
    <cellStyle name="Note 9 8" xfId="9786"/>
    <cellStyle name="Note 9 8 2" xfId="17744"/>
    <cellStyle name="Note 9 8 3" xfId="25688"/>
    <cellStyle name="Note 9 9" xfId="10682"/>
    <cellStyle name="Note 9_Exh G" xfId="3687"/>
    <cellStyle name="Output 2" xfId="815"/>
    <cellStyle name="Output 3" xfId="816"/>
    <cellStyle name="Output 3 2" xfId="6244"/>
    <cellStyle name="Output 4" xfId="817"/>
    <cellStyle name="Output 4 2" xfId="6245"/>
    <cellStyle name="Output Amounts" xfId="12"/>
    <cellStyle name="Output Column Headings" xfId="13"/>
    <cellStyle name="Output Line Items" xfId="14"/>
    <cellStyle name="Output Line Items 2" xfId="3699"/>
    <cellStyle name="Output Line Items 2 2" xfId="7292"/>
    <cellStyle name="Output Line Items 2 2 2" xfId="15263"/>
    <cellStyle name="Output Line Items 3" xfId="5460"/>
    <cellStyle name="Output Line Items 3 2" xfId="13482"/>
    <cellStyle name="Output Line Items_Exh G" xfId="3697"/>
    <cellStyle name="Output Report Heading" xfId="15"/>
    <cellStyle name="Output Report Title" xfId="16"/>
    <cellStyle name="Percent" xfId="1940" builtinId="5"/>
    <cellStyle name="Percent 2" xfId="7"/>
    <cellStyle name="Percent 2 2" xfId="1048"/>
    <cellStyle name="Percent 3" xfId="1043"/>
    <cellStyle name="Percent 4" xfId="7290"/>
    <cellStyle name="R01B" xfId="25864"/>
    <cellStyle name="R01H" xfId="25865"/>
    <cellStyle name="R01L" xfId="25871"/>
    <cellStyle name="R02A" xfId="25870"/>
    <cellStyle name="R02B" xfId="25866"/>
    <cellStyle name="R02L" xfId="25867"/>
    <cellStyle name="Title 2" xfId="818"/>
    <cellStyle name="Title 3" xfId="819"/>
    <cellStyle name="Title 4" xfId="820"/>
    <cellStyle name="Total 2" xfId="821"/>
    <cellStyle name="Total 3" xfId="822"/>
    <cellStyle name="Total 3 2" xfId="6246"/>
    <cellStyle name="Total 4" xfId="823"/>
    <cellStyle name="Total 4 2" xfId="6247"/>
    <cellStyle name="Warning Text 2" xfId="824"/>
    <cellStyle name="Warning Text 3" xfId="825"/>
    <cellStyle name="Warning Text 4" xfId="826"/>
  </cellStyles>
  <dxfs count="0"/>
  <tableStyles count="0" defaultTableStyle="TableStyleMedium9" defaultPivotStyle="PivotStyleLight16"/>
  <colors>
    <mruColors>
      <color rgb="FF1362D7"/>
      <color rgb="FFFFFFCC"/>
      <color rgb="FF5C39EF"/>
      <color rgb="FF3711D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161925</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144</xdr:row>
      <xdr:rowOff>190500</xdr:rowOff>
    </xdr:to>
    <xdr:sp macro="" textlink="">
      <xdr:nvSpPr>
        <xdr:cNvPr id="2" name="Line 1"/>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4535</xdr:colOff>
      <xdr:row>13</xdr:row>
      <xdr:rowOff>9525</xdr:rowOff>
    </xdr:from>
    <xdr:to>
      <xdr:col>32</xdr:col>
      <xdr:colOff>9524</xdr:colOff>
      <xdr:row>143</xdr:row>
      <xdr:rowOff>13607</xdr:rowOff>
    </xdr:to>
    <xdr:sp macro="" textlink="">
      <xdr:nvSpPr>
        <xdr:cNvPr id="2" name="Line 1"/>
        <xdr:cNvSpPr>
          <a:spLocks noChangeShapeType="1"/>
        </xdr:cNvSpPr>
      </xdr:nvSpPr>
      <xdr:spPr bwMode="auto">
        <a:xfrm flipH="1">
          <a:off x="21893892" y="3021239"/>
          <a:ext cx="4989" cy="25821368"/>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3" name="TextBox 2"/>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4"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5" name="TextBox 4"/>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6"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7" name="TextBox 6"/>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8"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9" name="TextBox 8"/>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IU109"/>
  <sheetViews>
    <sheetView showGridLines="0" tabSelected="1" workbookViewId="0"/>
  </sheetViews>
  <sheetFormatPr defaultColWidth="8.6640625" defaultRowHeight="12.75"/>
  <cols>
    <col min="1" max="1" width="2.109375" style="583" customWidth="1"/>
    <col min="2" max="2" width="22.6640625" style="583" customWidth="1"/>
    <col min="3" max="3" width="6" style="583" customWidth="1"/>
    <col min="4" max="4" width="24.109375" style="583" customWidth="1"/>
    <col min="5" max="6" width="12.44140625" style="583" customWidth="1"/>
    <col min="7" max="7" width="4" style="583" customWidth="1"/>
    <col min="8" max="8" width="12.44140625" style="583" customWidth="1"/>
    <col min="9" max="9" width="12" style="583" customWidth="1"/>
    <col min="10" max="10" width="3.6640625" style="583" customWidth="1"/>
    <col min="11" max="11" width="28.44140625" style="583" customWidth="1"/>
    <col min="12" max="16384" width="8.6640625" style="583"/>
  </cols>
  <sheetData>
    <row r="1" spans="1:10" s="580" customFormat="1">
      <c r="A1" s="578"/>
      <c r="B1" s="578"/>
      <c r="C1" s="578"/>
      <c r="D1" s="578"/>
      <c r="E1" s="578"/>
      <c r="F1" s="578"/>
      <c r="G1" s="578"/>
      <c r="H1" s="578"/>
      <c r="I1" s="578"/>
      <c r="J1" s="579"/>
    </row>
    <row r="2" spans="1:10" s="580" customFormat="1">
      <c r="A2" s="578"/>
      <c r="B2" s="578"/>
      <c r="C2" s="578"/>
      <c r="D2" s="578"/>
      <c r="E2" s="578"/>
      <c r="F2" s="578"/>
      <c r="G2" s="578"/>
      <c r="H2" s="578"/>
      <c r="I2" s="578"/>
      <c r="J2" s="579"/>
    </row>
    <row r="3" spans="1:10" s="580" customFormat="1">
      <c r="A3" s="578"/>
      <c r="B3" s="578"/>
      <c r="C3" s="578"/>
      <c r="D3" s="578"/>
      <c r="E3" s="578"/>
      <c r="F3" s="578"/>
      <c r="G3" s="578"/>
      <c r="H3" s="578"/>
      <c r="I3" s="578"/>
      <c r="J3" s="579"/>
    </row>
    <row r="4" spans="1:10" s="580" customFormat="1">
      <c r="A4" s="578" t="s">
        <v>926</v>
      </c>
      <c r="B4" s="578"/>
      <c r="C4" s="578"/>
      <c r="D4" s="578"/>
      <c r="E4" s="578"/>
      <c r="F4" s="578"/>
      <c r="G4" s="578"/>
      <c r="H4" s="578"/>
      <c r="I4" s="772" t="s">
        <v>922</v>
      </c>
      <c r="J4" s="579"/>
    </row>
    <row r="5" spans="1:10" ht="18">
      <c r="A5" s="578" t="s">
        <v>924</v>
      </c>
      <c r="B5" s="581"/>
      <c r="C5" s="581"/>
      <c r="D5" s="581"/>
      <c r="E5" s="581"/>
      <c r="F5" s="581"/>
      <c r="G5" s="581"/>
      <c r="H5" s="581"/>
      <c r="I5" s="772" t="s">
        <v>923</v>
      </c>
      <c r="J5" s="582"/>
    </row>
    <row r="6" spans="1:10" ht="18">
      <c r="A6" s="578" t="s">
        <v>801</v>
      </c>
      <c r="B6" s="581"/>
      <c r="C6" s="581"/>
      <c r="D6" s="581"/>
      <c r="E6" s="581"/>
      <c r="F6" s="581"/>
      <c r="G6" s="581"/>
      <c r="H6" s="581"/>
      <c r="I6" s="581"/>
      <c r="J6" s="582"/>
    </row>
    <row r="7" spans="1:10" ht="18">
      <c r="A7" s="578" t="s">
        <v>802</v>
      </c>
      <c r="B7" s="581"/>
      <c r="C7" s="581"/>
      <c r="D7" s="581"/>
      <c r="E7" s="581"/>
      <c r="F7" s="581"/>
      <c r="G7" s="581"/>
      <c r="H7" s="581"/>
      <c r="I7" s="581"/>
      <c r="J7" s="582"/>
    </row>
    <row r="8" spans="1:10" ht="18.75" thickBot="1">
      <c r="A8" s="581"/>
      <c r="B8" s="581"/>
      <c r="C8" s="581"/>
      <c r="D8" s="581"/>
      <c r="E8" s="581"/>
      <c r="F8" s="581"/>
      <c r="G8" s="581"/>
      <c r="H8" s="581"/>
      <c r="I8" s="581"/>
      <c r="J8" s="582"/>
    </row>
    <row r="9" spans="1:10" ht="18.75" thickTop="1">
      <c r="A9" s="584" t="s">
        <v>803</v>
      </c>
      <c r="B9" s="585"/>
      <c r="C9" s="585"/>
      <c r="D9" s="585"/>
      <c r="E9" s="585"/>
      <c r="F9" s="585"/>
      <c r="G9" s="585"/>
      <c r="H9" s="585"/>
      <c r="I9" s="585"/>
      <c r="J9" s="586"/>
    </row>
    <row r="10" spans="1:10" s="3922" customFormat="1" ht="18.75" thickBot="1">
      <c r="A10" s="3919" t="s">
        <v>1550</v>
      </c>
      <c r="B10" s="3920"/>
      <c r="C10" s="3920"/>
      <c r="D10" s="3920"/>
      <c r="E10" s="3920"/>
      <c r="F10" s="3920"/>
      <c r="G10" s="3920"/>
      <c r="H10" s="3920"/>
      <c r="I10" s="3920"/>
      <c r="J10" s="3921"/>
    </row>
    <row r="11" spans="1:10" ht="18.75" thickTop="1">
      <c r="A11" s="587"/>
      <c r="B11" s="588"/>
      <c r="C11" s="588"/>
      <c r="D11" s="588"/>
      <c r="E11" s="588"/>
      <c r="F11" s="588"/>
      <c r="G11" s="588"/>
      <c r="H11" s="588"/>
      <c r="I11" s="588"/>
      <c r="J11" s="589"/>
    </row>
    <row r="12" spans="1:10">
      <c r="A12" s="578" t="s">
        <v>804</v>
      </c>
      <c r="B12" s="581"/>
      <c r="C12" s="581"/>
      <c r="D12" s="581"/>
      <c r="E12" s="578"/>
      <c r="F12" s="578"/>
      <c r="G12" s="578"/>
      <c r="H12" s="581"/>
      <c r="I12" s="581"/>
      <c r="J12" s="590"/>
    </row>
    <row r="13" spans="1:10">
      <c r="A13" s="580"/>
      <c r="J13" s="590"/>
    </row>
    <row r="14" spans="1:10">
      <c r="A14" s="580" t="s">
        <v>805</v>
      </c>
      <c r="B14" s="593"/>
      <c r="J14" s="591"/>
    </row>
    <row r="15" spans="1:10">
      <c r="A15" s="580"/>
      <c r="B15" s="652"/>
      <c r="J15" s="591"/>
    </row>
    <row r="16" spans="1:10">
      <c r="A16" s="580"/>
      <c r="B16" s="1376" t="s">
        <v>836</v>
      </c>
      <c r="D16" s="592" t="s">
        <v>806</v>
      </c>
      <c r="F16" s="593"/>
      <c r="J16" s="653">
        <v>2</v>
      </c>
    </row>
    <row r="17" spans="1:255">
      <c r="A17" s="580"/>
      <c r="B17" s="1376" t="s">
        <v>837</v>
      </c>
      <c r="D17" s="583" t="s">
        <v>1150</v>
      </c>
      <c r="E17" s="595"/>
      <c r="F17" s="596"/>
      <c r="G17" s="595"/>
      <c r="H17" s="595"/>
      <c r="I17" s="595"/>
      <c r="J17" s="653">
        <v>3</v>
      </c>
      <c r="M17" s="597"/>
    </row>
    <row r="18" spans="1:255">
      <c r="A18" s="598"/>
      <c r="B18" s="1371" t="s">
        <v>1277</v>
      </c>
      <c r="D18" s="600" t="s">
        <v>961</v>
      </c>
      <c r="E18" s="592"/>
      <c r="F18" s="592"/>
      <c r="G18" s="592"/>
      <c r="H18" s="592"/>
      <c r="I18" s="592"/>
      <c r="J18" s="653">
        <v>4</v>
      </c>
    </row>
    <row r="19" spans="1:255">
      <c r="A19" s="580"/>
      <c r="B19" s="1371" t="s">
        <v>838</v>
      </c>
      <c r="D19" s="599" t="s">
        <v>807</v>
      </c>
      <c r="E19" s="599"/>
      <c r="F19" s="599"/>
      <c r="G19" s="599"/>
      <c r="H19" s="599"/>
      <c r="I19" s="599"/>
      <c r="J19" s="653">
        <v>5</v>
      </c>
      <c r="M19" s="597"/>
    </row>
    <row r="20" spans="1:255">
      <c r="A20" s="580"/>
      <c r="B20" s="1371" t="s">
        <v>839</v>
      </c>
      <c r="D20" s="599" t="s">
        <v>808</v>
      </c>
      <c r="E20" s="599"/>
      <c r="F20" s="599"/>
      <c r="G20" s="599"/>
      <c r="H20" s="599"/>
      <c r="I20" s="599"/>
      <c r="J20" s="653">
        <v>6</v>
      </c>
      <c r="M20" s="597"/>
    </row>
    <row r="21" spans="1:255">
      <c r="A21" s="580"/>
      <c r="B21" s="1371" t="s">
        <v>1114</v>
      </c>
      <c r="D21" s="600" t="s">
        <v>1151</v>
      </c>
      <c r="E21" s="599"/>
      <c r="F21" s="599"/>
      <c r="G21" s="599"/>
      <c r="H21" s="599"/>
      <c r="I21" s="599"/>
      <c r="J21" s="653">
        <v>7</v>
      </c>
      <c r="M21" s="597"/>
    </row>
    <row r="22" spans="1:255">
      <c r="A22" s="580"/>
      <c r="B22" s="1371" t="s">
        <v>1115</v>
      </c>
      <c r="D22" s="600" t="s">
        <v>1152</v>
      </c>
      <c r="E22" s="599"/>
      <c r="F22" s="599"/>
      <c r="G22" s="599"/>
      <c r="H22" s="599"/>
      <c r="I22" s="599"/>
      <c r="J22" s="653">
        <v>8</v>
      </c>
      <c r="M22" s="597"/>
    </row>
    <row r="23" spans="1:255">
      <c r="A23" s="580"/>
      <c r="B23" s="1371" t="s">
        <v>1116</v>
      </c>
      <c r="D23" s="600" t="s">
        <v>1159</v>
      </c>
      <c r="E23" s="599"/>
      <c r="F23" s="599"/>
      <c r="G23" s="599"/>
      <c r="H23" s="599"/>
      <c r="I23" s="599"/>
      <c r="J23" s="653">
        <v>9</v>
      </c>
      <c r="M23" s="597"/>
    </row>
    <row r="24" spans="1:255">
      <c r="A24" s="580"/>
      <c r="B24" s="1371" t="s">
        <v>1117</v>
      </c>
      <c r="D24" s="600" t="s">
        <v>1153</v>
      </c>
      <c r="E24" s="599"/>
      <c r="F24" s="599"/>
      <c r="G24" s="599"/>
      <c r="H24" s="599"/>
      <c r="I24" s="599"/>
      <c r="J24" s="653">
        <v>10</v>
      </c>
      <c r="M24" s="597"/>
    </row>
    <row r="25" spans="1:255">
      <c r="A25" s="580"/>
      <c r="B25" s="1371" t="s">
        <v>1118</v>
      </c>
      <c r="D25" s="600" t="s">
        <v>1154</v>
      </c>
      <c r="E25" s="599"/>
      <c r="F25" s="599"/>
      <c r="G25" s="599"/>
      <c r="H25" s="599"/>
      <c r="I25" s="599"/>
      <c r="J25" s="653">
        <v>11</v>
      </c>
      <c r="M25" s="597"/>
    </row>
    <row r="26" spans="1:255">
      <c r="A26" s="580"/>
      <c r="B26" s="1371" t="s">
        <v>1119</v>
      </c>
      <c r="D26" s="600" t="s">
        <v>1155</v>
      </c>
      <c r="E26" s="599"/>
      <c r="F26" s="599"/>
      <c r="G26" s="599"/>
      <c r="H26" s="599"/>
      <c r="I26" s="599"/>
      <c r="J26" s="653">
        <v>12</v>
      </c>
      <c r="M26" s="597"/>
    </row>
    <row r="27" spans="1:255">
      <c r="A27" s="580"/>
      <c r="B27" s="1371" t="s">
        <v>1120</v>
      </c>
      <c r="D27" s="600" t="s">
        <v>1156</v>
      </c>
      <c r="E27" s="599"/>
      <c r="F27" s="599"/>
      <c r="G27" s="599"/>
      <c r="H27" s="599"/>
      <c r="I27" s="599"/>
      <c r="J27" s="653">
        <v>13</v>
      </c>
      <c r="M27" s="597"/>
    </row>
    <row r="28" spans="1:255">
      <c r="A28" s="580"/>
      <c r="B28" s="1371" t="s">
        <v>1121</v>
      </c>
      <c r="D28" s="600" t="s">
        <v>1157</v>
      </c>
      <c r="E28" s="599"/>
      <c r="F28" s="599"/>
      <c r="G28" s="599"/>
      <c r="H28" s="599"/>
      <c r="I28" s="599"/>
      <c r="J28" s="653">
        <v>14</v>
      </c>
      <c r="M28" s="597"/>
    </row>
    <row r="29" spans="1:255">
      <c r="A29" s="580"/>
      <c r="B29" s="1371" t="s">
        <v>840</v>
      </c>
      <c r="D29" s="601" t="s">
        <v>809</v>
      </c>
      <c r="E29" s="599"/>
      <c r="F29" s="599"/>
      <c r="G29" s="599"/>
      <c r="H29" s="599"/>
      <c r="I29" s="599"/>
      <c r="J29" s="653">
        <v>15</v>
      </c>
      <c r="M29" s="597"/>
    </row>
    <row r="30" spans="1:255">
      <c r="A30" s="580"/>
      <c r="B30" s="1376" t="s">
        <v>858</v>
      </c>
      <c r="D30" s="600" t="s">
        <v>1158</v>
      </c>
      <c r="E30" s="600"/>
      <c r="F30" s="600"/>
      <c r="G30" s="600"/>
      <c r="H30" s="600"/>
      <c r="I30" s="600"/>
      <c r="J30" s="653">
        <v>16</v>
      </c>
      <c r="K30" s="580"/>
      <c r="L30" s="580"/>
      <c r="M30" s="580"/>
      <c r="N30" s="580"/>
      <c r="O30" s="580"/>
      <c r="P30" s="580"/>
      <c r="Q30" s="580"/>
      <c r="R30" s="580"/>
      <c r="S30" s="580"/>
      <c r="T30" s="580"/>
      <c r="U30" s="580"/>
      <c r="V30" s="580"/>
      <c r="W30" s="580"/>
      <c r="X30" s="580"/>
      <c r="Y30" s="580"/>
      <c r="Z30" s="580"/>
      <c r="AA30" s="580"/>
      <c r="AB30" s="580"/>
      <c r="AC30" s="580"/>
      <c r="AD30" s="580"/>
      <c r="AE30" s="580"/>
      <c r="AF30" s="580"/>
      <c r="AG30" s="580"/>
      <c r="AH30" s="580"/>
      <c r="AI30" s="580"/>
      <c r="AJ30" s="580"/>
      <c r="AK30" s="580"/>
      <c r="AL30" s="580"/>
      <c r="AM30" s="580"/>
      <c r="AN30" s="580"/>
      <c r="AO30" s="580"/>
      <c r="AP30" s="580"/>
      <c r="AQ30" s="580"/>
      <c r="AR30" s="580"/>
      <c r="AS30" s="580"/>
      <c r="AT30" s="580"/>
      <c r="AU30" s="580"/>
      <c r="AV30" s="580"/>
      <c r="AW30" s="580"/>
      <c r="AX30" s="580"/>
      <c r="AY30" s="580"/>
      <c r="AZ30" s="580"/>
      <c r="BA30" s="580"/>
      <c r="BB30" s="580"/>
      <c r="BC30" s="580"/>
      <c r="BD30" s="580"/>
      <c r="BE30" s="580"/>
      <c r="BF30" s="580"/>
      <c r="BG30" s="580"/>
      <c r="BH30" s="580"/>
      <c r="BI30" s="580"/>
      <c r="BJ30" s="580"/>
      <c r="BK30" s="580"/>
      <c r="BL30" s="580"/>
      <c r="BM30" s="580"/>
      <c r="BN30" s="580"/>
      <c r="BO30" s="580"/>
      <c r="BP30" s="580"/>
      <c r="BQ30" s="580"/>
      <c r="BR30" s="580"/>
      <c r="BS30" s="580"/>
      <c r="BT30" s="580"/>
      <c r="BU30" s="580"/>
      <c r="BV30" s="580"/>
      <c r="BW30" s="580"/>
      <c r="BX30" s="580"/>
      <c r="BY30" s="580"/>
      <c r="BZ30" s="580"/>
      <c r="CA30" s="580"/>
      <c r="CB30" s="580"/>
      <c r="CC30" s="580"/>
      <c r="CD30" s="580"/>
      <c r="CE30" s="580"/>
      <c r="CF30" s="580"/>
      <c r="CG30" s="580"/>
      <c r="CH30" s="580"/>
      <c r="CI30" s="580"/>
      <c r="CJ30" s="580"/>
      <c r="CK30" s="580"/>
      <c r="CL30" s="580"/>
      <c r="CM30" s="580"/>
      <c r="CN30" s="580"/>
      <c r="CO30" s="580"/>
      <c r="CP30" s="580"/>
      <c r="CQ30" s="580"/>
      <c r="CR30" s="580"/>
      <c r="CS30" s="580"/>
      <c r="CT30" s="580"/>
      <c r="CU30" s="580"/>
      <c r="CV30" s="580"/>
      <c r="CW30" s="580"/>
      <c r="CX30" s="580"/>
      <c r="CY30" s="580"/>
      <c r="CZ30" s="580"/>
      <c r="DA30" s="580"/>
      <c r="DB30" s="580"/>
      <c r="DC30" s="580"/>
      <c r="DD30" s="580"/>
      <c r="DE30" s="580"/>
      <c r="DF30" s="580"/>
      <c r="DG30" s="580"/>
      <c r="DH30" s="580"/>
      <c r="DI30" s="580"/>
      <c r="DJ30" s="580"/>
      <c r="DK30" s="580"/>
      <c r="DL30" s="580"/>
      <c r="DM30" s="580"/>
      <c r="DN30" s="580"/>
      <c r="DO30" s="580"/>
      <c r="DP30" s="580"/>
      <c r="DQ30" s="580"/>
      <c r="DR30" s="580"/>
      <c r="DS30" s="580"/>
      <c r="DT30" s="580"/>
      <c r="DU30" s="580"/>
      <c r="DV30" s="580"/>
      <c r="DW30" s="580"/>
      <c r="DX30" s="580"/>
      <c r="DY30" s="580"/>
      <c r="DZ30" s="580"/>
      <c r="EA30" s="580"/>
      <c r="EB30" s="580"/>
      <c r="EC30" s="580"/>
      <c r="ED30" s="580"/>
      <c r="EE30" s="580"/>
      <c r="EF30" s="580"/>
      <c r="EG30" s="580"/>
      <c r="EH30" s="580"/>
      <c r="EI30" s="580"/>
      <c r="EJ30" s="580"/>
      <c r="EK30" s="580"/>
      <c r="EL30" s="580"/>
      <c r="EM30" s="580"/>
      <c r="EN30" s="580"/>
      <c r="EO30" s="580"/>
      <c r="EP30" s="580"/>
      <c r="EQ30" s="580"/>
      <c r="ER30" s="580"/>
      <c r="ES30" s="580"/>
      <c r="ET30" s="580"/>
      <c r="EU30" s="580"/>
      <c r="EV30" s="580"/>
      <c r="EW30" s="580"/>
      <c r="EX30" s="580"/>
      <c r="EY30" s="580"/>
      <c r="EZ30" s="580"/>
      <c r="FA30" s="580"/>
      <c r="FB30" s="580"/>
      <c r="FC30" s="580"/>
      <c r="FD30" s="580"/>
      <c r="FE30" s="580"/>
      <c r="FF30" s="580"/>
      <c r="FG30" s="580"/>
      <c r="FH30" s="580"/>
      <c r="FI30" s="580"/>
      <c r="FJ30" s="580"/>
      <c r="FK30" s="580"/>
      <c r="FL30" s="580"/>
      <c r="FM30" s="580"/>
      <c r="FN30" s="580"/>
      <c r="FO30" s="580"/>
      <c r="FP30" s="580"/>
      <c r="FQ30" s="580"/>
      <c r="FR30" s="580"/>
      <c r="FS30" s="580"/>
      <c r="FT30" s="580"/>
      <c r="FU30" s="580"/>
      <c r="FV30" s="580"/>
      <c r="FW30" s="580"/>
      <c r="FX30" s="580"/>
      <c r="FY30" s="580"/>
      <c r="FZ30" s="580"/>
      <c r="GA30" s="580"/>
      <c r="GB30" s="580"/>
      <c r="GC30" s="580"/>
      <c r="GD30" s="580"/>
      <c r="GE30" s="580"/>
      <c r="GF30" s="580"/>
      <c r="GG30" s="580"/>
      <c r="GH30" s="580"/>
      <c r="GI30" s="580"/>
      <c r="GJ30" s="580"/>
      <c r="GK30" s="580"/>
      <c r="GL30" s="580"/>
      <c r="GM30" s="580"/>
      <c r="GN30" s="580"/>
      <c r="GO30" s="580"/>
      <c r="GP30" s="580"/>
      <c r="GQ30" s="580"/>
      <c r="GR30" s="580"/>
      <c r="GS30" s="580"/>
      <c r="GT30" s="580"/>
      <c r="GU30" s="580"/>
      <c r="GV30" s="580"/>
      <c r="GW30" s="580"/>
      <c r="GX30" s="580"/>
      <c r="GY30" s="580"/>
      <c r="GZ30" s="580"/>
      <c r="HA30" s="580"/>
      <c r="HB30" s="580"/>
      <c r="HC30" s="580"/>
      <c r="HD30" s="580"/>
      <c r="HE30" s="580"/>
      <c r="HF30" s="580"/>
      <c r="HG30" s="580"/>
      <c r="HH30" s="580"/>
      <c r="HI30" s="580"/>
      <c r="HJ30" s="580"/>
      <c r="HK30" s="580"/>
      <c r="HL30" s="580"/>
      <c r="HM30" s="580"/>
      <c r="HN30" s="580"/>
      <c r="HO30" s="580"/>
      <c r="HP30" s="580"/>
      <c r="HQ30" s="580"/>
      <c r="HR30" s="580"/>
      <c r="HS30" s="580"/>
      <c r="HT30" s="580"/>
      <c r="HU30" s="580"/>
      <c r="HV30" s="580"/>
      <c r="HW30" s="580"/>
      <c r="HX30" s="580"/>
      <c r="HY30" s="580"/>
      <c r="HZ30" s="580"/>
      <c r="IA30" s="580"/>
      <c r="IB30" s="580"/>
      <c r="IC30" s="580"/>
      <c r="ID30" s="580"/>
      <c r="IE30" s="580"/>
      <c r="IF30" s="580"/>
      <c r="IG30" s="580"/>
      <c r="IH30" s="580"/>
      <c r="II30" s="580"/>
      <c r="IJ30" s="580"/>
      <c r="IK30" s="580"/>
      <c r="IL30" s="580"/>
      <c r="IM30" s="580"/>
      <c r="IN30" s="580"/>
      <c r="IO30" s="580"/>
      <c r="IP30" s="580"/>
      <c r="IQ30" s="580"/>
      <c r="IR30" s="580"/>
      <c r="IS30" s="580"/>
      <c r="IT30" s="580"/>
      <c r="IU30" s="580"/>
    </row>
    <row r="31" spans="1:255">
      <c r="A31" s="580"/>
      <c r="B31" s="1371" t="s">
        <v>1122</v>
      </c>
      <c r="D31" s="600" t="s">
        <v>1150</v>
      </c>
      <c r="E31" s="595"/>
      <c r="F31" s="595"/>
      <c r="G31" s="595"/>
      <c r="H31" s="595"/>
      <c r="I31" s="595"/>
      <c r="J31" s="653">
        <v>18</v>
      </c>
      <c r="K31" s="580"/>
      <c r="L31" s="580"/>
      <c r="M31" s="580"/>
      <c r="N31" s="580"/>
      <c r="O31" s="580"/>
      <c r="P31" s="580"/>
      <c r="Q31" s="580"/>
      <c r="R31" s="580"/>
      <c r="S31" s="580"/>
      <c r="T31" s="580"/>
      <c r="U31" s="580"/>
      <c r="V31" s="580"/>
      <c r="W31" s="580"/>
      <c r="X31" s="580"/>
      <c r="Y31" s="580"/>
      <c r="Z31" s="580"/>
      <c r="AA31" s="580"/>
      <c r="AB31" s="580"/>
      <c r="AC31" s="580"/>
      <c r="AD31" s="580"/>
      <c r="AE31" s="580"/>
      <c r="AF31" s="580"/>
      <c r="AG31" s="580"/>
      <c r="AH31" s="580"/>
      <c r="AI31" s="580"/>
      <c r="AJ31" s="580"/>
      <c r="AK31" s="580"/>
      <c r="AL31" s="580"/>
      <c r="AM31" s="580"/>
      <c r="AN31" s="580"/>
      <c r="AO31" s="580"/>
      <c r="AP31" s="580"/>
      <c r="AQ31" s="580"/>
      <c r="AR31" s="580"/>
      <c r="AS31" s="580"/>
      <c r="AT31" s="580"/>
      <c r="AU31" s="580"/>
      <c r="AV31" s="580"/>
      <c r="AW31" s="580"/>
      <c r="AX31" s="580"/>
      <c r="AY31" s="580"/>
      <c r="AZ31" s="580"/>
      <c r="BA31" s="580"/>
      <c r="BB31" s="580"/>
      <c r="BC31" s="580"/>
      <c r="BD31" s="580"/>
      <c r="BE31" s="580"/>
      <c r="BF31" s="580"/>
      <c r="BG31" s="580"/>
      <c r="BH31" s="580"/>
      <c r="BI31" s="580"/>
      <c r="BJ31" s="580"/>
      <c r="BK31" s="580"/>
      <c r="BL31" s="580"/>
      <c r="BM31" s="580"/>
      <c r="BN31" s="580"/>
      <c r="BO31" s="580"/>
      <c r="BP31" s="580"/>
      <c r="BQ31" s="580"/>
      <c r="BR31" s="580"/>
      <c r="BS31" s="580"/>
      <c r="BT31" s="580"/>
      <c r="BU31" s="580"/>
      <c r="BV31" s="580"/>
      <c r="BW31" s="580"/>
      <c r="BX31" s="580"/>
      <c r="BY31" s="580"/>
      <c r="BZ31" s="580"/>
      <c r="CA31" s="580"/>
      <c r="CB31" s="580"/>
      <c r="CC31" s="580"/>
      <c r="CD31" s="580"/>
      <c r="CE31" s="580"/>
      <c r="CF31" s="580"/>
      <c r="CG31" s="580"/>
      <c r="CH31" s="580"/>
      <c r="CI31" s="580"/>
      <c r="CJ31" s="580"/>
      <c r="CK31" s="580"/>
      <c r="CL31" s="580"/>
      <c r="CM31" s="580"/>
      <c r="CN31" s="580"/>
      <c r="CO31" s="580"/>
      <c r="CP31" s="580"/>
      <c r="CQ31" s="580"/>
      <c r="CR31" s="580"/>
      <c r="CS31" s="580"/>
      <c r="CT31" s="580"/>
      <c r="CU31" s="580"/>
      <c r="CV31" s="580"/>
      <c r="CW31" s="580"/>
      <c r="CX31" s="580"/>
      <c r="CY31" s="580"/>
      <c r="CZ31" s="580"/>
      <c r="DA31" s="580"/>
      <c r="DB31" s="580"/>
      <c r="DC31" s="580"/>
      <c r="DD31" s="580"/>
      <c r="DE31" s="580"/>
      <c r="DF31" s="580"/>
      <c r="DG31" s="580"/>
      <c r="DH31" s="580"/>
      <c r="DI31" s="580"/>
      <c r="DJ31" s="580"/>
      <c r="DK31" s="580"/>
      <c r="DL31" s="580"/>
      <c r="DM31" s="580"/>
      <c r="DN31" s="580"/>
      <c r="DO31" s="580"/>
      <c r="DP31" s="580"/>
      <c r="DQ31" s="580"/>
      <c r="DR31" s="580"/>
      <c r="DS31" s="580"/>
      <c r="DT31" s="580"/>
      <c r="DU31" s="580"/>
      <c r="DV31" s="580"/>
      <c r="DW31" s="580"/>
      <c r="DX31" s="580"/>
      <c r="DY31" s="580"/>
      <c r="DZ31" s="580"/>
      <c r="EA31" s="580"/>
      <c r="EB31" s="580"/>
      <c r="EC31" s="580"/>
      <c r="ED31" s="580"/>
      <c r="EE31" s="580"/>
      <c r="EF31" s="580"/>
      <c r="EG31" s="580"/>
      <c r="EH31" s="580"/>
      <c r="EI31" s="580"/>
      <c r="EJ31" s="580"/>
      <c r="EK31" s="580"/>
      <c r="EL31" s="580"/>
      <c r="EM31" s="580"/>
      <c r="EN31" s="580"/>
      <c r="EO31" s="580"/>
      <c r="EP31" s="580"/>
      <c r="EQ31" s="580"/>
      <c r="ER31" s="580"/>
      <c r="ES31" s="580"/>
      <c r="ET31" s="580"/>
      <c r="EU31" s="580"/>
      <c r="EV31" s="580"/>
      <c r="EW31" s="580"/>
      <c r="EX31" s="580"/>
      <c r="EY31" s="580"/>
      <c r="EZ31" s="580"/>
      <c r="FA31" s="580"/>
      <c r="FB31" s="580"/>
      <c r="FC31" s="580"/>
      <c r="FD31" s="580"/>
      <c r="FE31" s="580"/>
      <c r="FF31" s="580"/>
      <c r="FG31" s="580"/>
      <c r="FH31" s="580"/>
      <c r="FI31" s="580"/>
      <c r="FJ31" s="580"/>
      <c r="FK31" s="580"/>
      <c r="FL31" s="580"/>
      <c r="FM31" s="580"/>
      <c r="FN31" s="580"/>
      <c r="FO31" s="580"/>
      <c r="FP31" s="580"/>
      <c r="FQ31" s="580"/>
      <c r="FR31" s="580"/>
      <c r="FS31" s="580"/>
      <c r="FT31" s="580"/>
      <c r="FU31" s="580"/>
      <c r="FV31" s="580"/>
      <c r="FW31" s="580"/>
      <c r="FX31" s="580"/>
      <c r="FY31" s="580"/>
      <c r="FZ31" s="580"/>
      <c r="GA31" s="580"/>
      <c r="GB31" s="580"/>
      <c r="GC31" s="580"/>
      <c r="GD31" s="580"/>
      <c r="GE31" s="580"/>
      <c r="GF31" s="580"/>
      <c r="GG31" s="580"/>
      <c r="GH31" s="580"/>
      <c r="GI31" s="580"/>
      <c r="GJ31" s="580"/>
      <c r="GK31" s="580"/>
      <c r="GL31" s="580"/>
      <c r="GM31" s="580"/>
      <c r="GN31" s="580"/>
      <c r="GO31" s="580"/>
      <c r="GP31" s="580"/>
      <c r="GQ31" s="580"/>
      <c r="GR31" s="580"/>
      <c r="GS31" s="580"/>
      <c r="GT31" s="580"/>
      <c r="GU31" s="580"/>
      <c r="GV31" s="580"/>
      <c r="GW31" s="580"/>
      <c r="GX31" s="580"/>
      <c r="GY31" s="580"/>
      <c r="GZ31" s="580"/>
      <c r="HA31" s="580"/>
      <c r="HB31" s="580"/>
      <c r="HC31" s="580"/>
      <c r="HD31" s="580"/>
      <c r="HE31" s="580"/>
      <c r="HF31" s="580"/>
      <c r="HG31" s="580"/>
      <c r="HH31" s="580"/>
      <c r="HI31" s="580"/>
      <c r="HJ31" s="580"/>
      <c r="HK31" s="580"/>
      <c r="HL31" s="580"/>
      <c r="HM31" s="580"/>
      <c r="HN31" s="580"/>
      <c r="HO31" s="580"/>
      <c r="HP31" s="580"/>
      <c r="HQ31" s="580"/>
      <c r="HR31" s="580"/>
      <c r="HS31" s="580"/>
      <c r="HT31" s="580"/>
      <c r="HU31" s="580"/>
      <c r="HV31" s="580"/>
      <c r="HW31" s="580"/>
      <c r="HX31" s="580"/>
      <c r="HY31" s="580"/>
      <c r="HZ31" s="580"/>
      <c r="IA31" s="580"/>
      <c r="IB31" s="580"/>
      <c r="IC31" s="580"/>
      <c r="ID31" s="580"/>
      <c r="IE31" s="580"/>
      <c r="IF31" s="580"/>
      <c r="IG31" s="580"/>
      <c r="IH31" s="580"/>
      <c r="II31" s="580"/>
      <c r="IJ31" s="580"/>
      <c r="IK31" s="580"/>
      <c r="IL31" s="580"/>
      <c r="IM31" s="580"/>
      <c r="IN31" s="580"/>
      <c r="IO31" s="580"/>
      <c r="IP31" s="580"/>
      <c r="IQ31" s="580"/>
      <c r="IR31" s="580"/>
      <c r="IS31" s="580"/>
      <c r="IT31" s="580"/>
      <c r="IU31" s="580"/>
    </row>
    <row r="32" spans="1:255">
      <c r="A32" s="580"/>
      <c r="B32" s="1371"/>
      <c r="D32" s="602"/>
      <c r="E32" s="602"/>
      <c r="F32" s="602"/>
      <c r="G32" s="602"/>
      <c r="H32" s="602"/>
      <c r="I32" s="602"/>
      <c r="J32" s="653"/>
      <c r="K32" s="580"/>
      <c r="L32" s="580"/>
      <c r="M32" s="580"/>
      <c r="N32" s="580"/>
      <c r="O32" s="580"/>
      <c r="P32" s="580"/>
      <c r="Q32" s="580"/>
      <c r="R32" s="580"/>
      <c r="S32" s="580"/>
      <c r="T32" s="580"/>
      <c r="U32" s="580"/>
      <c r="V32" s="580"/>
      <c r="W32" s="580"/>
      <c r="X32" s="580"/>
      <c r="Y32" s="580"/>
      <c r="Z32" s="580"/>
      <c r="AA32" s="580"/>
      <c r="AB32" s="580"/>
      <c r="AC32" s="580"/>
      <c r="AD32" s="580"/>
      <c r="AE32" s="580"/>
      <c r="AF32" s="580"/>
      <c r="AG32" s="580"/>
      <c r="AH32" s="580"/>
      <c r="AI32" s="580"/>
      <c r="AJ32" s="580"/>
      <c r="AK32" s="580"/>
      <c r="AL32" s="580"/>
      <c r="AM32" s="580"/>
      <c r="AN32" s="580"/>
      <c r="AO32" s="580"/>
      <c r="AP32" s="580"/>
      <c r="AQ32" s="580"/>
      <c r="AR32" s="580"/>
      <c r="AS32" s="580"/>
      <c r="AT32" s="580"/>
      <c r="AU32" s="580"/>
      <c r="AV32" s="580"/>
      <c r="AW32" s="580"/>
      <c r="AX32" s="580"/>
      <c r="AY32" s="580"/>
      <c r="AZ32" s="580"/>
      <c r="BA32" s="580"/>
      <c r="BB32" s="580"/>
      <c r="BC32" s="580"/>
      <c r="BD32" s="580"/>
      <c r="BE32" s="580"/>
      <c r="BF32" s="580"/>
      <c r="BG32" s="580"/>
      <c r="BH32" s="580"/>
      <c r="BI32" s="580"/>
      <c r="BJ32" s="580"/>
      <c r="BK32" s="580"/>
      <c r="BL32" s="580"/>
      <c r="BM32" s="580"/>
      <c r="BN32" s="580"/>
      <c r="BO32" s="580"/>
      <c r="BP32" s="580"/>
      <c r="BQ32" s="580"/>
      <c r="BR32" s="580"/>
      <c r="BS32" s="580"/>
      <c r="BT32" s="580"/>
      <c r="BU32" s="580"/>
      <c r="BV32" s="580"/>
      <c r="BW32" s="580"/>
      <c r="BX32" s="580"/>
      <c r="BY32" s="580"/>
      <c r="BZ32" s="580"/>
      <c r="CA32" s="580"/>
      <c r="CB32" s="580"/>
      <c r="CC32" s="580"/>
      <c r="CD32" s="580"/>
      <c r="CE32" s="580"/>
      <c r="CF32" s="580"/>
      <c r="CG32" s="580"/>
      <c r="CH32" s="580"/>
      <c r="CI32" s="580"/>
      <c r="CJ32" s="580"/>
      <c r="CK32" s="580"/>
      <c r="CL32" s="580"/>
      <c r="CM32" s="580"/>
      <c r="CN32" s="580"/>
      <c r="CO32" s="580"/>
      <c r="CP32" s="580"/>
      <c r="CQ32" s="580"/>
      <c r="CR32" s="580"/>
      <c r="CS32" s="580"/>
      <c r="CT32" s="580"/>
      <c r="CU32" s="580"/>
      <c r="CV32" s="580"/>
      <c r="CW32" s="580"/>
      <c r="CX32" s="580"/>
      <c r="CY32" s="580"/>
      <c r="CZ32" s="580"/>
      <c r="DA32" s="580"/>
      <c r="DB32" s="580"/>
      <c r="DC32" s="580"/>
      <c r="DD32" s="580"/>
      <c r="DE32" s="580"/>
      <c r="DF32" s="580"/>
      <c r="DG32" s="580"/>
      <c r="DH32" s="580"/>
      <c r="DI32" s="580"/>
      <c r="DJ32" s="580"/>
      <c r="DK32" s="580"/>
      <c r="DL32" s="580"/>
      <c r="DM32" s="580"/>
      <c r="DN32" s="580"/>
      <c r="DO32" s="580"/>
      <c r="DP32" s="580"/>
      <c r="DQ32" s="580"/>
      <c r="DR32" s="580"/>
      <c r="DS32" s="580"/>
      <c r="DT32" s="580"/>
      <c r="DU32" s="580"/>
      <c r="DV32" s="580"/>
      <c r="DW32" s="580"/>
      <c r="DX32" s="580"/>
      <c r="DY32" s="580"/>
      <c r="DZ32" s="580"/>
      <c r="EA32" s="580"/>
      <c r="EB32" s="580"/>
      <c r="EC32" s="580"/>
      <c r="ED32" s="580"/>
      <c r="EE32" s="580"/>
      <c r="EF32" s="580"/>
      <c r="EG32" s="580"/>
      <c r="EH32" s="580"/>
      <c r="EI32" s="580"/>
      <c r="EJ32" s="580"/>
      <c r="EK32" s="580"/>
      <c r="EL32" s="580"/>
      <c r="EM32" s="580"/>
      <c r="EN32" s="580"/>
      <c r="EO32" s="580"/>
      <c r="EP32" s="580"/>
      <c r="EQ32" s="580"/>
      <c r="ER32" s="580"/>
      <c r="ES32" s="580"/>
      <c r="ET32" s="580"/>
      <c r="EU32" s="580"/>
      <c r="EV32" s="580"/>
      <c r="EW32" s="580"/>
      <c r="EX32" s="580"/>
      <c r="EY32" s="580"/>
      <c r="EZ32" s="580"/>
      <c r="FA32" s="580"/>
      <c r="FB32" s="580"/>
      <c r="FC32" s="580"/>
      <c r="FD32" s="580"/>
      <c r="FE32" s="580"/>
      <c r="FF32" s="580"/>
      <c r="FG32" s="580"/>
      <c r="FH32" s="580"/>
      <c r="FI32" s="580"/>
      <c r="FJ32" s="580"/>
      <c r="FK32" s="580"/>
      <c r="FL32" s="580"/>
      <c r="FM32" s="580"/>
      <c r="FN32" s="580"/>
      <c r="FO32" s="580"/>
      <c r="FP32" s="580"/>
      <c r="FQ32" s="580"/>
      <c r="FR32" s="580"/>
      <c r="FS32" s="580"/>
      <c r="FT32" s="580"/>
      <c r="FU32" s="580"/>
      <c r="FV32" s="580"/>
      <c r="FW32" s="580"/>
      <c r="FX32" s="580"/>
      <c r="FY32" s="580"/>
      <c r="FZ32" s="580"/>
      <c r="GA32" s="580"/>
      <c r="GB32" s="580"/>
      <c r="GC32" s="580"/>
      <c r="GD32" s="580"/>
      <c r="GE32" s="580"/>
      <c r="GF32" s="580"/>
      <c r="GG32" s="580"/>
      <c r="GH32" s="580"/>
      <c r="GI32" s="580"/>
      <c r="GJ32" s="580"/>
      <c r="GK32" s="580"/>
      <c r="GL32" s="580"/>
      <c r="GM32" s="580"/>
      <c r="GN32" s="580"/>
      <c r="GO32" s="580"/>
      <c r="GP32" s="580"/>
      <c r="GQ32" s="580"/>
      <c r="GR32" s="580"/>
      <c r="GS32" s="580"/>
      <c r="GT32" s="580"/>
      <c r="GU32" s="580"/>
      <c r="GV32" s="580"/>
      <c r="GW32" s="580"/>
      <c r="GX32" s="580"/>
      <c r="GY32" s="580"/>
      <c r="GZ32" s="580"/>
      <c r="HA32" s="580"/>
      <c r="HB32" s="580"/>
      <c r="HC32" s="580"/>
      <c r="HD32" s="580"/>
      <c r="HE32" s="580"/>
      <c r="HF32" s="580"/>
      <c r="HG32" s="580"/>
      <c r="HH32" s="580"/>
      <c r="HI32" s="580"/>
      <c r="HJ32" s="580"/>
      <c r="HK32" s="580"/>
      <c r="HL32" s="580"/>
      <c r="HM32" s="580"/>
      <c r="HN32" s="580"/>
      <c r="HO32" s="580"/>
      <c r="HP32" s="580"/>
      <c r="HQ32" s="580"/>
      <c r="HR32" s="580"/>
      <c r="HS32" s="580"/>
      <c r="HT32" s="580"/>
      <c r="HU32" s="580"/>
      <c r="HV32" s="580"/>
      <c r="HW32" s="580"/>
      <c r="HX32" s="580"/>
      <c r="HY32" s="580"/>
      <c r="HZ32" s="580"/>
      <c r="IA32" s="580"/>
      <c r="IB32" s="580"/>
      <c r="IC32" s="580"/>
      <c r="ID32" s="580"/>
      <c r="IE32" s="580"/>
      <c r="IF32" s="580"/>
      <c r="IG32" s="580"/>
      <c r="IH32" s="580"/>
      <c r="II32" s="580"/>
      <c r="IJ32" s="580"/>
      <c r="IK32" s="580"/>
      <c r="IL32" s="580"/>
      <c r="IM32" s="580"/>
      <c r="IN32" s="580"/>
      <c r="IO32" s="580"/>
      <c r="IP32" s="580"/>
      <c r="IQ32" s="580"/>
      <c r="IR32" s="580"/>
      <c r="IS32" s="580"/>
      <c r="IT32" s="580"/>
      <c r="IU32" s="580"/>
    </row>
    <row r="33" spans="1:255">
      <c r="A33" s="580"/>
      <c r="B33" s="1372"/>
      <c r="D33" s="602"/>
      <c r="E33" s="602"/>
      <c r="F33" s="602"/>
      <c r="G33" s="602"/>
      <c r="H33" s="602"/>
      <c r="I33" s="602"/>
      <c r="J33" s="653"/>
      <c r="M33" s="597"/>
    </row>
    <row r="34" spans="1:255">
      <c r="A34" s="580" t="s">
        <v>810</v>
      </c>
      <c r="B34" s="1373"/>
      <c r="C34" s="580"/>
      <c r="D34" s="580"/>
      <c r="E34" s="580"/>
      <c r="F34" s="580"/>
      <c r="G34" s="580"/>
      <c r="H34" s="580"/>
      <c r="I34" s="580"/>
      <c r="J34" s="654"/>
      <c r="M34" s="597"/>
    </row>
    <row r="35" spans="1:255">
      <c r="A35" s="580"/>
      <c r="B35" s="1373"/>
      <c r="C35" s="580"/>
      <c r="D35" s="603"/>
      <c r="E35" s="603"/>
      <c r="F35" s="603"/>
      <c r="G35" s="603"/>
      <c r="H35" s="603"/>
      <c r="I35" s="603"/>
      <c r="J35" s="655"/>
      <c r="M35" s="597"/>
    </row>
    <row r="36" spans="1:255">
      <c r="A36" s="580"/>
      <c r="B36" s="1376" t="s">
        <v>841</v>
      </c>
      <c r="D36" s="592" t="s">
        <v>862</v>
      </c>
      <c r="E36" s="592"/>
      <c r="F36" s="592"/>
      <c r="G36" s="592"/>
      <c r="H36" s="592"/>
      <c r="I36" s="592"/>
      <c r="J36" s="653">
        <v>20</v>
      </c>
      <c r="M36" s="597"/>
    </row>
    <row r="37" spans="1:255">
      <c r="A37" s="580"/>
      <c r="B37" s="1376" t="s">
        <v>811</v>
      </c>
      <c r="D37" s="602" t="s">
        <v>857</v>
      </c>
      <c r="E37" s="602"/>
      <c r="F37" s="602"/>
      <c r="G37" s="602"/>
      <c r="H37" s="602"/>
      <c r="I37" s="602"/>
      <c r="J37" s="653">
        <v>22</v>
      </c>
      <c r="M37" s="597"/>
    </row>
    <row r="38" spans="1:255">
      <c r="A38" s="580"/>
      <c r="B38" s="1376" t="s">
        <v>842</v>
      </c>
      <c r="D38" s="599" t="s">
        <v>1278</v>
      </c>
      <c r="E38" s="599"/>
      <c r="F38" s="599"/>
      <c r="G38" s="599"/>
      <c r="H38" s="599"/>
      <c r="I38" s="599"/>
      <c r="J38" s="653">
        <v>24</v>
      </c>
      <c r="M38" s="597"/>
    </row>
    <row r="39" spans="1:255">
      <c r="A39" s="580"/>
      <c r="B39" s="1376" t="s">
        <v>843</v>
      </c>
      <c r="D39" s="599" t="s">
        <v>1279</v>
      </c>
      <c r="E39" s="599"/>
      <c r="F39" s="599"/>
      <c r="G39" s="599"/>
      <c r="H39" s="599"/>
      <c r="I39" s="599"/>
      <c r="J39" s="653">
        <v>26</v>
      </c>
      <c r="M39" s="597"/>
    </row>
    <row r="40" spans="1:255">
      <c r="A40" s="580"/>
      <c r="B40" s="1371" t="s">
        <v>812</v>
      </c>
      <c r="D40" s="599" t="s">
        <v>1009</v>
      </c>
      <c r="E40" s="599"/>
      <c r="F40" s="599"/>
      <c r="G40" s="599"/>
      <c r="H40" s="599"/>
      <c r="I40" s="599"/>
      <c r="J40" s="653">
        <v>28</v>
      </c>
      <c r="M40" s="597"/>
    </row>
    <row r="41" spans="1:255">
      <c r="A41" s="580"/>
      <c r="B41" s="1376" t="s">
        <v>813</v>
      </c>
      <c r="D41" s="599" t="s">
        <v>969</v>
      </c>
      <c r="E41" s="599"/>
      <c r="F41" s="599"/>
      <c r="G41" s="599"/>
      <c r="H41" s="599"/>
      <c r="I41" s="599"/>
      <c r="J41" s="653">
        <v>29</v>
      </c>
      <c r="M41" s="597"/>
    </row>
    <row r="42" spans="1:255">
      <c r="A42" s="580"/>
      <c r="B42" s="1376" t="s">
        <v>844</v>
      </c>
      <c r="D42" s="599" t="s">
        <v>1280</v>
      </c>
      <c r="E42" s="599"/>
      <c r="F42" s="599"/>
      <c r="G42" s="599"/>
      <c r="H42" s="599"/>
      <c r="I42" s="599"/>
      <c r="J42" s="653">
        <v>31</v>
      </c>
      <c r="M42" s="597"/>
    </row>
    <row r="43" spans="1:255">
      <c r="A43" s="580"/>
      <c r="B43" s="1376" t="s">
        <v>845</v>
      </c>
      <c r="D43" s="599" t="s">
        <v>1281</v>
      </c>
      <c r="E43" s="599"/>
      <c r="F43" s="599"/>
      <c r="G43" s="599"/>
      <c r="H43" s="599"/>
      <c r="I43" s="599"/>
      <c r="J43" s="653">
        <v>33</v>
      </c>
      <c r="M43" s="597"/>
    </row>
    <row r="44" spans="1:255">
      <c r="A44" s="580"/>
      <c r="B44" s="1371" t="s">
        <v>814</v>
      </c>
      <c r="D44" s="599" t="s">
        <v>863</v>
      </c>
      <c r="E44" s="599"/>
      <c r="F44" s="599"/>
      <c r="G44" s="599"/>
      <c r="H44" s="599"/>
      <c r="I44" s="599"/>
      <c r="J44" s="653">
        <v>34</v>
      </c>
      <c r="M44" s="597"/>
    </row>
    <row r="45" spans="1:255">
      <c r="A45" s="580"/>
      <c r="B45" s="1376" t="s">
        <v>815</v>
      </c>
      <c r="D45" s="599" t="s">
        <v>859</v>
      </c>
      <c r="E45" s="599"/>
      <c r="F45" s="599"/>
      <c r="G45" s="599"/>
      <c r="H45" s="599"/>
      <c r="I45" s="599"/>
      <c r="J45" s="653">
        <v>35</v>
      </c>
      <c r="M45" s="597"/>
    </row>
    <row r="46" spans="1:255">
      <c r="A46" s="580"/>
      <c r="B46" s="1371" t="s">
        <v>816</v>
      </c>
      <c r="D46" s="599" t="s">
        <v>860</v>
      </c>
      <c r="E46" s="599"/>
      <c r="F46" s="599"/>
      <c r="G46" s="599"/>
      <c r="H46" s="599"/>
      <c r="I46" s="599"/>
      <c r="J46" s="653">
        <v>36</v>
      </c>
      <c r="M46" s="597"/>
    </row>
    <row r="47" spans="1:255">
      <c r="A47" s="580"/>
      <c r="B47" s="1371" t="s">
        <v>817</v>
      </c>
      <c r="D47" s="600" t="s">
        <v>861</v>
      </c>
      <c r="E47" s="600"/>
      <c r="F47" s="600"/>
      <c r="G47" s="600"/>
      <c r="H47" s="600"/>
      <c r="I47" s="600"/>
      <c r="J47" s="653">
        <v>37</v>
      </c>
      <c r="K47" s="580"/>
      <c r="L47" s="580"/>
      <c r="M47" s="580"/>
      <c r="N47" s="580"/>
      <c r="O47" s="580"/>
      <c r="P47" s="580"/>
      <c r="Q47" s="580"/>
      <c r="R47" s="580"/>
      <c r="S47" s="580"/>
      <c r="T47" s="580"/>
      <c r="U47" s="580"/>
      <c r="V47" s="580"/>
      <c r="W47" s="580"/>
      <c r="X47" s="580"/>
      <c r="Y47" s="580"/>
      <c r="Z47" s="580"/>
      <c r="AA47" s="580"/>
      <c r="AB47" s="580"/>
      <c r="AC47" s="580"/>
      <c r="AD47" s="580"/>
      <c r="AE47" s="580"/>
      <c r="AF47" s="580"/>
      <c r="AG47" s="580"/>
      <c r="AH47" s="580"/>
      <c r="AI47" s="580"/>
      <c r="AJ47" s="580"/>
      <c r="AK47" s="580"/>
      <c r="AL47" s="580"/>
      <c r="AM47" s="580"/>
      <c r="AN47" s="580"/>
      <c r="AO47" s="580"/>
      <c r="AP47" s="580"/>
      <c r="AQ47" s="580"/>
      <c r="AR47" s="580"/>
      <c r="AS47" s="580"/>
      <c r="AT47" s="580"/>
      <c r="AU47" s="580"/>
      <c r="AV47" s="580"/>
      <c r="AW47" s="580"/>
      <c r="AX47" s="580"/>
      <c r="AY47" s="580"/>
      <c r="AZ47" s="580"/>
      <c r="BA47" s="580"/>
      <c r="BB47" s="580"/>
      <c r="BC47" s="580"/>
      <c r="BD47" s="580"/>
      <c r="BE47" s="580"/>
      <c r="BF47" s="580"/>
      <c r="BG47" s="580"/>
      <c r="BH47" s="580"/>
      <c r="BI47" s="580"/>
      <c r="BJ47" s="580"/>
      <c r="BK47" s="580"/>
      <c r="BL47" s="580"/>
      <c r="BM47" s="580"/>
      <c r="BN47" s="580"/>
      <c r="BO47" s="580"/>
      <c r="BP47" s="580"/>
      <c r="BQ47" s="580"/>
      <c r="BR47" s="580"/>
      <c r="BS47" s="580"/>
      <c r="BT47" s="580"/>
      <c r="BU47" s="580"/>
      <c r="BV47" s="580"/>
      <c r="BW47" s="580"/>
      <c r="BX47" s="580"/>
      <c r="BY47" s="580"/>
      <c r="BZ47" s="580"/>
      <c r="CA47" s="580"/>
      <c r="CB47" s="580"/>
      <c r="CC47" s="580"/>
      <c r="CD47" s="580"/>
      <c r="CE47" s="580"/>
      <c r="CF47" s="580"/>
      <c r="CG47" s="580"/>
      <c r="CH47" s="580"/>
      <c r="CI47" s="580"/>
      <c r="CJ47" s="580"/>
      <c r="CK47" s="580"/>
      <c r="CL47" s="580"/>
      <c r="CM47" s="580"/>
      <c r="CN47" s="580"/>
      <c r="CO47" s="580"/>
      <c r="CP47" s="580"/>
      <c r="CQ47" s="580"/>
      <c r="CR47" s="580"/>
      <c r="CS47" s="580"/>
      <c r="CT47" s="580"/>
      <c r="CU47" s="580"/>
      <c r="CV47" s="580"/>
      <c r="CW47" s="580"/>
      <c r="CX47" s="580"/>
      <c r="CY47" s="580"/>
      <c r="CZ47" s="580"/>
      <c r="DA47" s="580"/>
      <c r="DB47" s="580"/>
      <c r="DC47" s="580"/>
      <c r="DD47" s="580"/>
      <c r="DE47" s="580"/>
      <c r="DF47" s="580"/>
      <c r="DG47" s="580"/>
      <c r="DH47" s="580"/>
      <c r="DI47" s="580"/>
      <c r="DJ47" s="580"/>
      <c r="DK47" s="580"/>
      <c r="DL47" s="580"/>
      <c r="DM47" s="580"/>
      <c r="DN47" s="580"/>
      <c r="DO47" s="580"/>
      <c r="DP47" s="580"/>
      <c r="DQ47" s="580"/>
      <c r="DR47" s="580"/>
      <c r="DS47" s="580"/>
      <c r="DT47" s="580"/>
      <c r="DU47" s="580"/>
      <c r="DV47" s="580"/>
      <c r="DW47" s="580"/>
      <c r="DX47" s="580"/>
      <c r="DY47" s="580"/>
      <c r="DZ47" s="580"/>
      <c r="EA47" s="580"/>
      <c r="EB47" s="580"/>
      <c r="EC47" s="580"/>
      <c r="ED47" s="580"/>
      <c r="EE47" s="580"/>
      <c r="EF47" s="580"/>
      <c r="EG47" s="580"/>
      <c r="EH47" s="580"/>
      <c r="EI47" s="580"/>
      <c r="EJ47" s="580"/>
      <c r="EK47" s="580"/>
      <c r="EL47" s="580"/>
      <c r="EM47" s="580"/>
      <c r="EN47" s="580"/>
      <c r="EO47" s="580"/>
      <c r="EP47" s="580"/>
      <c r="EQ47" s="580"/>
      <c r="ER47" s="580"/>
      <c r="ES47" s="580"/>
      <c r="ET47" s="580"/>
      <c r="EU47" s="580"/>
      <c r="EV47" s="580"/>
      <c r="EW47" s="580"/>
      <c r="EX47" s="580"/>
      <c r="EY47" s="580"/>
      <c r="EZ47" s="580"/>
      <c r="FA47" s="580"/>
      <c r="FB47" s="580"/>
      <c r="FC47" s="580"/>
      <c r="FD47" s="580"/>
      <c r="FE47" s="580"/>
      <c r="FF47" s="580"/>
      <c r="FG47" s="580"/>
      <c r="FH47" s="580"/>
      <c r="FI47" s="580"/>
      <c r="FJ47" s="580"/>
      <c r="FK47" s="580"/>
      <c r="FL47" s="580"/>
      <c r="FM47" s="580"/>
      <c r="FN47" s="580"/>
      <c r="FO47" s="580"/>
      <c r="FP47" s="580"/>
      <c r="FQ47" s="580"/>
      <c r="FR47" s="580"/>
      <c r="FS47" s="580"/>
      <c r="FT47" s="580"/>
      <c r="FU47" s="580"/>
      <c r="FV47" s="580"/>
      <c r="FW47" s="580"/>
      <c r="FX47" s="580"/>
      <c r="FY47" s="580"/>
      <c r="FZ47" s="580"/>
      <c r="GA47" s="580"/>
      <c r="GB47" s="580"/>
      <c r="GC47" s="580"/>
      <c r="GD47" s="580"/>
      <c r="GE47" s="580"/>
      <c r="GF47" s="580"/>
      <c r="GG47" s="580"/>
      <c r="GH47" s="580"/>
      <c r="GI47" s="580"/>
      <c r="GJ47" s="580"/>
      <c r="GK47" s="580"/>
      <c r="GL47" s="580"/>
      <c r="GM47" s="580"/>
      <c r="GN47" s="580"/>
      <c r="GO47" s="580"/>
      <c r="GP47" s="580"/>
      <c r="GQ47" s="580"/>
      <c r="GR47" s="580"/>
      <c r="GS47" s="580"/>
      <c r="GT47" s="580"/>
      <c r="GU47" s="580"/>
      <c r="GV47" s="580"/>
      <c r="GW47" s="580"/>
      <c r="GX47" s="580"/>
      <c r="GY47" s="580"/>
      <c r="GZ47" s="580"/>
      <c r="HA47" s="580"/>
      <c r="HB47" s="580"/>
      <c r="HC47" s="580"/>
      <c r="HD47" s="580"/>
      <c r="HE47" s="580"/>
      <c r="HF47" s="580"/>
      <c r="HG47" s="580"/>
      <c r="HH47" s="580"/>
      <c r="HI47" s="580"/>
      <c r="HJ47" s="580"/>
      <c r="HK47" s="580"/>
      <c r="HL47" s="580"/>
      <c r="HM47" s="580"/>
      <c r="HN47" s="580"/>
      <c r="HO47" s="580"/>
      <c r="HP47" s="580"/>
      <c r="HQ47" s="580"/>
      <c r="HR47" s="580"/>
      <c r="HS47" s="580"/>
      <c r="HT47" s="580"/>
      <c r="HU47" s="580"/>
      <c r="HV47" s="580"/>
      <c r="HW47" s="580"/>
      <c r="HX47" s="580"/>
      <c r="HY47" s="580"/>
      <c r="HZ47" s="580"/>
      <c r="IA47" s="580"/>
      <c r="IB47" s="580"/>
      <c r="IC47" s="580"/>
      <c r="ID47" s="580"/>
      <c r="IE47" s="580"/>
      <c r="IF47" s="580"/>
      <c r="IG47" s="580"/>
      <c r="IH47" s="580"/>
      <c r="II47" s="580"/>
      <c r="IJ47" s="580"/>
      <c r="IK47" s="580"/>
      <c r="IL47" s="580"/>
      <c r="IM47" s="580"/>
      <c r="IN47" s="580"/>
      <c r="IO47" s="580"/>
      <c r="IP47" s="580"/>
      <c r="IQ47" s="580"/>
      <c r="IR47" s="580"/>
      <c r="IS47" s="580"/>
      <c r="IT47" s="580"/>
      <c r="IU47" s="580"/>
    </row>
    <row r="48" spans="1:255">
      <c r="A48" s="580"/>
      <c r="B48" s="1372"/>
      <c r="D48" s="602"/>
      <c r="E48" s="602"/>
      <c r="F48" s="602"/>
      <c r="G48" s="602"/>
      <c r="H48" s="602"/>
      <c r="I48" s="602"/>
      <c r="J48" s="653"/>
      <c r="M48" s="597"/>
    </row>
    <row r="49" spans="1:13">
      <c r="A49" s="580" t="s">
        <v>818</v>
      </c>
      <c r="B49" s="1372"/>
      <c r="D49" s="602"/>
      <c r="E49" s="602"/>
      <c r="F49" s="602"/>
      <c r="G49" s="602"/>
      <c r="H49" s="602"/>
      <c r="I49" s="602"/>
      <c r="J49" s="653"/>
      <c r="M49" s="597"/>
    </row>
    <row r="50" spans="1:13">
      <c r="A50" s="580"/>
      <c r="B50" s="1373"/>
      <c r="C50" s="580"/>
      <c r="D50" s="603"/>
      <c r="E50" s="603"/>
      <c r="F50" s="603"/>
      <c r="G50" s="603"/>
      <c r="H50" s="603"/>
      <c r="I50" s="603"/>
      <c r="J50" s="654"/>
      <c r="M50" s="597"/>
    </row>
    <row r="51" spans="1:13">
      <c r="A51" s="580"/>
      <c r="B51" s="1371" t="s">
        <v>819</v>
      </c>
      <c r="D51" s="602" t="s">
        <v>864</v>
      </c>
      <c r="E51" s="602"/>
      <c r="F51" s="602"/>
      <c r="G51" s="602"/>
      <c r="H51" s="602"/>
      <c r="I51" s="602"/>
      <c r="J51" s="653">
        <v>38</v>
      </c>
      <c r="M51" s="597"/>
    </row>
    <row r="52" spans="1:13">
      <c r="A52" s="580"/>
      <c r="B52" s="1371" t="s">
        <v>820</v>
      </c>
      <c r="D52" s="599" t="s">
        <v>865</v>
      </c>
      <c r="E52" s="599"/>
      <c r="F52" s="599"/>
      <c r="G52" s="599"/>
      <c r="H52" s="599"/>
      <c r="I52" s="599"/>
      <c r="J52" s="653">
        <v>41</v>
      </c>
      <c r="M52" s="597"/>
    </row>
    <row r="53" spans="1:13">
      <c r="A53" s="580"/>
      <c r="B53" s="1371" t="s">
        <v>821</v>
      </c>
      <c r="D53" s="599" t="s">
        <v>866</v>
      </c>
      <c r="E53" s="599"/>
      <c r="F53" s="599"/>
      <c r="G53" s="599"/>
      <c r="H53" s="599"/>
      <c r="I53" s="599"/>
      <c r="J53" s="653">
        <v>42</v>
      </c>
      <c r="M53" s="597"/>
    </row>
    <row r="54" spans="1:13">
      <c r="A54" s="580"/>
      <c r="B54" s="1371" t="s">
        <v>822</v>
      </c>
      <c r="D54" s="599" t="s">
        <v>869</v>
      </c>
      <c r="E54" s="599"/>
      <c r="F54" s="599"/>
      <c r="G54" s="599"/>
      <c r="H54" s="599"/>
      <c r="I54" s="599"/>
      <c r="J54" s="653">
        <v>43</v>
      </c>
      <c r="M54" s="597"/>
    </row>
    <row r="55" spans="1:13">
      <c r="A55" s="580"/>
      <c r="B55" s="1371" t="s">
        <v>823</v>
      </c>
      <c r="D55" s="599" t="s">
        <v>867</v>
      </c>
      <c r="E55" s="599"/>
      <c r="F55" s="599"/>
      <c r="G55" s="599"/>
      <c r="H55" s="599"/>
      <c r="I55" s="599"/>
      <c r="J55" s="653">
        <v>44</v>
      </c>
      <c r="K55" s="604"/>
      <c r="M55" s="597"/>
    </row>
    <row r="56" spans="1:13">
      <c r="A56" s="580"/>
      <c r="B56" s="1376" t="s">
        <v>824</v>
      </c>
      <c r="D56" s="599" t="s">
        <v>868</v>
      </c>
      <c r="E56" s="599"/>
      <c r="F56" s="599"/>
      <c r="G56" s="599"/>
      <c r="H56" s="599"/>
      <c r="I56" s="599"/>
      <c r="J56" s="653">
        <v>45</v>
      </c>
      <c r="K56" s="590"/>
    </row>
    <row r="57" spans="1:13">
      <c r="A57" s="580"/>
      <c r="B57" s="1371" t="s">
        <v>825</v>
      </c>
      <c r="D57" s="600" t="s">
        <v>826</v>
      </c>
      <c r="E57" s="600"/>
      <c r="F57" s="600"/>
      <c r="G57" s="600"/>
      <c r="H57" s="600"/>
      <c r="I57" s="600"/>
      <c r="J57" s="653">
        <v>46</v>
      </c>
      <c r="K57" s="590"/>
    </row>
    <row r="58" spans="1:13">
      <c r="A58" s="580"/>
      <c r="B58" s="1374" t="s">
        <v>846</v>
      </c>
      <c r="D58" s="592" t="s">
        <v>827</v>
      </c>
      <c r="E58" s="592"/>
      <c r="F58" s="592"/>
      <c r="G58" s="592"/>
      <c r="H58" s="592"/>
      <c r="I58" s="592"/>
      <c r="J58" s="653">
        <v>47</v>
      </c>
      <c r="K58" s="590"/>
      <c r="M58" s="597"/>
    </row>
    <row r="59" spans="1:13">
      <c r="A59" s="580"/>
      <c r="B59" s="1375" t="s">
        <v>847</v>
      </c>
      <c r="D59" s="595" t="s">
        <v>828</v>
      </c>
      <c r="E59" s="595"/>
      <c r="F59" s="595"/>
      <c r="G59" s="595"/>
      <c r="H59" s="595"/>
      <c r="I59" s="595"/>
      <c r="J59" s="653">
        <v>48</v>
      </c>
      <c r="K59" s="590"/>
      <c r="M59" s="597"/>
    </row>
    <row r="60" spans="1:13">
      <c r="A60" s="580"/>
      <c r="B60" s="1375" t="s">
        <v>848</v>
      </c>
      <c r="D60" s="605" t="s">
        <v>829</v>
      </c>
      <c r="E60" s="595"/>
      <c r="F60" s="605"/>
      <c r="G60" s="595"/>
      <c r="H60" s="595"/>
      <c r="I60" s="595"/>
      <c r="J60" s="653">
        <v>49</v>
      </c>
      <c r="K60" s="590"/>
      <c r="M60" s="597"/>
    </row>
    <row r="61" spans="1:13">
      <c r="A61" s="580"/>
      <c r="B61" s="1375" t="s">
        <v>849</v>
      </c>
      <c r="D61" s="595" t="s">
        <v>830</v>
      </c>
      <c r="E61" s="595"/>
      <c r="F61" s="595"/>
      <c r="G61" s="595"/>
      <c r="H61" s="595"/>
      <c r="I61" s="595"/>
      <c r="J61" s="653">
        <v>50</v>
      </c>
      <c r="K61" s="602"/>
      <c r="M61" s="597"/>
    </row>
    <row r="62" spans="1:13">
      <c r="A62" s="580"/>
      <c r="B62" s="1634" t="s">
        <v>850</v>
      </c>
      <c r="D62" s="595" t="s">
        <v>1282</v>
      </c>
      <c r="E62" s="595"/>
      <c r="F62" s="595"/>
      <c r="G62" s="595"/>
      <c r="H62" s="596"/>
      <c r="I62" s="595"/>
      <c r="J62" s="653">
        <v>51</v>
      </c>
      <c r="K62" s="602"/>
      <c r="M62" s="597"/>
    </row>
    <row r="63" spans="1:13">
      <c r="A63" s="580"/>
      <c r="B63" s="1634" t="s">
        <v>851</v>
      </c>
      <c r="D63" s="595" t="s">
        <v>831</v>
      </c>
      <c r="E63" s="595"/>
      <c r="F63" s="595"/>
      <c r="G63" s="595"/>
      <c r="H63" s="596"/>
      <c r="I63" s="595"/>
      <c r="J63" s="653">
        <v>52</v>
      </c>
      <c r="K63" s="602"/>
      <c r="M63" s="597"/>
    </row>
    <row r="64" spans="1:13">
      <c r="A64" s="580"/>
      <c r="B64" s="1376" t="s">
        <v>852</v>
      </c>
      <c r="D64" s="595" t="s">
        <v>1223</v>
      </c>
      <c r="E64" s="595"/>
      <c r="F64" s="595"/>
      <c r="G64" s="595"/>
      <c r="H64" s="596"/>
      <c r="I64" s="595"/>
      <c r="J64" s="653">
        <v>56</v>
      </c>
      <c r="K64" s="602"/>
      <c r="M64" s="597"/>
    </row>
    <row r="65" spans="1:13" ht="13.35" customHeight="1">
      <c r="A65" s="580"/>
      <c r="B65" s="1376" t="s">
        <v>1420</v>
      </c>
      <c r="D65" s="595" t="s">
        <v>1450</v>
      </c>
      <c r="E65" s="595"/>
      <c r="F65" s="595"/>
      <c r="G65" s="595"/>
      <c r="H65" s="596"/>
      <c r="I65" s="595"/>
      <c r="J65" s="653">
        <v>57</v>
      </c>
      <c r="K65" s="602"/>
      <c r="M65" s="597"/>
    </row>
    <row r="66" spans="1:13" ht="13.35" customHeight="1">
      <c r="A66" s="580"/>
      <c r="B66" s="1376" t="s">
        <v>1421</v>
      </c>
      <c r="D66" s="595" t="s">
        <v>1451</v>
      </c>
      <c r="E66" s="595"/>
      <c r="F66" s="595"/>
      <c r="G66" s="595"/>
      <c r="H66" s="596"/>
      <c r="I66" s="595"/>
      <c r="J66" s="653">
        <v>58</v>
      </c>
      <c r="K66" s="602"/>
      <c r="M66" s="597"/>
    </row>
    <row r="67" spans="1:13" ht="13.35" customHeight="1">
      <c r="A67" s="580"/>
      <c r="B67" s="606"/>
      <c r="D67" s="607"/>
      <c r="E67" s="607"/>
      <c r="F67" s="607"/>
      <c r="G67" s="607"/>
      <c r="H67" s="607"/>
      <c r="I67" s="607"/>
      <c r="J67" s="594"/>
      <c r="K67" s="602"/>
      <c r="M67" s="597"/>
    </row>
    <row r="68" spans="1:13" ht="13.35" customHeight="1">
      <c r="A68" s="580"/>
      <c r="B68" s="606"/>
      <c r="D68" s="607"/>
      <c r="E68" s="607"/>
      <c r="F68" s="607"/>
      <c r="G68" s="607"/>
      <c r="H68" s="607"/>
      <c r="I68" s="607"/>
      <c r="J68" s="594"/>
      <c r="K68" s="602"/>
      <c r="M68" s="597"/>
    </row>
    <row r="69" spans="1:13" ht="13.35" customHeight="1">
      <c r="A69" s="580"/>
      <c r="B69" s="606"/>
      <c r="D69" s="607"/>
      <c r="E69" s="607"/>
      <c r="F69" s="607"/>
      <c r="G69" s="607"/>
      <c r="H69" s="607"/>
      <c r="I69" s="607"/>
      <c r="J69" s="594"/>
      <c r="K69" s="602"/>
      <c r="M69" s="597"/>
    </row>
    <row r="70" spans="1:13" ht="13.35" customHeight="1">
      <c r="A70" s="580"/>
      <c r="B70" s="606"/>
      <c r="D70" s="607"/>
      <c r="E70" s="607"/>
      <c r="F70" s="607"/>
      <c r="G70" s="607"/>
      <c r="H70" s="607"/>
      <c r="I70" s="607"/>
      <c r="J70" s="594"/>
      <c r="K70" s="602"/>
      <c r="M70" s="597"/>
    </row>
    <row r="71" spans="1:13" ht="13.35" customHeight="1">
      <c r="A71" s="580"/>
      <c r="B71" s="606"/>
      <c r="D71" s="607"/>
      <c r="E71" s="607"/>
      <c r="F71" s="607"/>
      <c r="G71" s="607"/>
      <c r="H71" s="607"/>
      <c r="I71" s="607"/>
      <c r="J71" s="594"/>
      <c r="K71" s="602"/>
      <c r="M71" s="597"/>
    </row>
    <row r="72" spans="1:13" ht="13.35" customHeight="1">
      <c r="A72" s="580"/>
      <c r="B72" s="606"/>
      <c r="D72" s="607"/>
      <c r="E72" s="607"/>
      <c r="F72" s="607"/>
      <c r="G72" s="607"/>
      <c r="H72" s="607"/>
      <c r="I72" s="607"/>
      <c r="J72" s="594"/>
      <c r="K72" s="602"/>
      <c r="M72" s="597"/>
    </row>
    <row r="73" spans="1:13" ht="13.35" customHeight="1">
      <c r="A73" s="580"/>
      <c r="B73" s="606"/>
      <c r="D73" s="607"/>
      <c r="E73" s="607"/>
      <c r="F73" s="607"/>
      <c r="G73" s="607"/>
      <c r="H73" s="607"/>
      <c r="I73" s="607"/>
      <c r="J73" s="594"/>
      <c r="K73" s="602"/>
      <c r="M73" s="597"/>
    </row>
    <row r="74" spans="1:13" ht="13.35" customHeight="1">
      <c r="A74" s="580"/>
      <c r="B74" s="606"/>
      <c r="D74" s="607"/>
      <c r="E74" s="607"/>
      <c r="F74" s="607"/>
      <c r="G74" s="607"/>
      <c r="H74" s="607"/>
      <c r="I74" s="607"/>
      <c r="J74" s="594"/>
      <c r="K74" s="602"/>
      <c r="M74" s="597"/>
    </row>
    <row r="75" spans="1:13" ht="13.35" customHeight="1">
      <c r="A75" s="580"/>
      <c r="B75" s="606"/>
      <c r="D75" s="607"/>
      <c r="E75" s="607"/>
      <c r="F75" s="607"/>
      <c r="G75" s="607"/>
      <c r="H75" s="607"/>
      <c r="I75" s="607"/>
      <c r="J75" s="594"/>
      <c r="K75" s="602"/>
      <c r="M75" s="597"/>
    </row>
    <row r="76" spans="1:13" ht="13.35" customHeight="1">
      <c r="A76" s="580"/>
      <c r="B76" s="606"/>
      <c r="D76" s="607"/>
      <c r="E76" s="607"/>
      <c r="F76" s="607"/>
      <c r="G76" s="607"/>
      <c r="H76" s="607"/>
      <c r="I76" s="607"/>
      <c r="J76" s="594"/>
      <c r="K76" s="602"/>
      <c r="M76" s="597"/>
    </row>
    <row r="77" spans="1:13" ht="13.35" customHeight="1">
      <c r="A77" s="580"/>
      <c r="B77" s="606"/>
      <c r="D77" s="607"/>
      <c r="E77" s="607"/>
      <c r="F77" s="607"/>
      <c r="G77" s="607"/>
      <c r="H77" s="607"/>
      <c r="I77" s="607"/>
      <c r="J77" s="594"/>
      <c r="K77" s="602"/>
      <c r="M77" s="597"/>
    </row>
    <row r="78" spans="1:13" ht="13.35" customHeight="1">
      <c r="A78" s="580"/>
      <c r="B78" s="606"/>
      <c r="D78" s="607"/>
      <c r="E78" s="607"/>
      <c r="F78" s="607"/>
      <c r="G78" s="607"/>
      <c r="H78" s="607"/>
      <c r="I78" s="607"/>
      <c r="J78" s="594"/>
      <c r="K78" s="602"/>
      <c r="M78" s="597"/>
    </row>
    <row r="79" spans="1:13" ht="13.35" customHeight="1">
      <c r="A79" s="580"/>
      <c r="B79" s="606"/>
      <c r="D79" s="607"/>
      <c r="E79" s="607"/>
      <c r="F79" s="607"/>
      <c r="G79" s="607"/>
      <c r="H79" s="607"/>
      <c r="I79" s="607"/>
      <c r="J79" s="594"/>
      <c r="K79" s="602"/>
      <c r="M79" s="597"/>
    </row>
    <row r="80" spans="1:13" ht="13.35" customHeight="1">
      <c r="A80" s="580"/>
      <c r="B80" s="606"/>
      <c r="D80" s="607"/>
      <c r="E80" s="607"/>
      <c r="F80" s="607"/>
      <c r="G80" s="607"/>
      <c r="H80" s="607"/>
      <c r="I80" s="607"/>
      <c r="J80" s="594"/>
      <c r="K80" s="602"/>
      <c r="M80" s="597"/>
    </row>
    <row r="81" spans="1:13" ht="13.35" customHeight="1">
      <c r="A81" s="580"/>
      <c r="B81" s="606"/>
      <c r="D81" s="607"/>
      <c r="E81" s="607"/>
      <c r="F81" s="607"/>
      <c r="G81" s="607"/>
      <c r="H81" s="607"/>
      <c r="I81" s="607"/>
      <c r="J81" s="594"/>
      <c r="K81" s="602"/>
      <c r="M81" s="597"/>
    </row>
    <row r="82" spans="1:13" ht="13.35" customHeight="1">
      <c r="A82" s="580"/>
      <c r="B82" s="606"/>
      <c r="D82" s="607"/>
      <c r="E82" s="607"/>
      <c r="F82" s="607"/>
      <c r="G82" s="607"/>
      <c r="H82" s="607"/>
      <c r="I82" s="607"/>
      <c r="J82" s="594"/>
      <c r="K82" s="602"/>
      <c r="M82" s="597"/>
    </row>
    <row r="83" spans="1:13" ht="13.35" customHeight="1">
      <c r="A83" s="580"/>
      <c r="B83" s="606"/>
      <c r="D83" s="607"/>
      <c r="E83" s="607"/>
      <c r="F83" s="607"/>
      <c r="G83" s="607"/>
      <c r="H83" s="607"/>
      <c r="I83" s="607"/>
      <c r="J83" s="594"/>
      <c r="K83" s="602"/>
      <c r="M83" s="597"/>
    </row>
    <row r="84" spans="1:13" ht="13.35" customHeight="1">
      <c r="A84" s="580"/>
      <c r="B84" s="606"/>
      <c r="D84" s="607"/>
      <c r="E84" s="607"/>
      <c r="F84" s="607"/>
      <c r="G84" s="607"/>
      <c r="H84" s="607"/>
      <c r="I84" s="607"/>
      <c r="J84" s="594"/>
      <c r="K84" s="602"/>
      <c r="M84" s="597"/>
    </row>
    <row r="85" spans="1:13" ht="13.35" customHeight="1">
      <c r="A85" s="580"/>
      <c r="B85" s="606"/>
      <c r="D85" s="607"/>
      <c r="E85" s="607"/>
      <c r="F85" s="607"/>
      <c r="G85" s="607"/>
      <c r="H85" s="607"/>
      <c r="I85" s="607"/>
      <c r="J85" s="594"/>
      <c r="K85" s="602"/>
      <c r="M85" s="597"/>
    </row>
    <row r="86" spans="1:13" ht="13.35" customHeight="1">
      <c r="A86" s="580"/>
      <c r="B86" s="606"/>
      <c r="D86" s="607"/>
      <c r="E86" s="607"/>
      <c r="F86" s="607"/>
      <c r="G86" s="607"/>
      <c r="H86" s="607"/>
      <c r="I86" s="607"/>
      <c r="J86" s="594"/>
      <c r="K86" s="602"/>
      <c r="M86" s="597"/>
    </row>
    <row r="87" spans="1:13" ht="13.35" customHeight="1">
      <c r="A87" s="580"/>
      <c r="B87" s="606"/>
      <c r="D87" s="607"/>
      <c r="E87" s="607"/>
      <c r="F87" s="607"/>
      <c r="G87" s="607"/>
      <c r="H87" s="607"/>
      <c r="I87" s="607"/>
      <c r="J87" s="594"/>
      <c r="K87" s="602"/>
      <c r="M87" s="597"/>
    </row>
    <row r="88" spans="1:13" ht="13.35" customHeight="1">
      <c r="A88" s="580"/>
      <c r="B88" s="606"/>
      <c r="D88" s="607"/>
      <c r="E88" s="607"/>
      <c r="F88" s="607"/>
      <c r="G88" s="607"/>
      <c r="H88" s="607"/>
      <c r="I88" s="607"/>
      <c r="J88" s="594"/>
      <c r="K88" s="602"/>
      <c r="M88" s="597"/>
    </row>
    <row r="89" spans="1:13" ht="13.35" customHeight="1">
      <c r="A89" s="580"/>
      <c r="B89" s="606"/>
      <c r="D89" s="607"/>
      <c r="E89" s="607"/>
      <c r="F89" s="607"/>
      <c r="G89" s="607"/>
      <c r="H89" s="607"/>
      <c r="I89" s="607"/>
      <c r="J89" s="594"/>
      <c r="K89" s="602"/>
      <c r="M89" s="597"/>
    </row>
    <row r="90" spans="1:13" ht="13.35" customHeight="1">
      <c r="A90" s="580"/>
      <c r="B90" s="606"/>
      <c r="D90" s="607"/>
      <c r="E90" s="607"/>
      <c r="F90" s="607"/>
      <c r="G90" s="607"/>
      <c r="H90" s="607"/>
      <c r="I90" s="607"/>
      <c r="J90" s="594"/>
      <c r="K90" s="602"/>
      <c r="M90" s="597"/>
    </row>
    <row r="91" spans="1:13" ht="13.35" customHeight="1">
      <c r="A91" s="580"/>
      <c r="B91" s="606"/>
      <c r="D91" s="607"/>
      <c r="E91" s="607"/>
      <c r="F91" s="607"/>
      <c r="G91" s="607"/>
      <c r="H91" s="607"/>
      <c r="I91" s="607"/>
      <c r="J91" s="594"/>
      <c r="K91" s="602"/>
      <c r="M91" s="597"/>
    </row>
    <row r="92" spans="1:13" ht="13.35" customHeight="1">
      <c r="A92" s="580"/>
      <c r="B92" s="606"/>
      <c r="D92" s="607"/>
      <c r="E92" s="607"/>
      <c r="F92" s="607"/>
      <c r="G92" s="607"/>
      <c r="H92" s="607"/>
      <c r="I92" s="607"/>
      <c r="J92" s="594"/>
      <c r="M92" s="597"/>
    </row>
    <row r="93" spans="1:13" ht="13.35" customHeight="1">
      <c r="A93" s="580"/>
      <c r="B93" s="606"/>
      <c r="D93" s="607"/>
      <c r="E93" s="607"/>
      <c r="F93" s="607"/>
      <c r="G93" s="607"/>
      <c r="H93" s="607"/>
      <c r="I93" s="607"/>
      <c r="J93" s="594"/>
      <c r="M93" s="597"/>
    </row>
    <row r="94" spans="1:13" ht="13.35" customHeight="1">
      <c r="A94" s="580"/>
      <c r="B94" s="606"/>
      <c r="D94" s="607"/>
      <c r="E94" s="607"/>
      <c r="F94" s="607"/>
      <c r="G94" s="607"/>
      <c r="H94" s="607"/>
      <c r="I94" s="607"/>
      <c r="J94" s="594"/>
      <c r="M94" s="597"/>
    </row>
    <row r="95" spans="1:13" ht="13.35" customHeight="1">
      <c r="A95" s="580"/>
      <c r="B95" s="606"/>
      <c r="D95" s="607"/>
      <c r="E95" s="607"/>
      <c r="F95" s="607"/>
      <c r="G95" s="607"/>
      <c r="H95" s="607"/>
      <c r="I95" s="607"/>
      <c r="J95" s="594"/>
      <c r="M95" s="597"/>
    </row>
    <row r="96" spans="1:13" ht="13.35" customHeight="1">
      <c r="A96" s="580"/>
      <c r="B96" s="606"/>
      <c r="D96" s="607"/>
      <c r="E96" s="607"/>
      <c r="F96" s="607"/>
      <c r="G96" s="607"/>
      <c r="H96" s="607"/>
      <c r="I96" s="607"/>
      <c r="J96" s="594"/>
      <c r="M96" s="597"/>
    </row>
    <row r="97" spans="1:13" ht="13.35" customHeight="1">
      <c r="A97" s="580"/>
      <c r="B97" s="606"/>
      <c r="D97" s="607"/>
      <c r="E97" s="607"/>
      <c r="F97" s="607"/>
      <c r="G97" s="607"/>
      <c r="H97" s="607"/>
      <c r="I97" s="607"/>
      <c r="J97" s="594"/>
      <c r="M97" s="597"/>
    </row>
    <row r="98" spans="1:13" ht="13.35" customHeight="1">
      <c r="A98" s="580"/>
      <c r="B98" s="606"/>
      <c r="D98" s="607"/>
      <c r="E98" s="607"/>
      <c r="F98" s="607"/>
      <c r="G98" s="607"/>
      <c r="H98" s="607"/>
      <c r="I98" s="607"/>
      <c r="J98" s="594"/>
      <c r="M98" s="597"/>
    </row>
    <row r="99" spans="1:13" ht="13.35" customHeight="1">
      <c r="A99" s="580"/>
      <c r="B99" s="606"/>
      <c r="D99" s="607"/>
      <c r="E99" s="607"/>
      <c r="F99" s="607"/>
      <c r="G99" s="607"/>
      <c r="H99" s="607"/>
      <c r="I99" s="607"/>
      <c r="J99" s="594"/>
      <c r="M99" s="597"/>
    </row>
    <row r="100" spans="1:13" ht="13.35" customHeight="1">
      <c r="A100" s="580"/>
      <c r="B100" s="606"/>
      <c r="D100" s="607"/>
      <c r="E100" s="607"/>
      <c r="F100" s="607"/>
      <c r="G100" s="607"/>
      <c r="H100" s="607"/>
      <c r="I100" s="607"/>
      <c r="J100" s="594"/>
      <c r="M100" s="597"/>
    </row>
    <row r="101" spans="1:13">
      <c r="A101" s="602"/>
      <c r="B101" s="608"/>
      <c r="C101" s="602"/>
      <c r="D101" s="602"/>
      <c r="E101" s="602"/>
      <c r="F101" s="602"/>
      <c r="G101" s="602"/>
      <c r="H101" s="602"/>
      <c r="I101" s="602"/>
      <c r="J101" s="610"/>
    </row>
    <row r="102" spans="1:13">
      <c r="B102" s="606"/>
      <c r="J102" s="609"/>
    </row>
    <row r="103" spans="1:13">
      <c r="B103" s="606"/>
      <c r="J103" s="609"/>
    </row>
    <row r="104" spans="1:13">
      <c r="B104" s="606"/>
    </row>
    <row r="105" spans="1:13">
      <c r="B105" s="606"/>
    </row>
    <row r="106" spans="1:13">
      <c r="B106" s="606"/>
    </row>
    <row r="107" spans="1:13">
      <c r="B107" s="606"/>
    </row>
    <row r="108" spans="1:13">
      <c r="B108" s="606"/>
    </row>
    <row r="109" spans="1:13">
      <c r="B109" s="606"/>
    </row>
  </sheetData>
  <hyperlinks>
    <hyperlink ref="B16" location="'Exhibit A'!A1" display="Exhibit A"/>
    <hyperlink ref="B17" location="'Exh A Supp'!A1" display="Exhibit A Supplemental "/>
    <hyperlink ref="B18" location="Footnotes!A1" display="Exhibit A Footnotes"/>
    <hyperlink ref="B19" location="'Exh B'!A1" display="Exhibit B"/>
    <hyperlink ref="B20" location="'Exh C'!A1" display="Exhibit C"/>
    <hyperlink ref="B21" location="'Exh D-Governmental  '!A1" display="Exhibit D    "/>
    <hyperlink ref="B22" location="'Exh D State Operating'!A1" display="Exhibit D State Operating"/>
    <hyperlink ref="B23" location="'Exh D General Fund  '!A1" display="Exhibit D General Fund"/>
    <hyperlink ref="B29" location="'EXHIBIT E '!A1" display="Exhibit E"/>
    <hyperlink ref="B30" location="'Cashflow Governmental'!A1" display="Cash Flow - Governmental"/>
    <hyperlink ref="B36" location="'Exhibit F'!A1" display="Exhibit F"/>
    <hyperlink ref="B37" location="'Exhibit G'!A1" display="Exhibit G"/>
    <hyperlink ref="B38" location="'Exhibit G state'!A1" display="Exhibit G State"/>
    <hyperlink ref="B39" location="'Exhibit G Federal'!A1" display="Exhibit G Federal"/>
    <hyperlink ref="B40" location="'Exhibit H'!A1" display="Exhibit H"/>
    <hyperlink ref="B41" location="'Exhibit I'!A1" display="Exhibit I"/>
    <hyperlink ref="B42" location="'Exhibit I State'!A1" display="Exhibit I State"/>
    <hyperlink ref="B43" location="'Exhibit I Federal'!A1" display="Exhibit I Federal"/>
    <hyperlink ref="B44" location="'Exhibit J'!A1" display="Exhibit J"/>
    <hyperlink ref="B45" location="'Exhibit K'!A1" display="Exhibit K"/>
    <hyperlink ref="B46" location="'EXHIBIT L'!A1" display="Exhibit L"/>
    <hyperlink ref="B47" location="'EXHIBIT M'!A1" display="Exhibit M"/>
    <hyperlink ref="B51" location="'Sch 1 '!A1" display="Schedule 1"/>
    <hyperlink ref="B52" location="'Sch 2 '!A1" display="Schedule 2"/>
    <hyperlink ref="B53" location="'Sch 3 '!A1" display="Schedule 3"/>
    <hyperlink ref="B54" location="'Sch 4'!A1" display="Schedule 4"/>
    <hyperlink ref="B55" location="'Sch 5 '!A1" display="Schedule 5"/>
    <hyperlink ref="B56" location="'Sch 5a'!A1" display="Schedule 5a"/>
    <hyperlink ref="B57" location="'Sch 6'!A1" display="Schedule 6"/>
    <hyperlink ref="B58" location="'HCRA '!A1" display="Appendix A "/>
    <hyperlink ref="B59" location="'HCRA PROG DISB'!A1" display="Appendix B"/>
    <hyperlink ref="B60" location="'Public Goods '!A1" display="Appendix D"/>
    <hyperlink ref="B61" location="'Medicaid Disp Share'!B1" display="Appendix E"/>
    <hyperlink ref="B62" location="'Appendix E'!A1" display="Appendix E"/>
    <hyperlink ref="B63" location="'Appendix F'!D1" display="Appendix F"/>
    <hyperlink ref="B31" location="'Cash Flow State Operating'!A1" display="Cash Flow - State Operating"/>
    <hyperlink ref="B25" location="'Exh D Special Revenue State Fed'!A1" display="Exhibit D Special Revenue State/Federal"/>
    <hyperlink ref="B26" location="'Exh D Debt Service'!A1" display="Exhibit D Debt"/>
    <hyperlink ref="B28" location="'Exh D Captl Projects State Fed'!A1" display="Exhibit D Capital Projects State/Federal"/>
    <hyperlink ref="B24" location="'Exh D Special Revenue'!A1" display="Exhibit D Special Revenue"/>
    <hyperlink ref="B27" location="'Exh D Capital Projects'!A1" display="Exhibit D Capital Projects"/>
    <hyperlink ref="B64" location="'Appendix G'!A1" display="Appendix G"/>
    <hyperlink ref="B65" location="'Appendix H'!A1" display="Appendix H"/>
    <hyperlink ref="B66" location="'Appendix I'!A1" display="Appendix I"/>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customProperties>
    <customPr name="WORKBKFUNCTIONCACHE"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H51"/>
  <sheetViews>
    <sheetView showGridLines="0" zoomScale="90" zoomScaleNormal="70" workbookViewId="0"/>
  </sheetViews>
  <sheetFormatPr defaultColWidth="8.6640625" defaultRowHeight="15"/>
  <cols>
    <col min="1" max="1" width="50.109375" style="931" customWidth="1"/>
    <col min="2" max="2" width="3.6640625" style="622" customWidth="1"/>
    <col min="3" max="3" width="16.6640625" style="622" customWidth="1"/>
    <col min="4" max="4" width="1.5546875" style="622" customWidth="1"/>
    <col min="5" max="5" width="16.44140625" style="425" customWidth="1"/>
    <col min="6" max="6" width="3.109375" style="935" customWidth="1"/>
    <col min="7" max="7" width="14.109375" style="935" customWidth="1"/>
    <col min="8" max="8" width="2.109375" style="935" customWidth="1"/>
    <col min="9" max="9" width="14.109375" style="935" customWidth="1"/>
    <col min="10" max="10" width="1.109375" style="935" customWidth="1"/>
    <col min="11" max="11" width="14.109375" style="935" customWidth="1"/>
    <col min="12" max="12" width="1.109375" style="935" customWidth="1"/>
    <col min="13" max="13" width="16.109375" style="935" customWidth="1"/>
    <col min="14" max="14" width="1.5546875" style="622" customWidth="1"/>
    <col min="15" max="15" width="12.5546875" style="622" customWidth="1"/>
    <col min="16" max="16" width="11.44140625" style="622" customWidth="1"/>
    <col min="17" max="17" width="1.6640625" style="622" customWidth="1"/>
    <col min="18" max="18" width="11.6640625" style="622" customWidth="1"/>
    <col min="19" max="19" width="2.109375" style="622" customWidth="1"/>
    <col min="20" max="20" width="11.44140625" style="622" customWidth="1"/>
    <col min="21" max="21" width="0.5546875" style="622" customWidth="1"/>
    <col min="22" max="22" width="2.109375" style="622" customWidth="1"/>
    <col min="23" max="23" width="10.5546875" style="622" customWidth="1"/>
    <col min="24" max="24" width="11.109375" style="622" customWidth="1"/>
    <col min="25" max="25" width="2.109375" style="622" customWidth="1"/>
    <col min="26" max="26" width="11.109375" style="622" customWidth="1"/>
    <col min="27" max="27" width="2.109375" style="622" customWidth="1"/>
    <col min="28" max="28" width="12.44140625" style="622" customWidth="1"/>
    <col min="29" max="33" width="8.6640625" style="622"/>
    <col min="34" max="34" width="8.6640625" style="935"/>
    <col min="35" max="16384" width="8.6640625" style="931"/>
  </cols>
  <sheetData>
    <row r="1" spans="1:28">
      <c r="A1" s="644" t="s">
        <v>963</v>
      </c>
      <c r="B1" s="186"/>
      <c r="C1" s="186"/>
      <c r="D1" s="186"/>
      <c r="E1" s="419"/>
      <c r="F1" s="187"/>
      <c r="G1" s="187"/>
      <c r="H1" s="187"/>
      <c r="I1" s="187"/>
      <c r="J1" s="187"/>
      <c r="K1" s="187"/>
      <c r="L1" s="187"/>
      <c r="M1" s="187"/>
      <c r="N1" s="187"/>
      <c r="O1" s="186"/>
      <c r="P1" s="186"/>
      <c r="Q1" s="186"/>
      <c r="R1" s="186"/>
      <c r="S1" s="186"/>
      <c r="T1" s="186"/>
      <c r="U1" s="186"/>
      <c r="V1" s="186"/>
      <c r="W1" s="186"/>
      <c r="X1" s="186"/>
      <c r="Y1" s="186"/>
      <c r="Z1" s="186"/>
      <c r="AA1" s="186"/>
      <c r="AB1" s="186"/>
    </row>
    <row r="2" spans="1:28" ht="17.25" customHeight="1">
      <c r="A2" s="188"/>
      <c r="B2" s="186"/>
      <c r="C2" s="186"/>
      <c r="D2" s="186"/>
      <c r="E2" s="419"/>
      <c r="F2" s="187"/>
      <c r="G2" s="190"/>
      <c r="H2" s="190"/>
      <c r="I2" s="190"/>
      <c r="J2" s="190"/>
      <c r="K2" s="190"/>
      <c r="L2" s="187"/>
      <c r="M2" s="187"/>
      <c r="N2" s="187"/>
      <c r="O2" s="186"/>
      <c r="P2" s="186"/>
      <c r="Q2" s="186"/>
      <c r="R2" s="186"/>
      <c r="S2" s="186"/>
      <c r="T2" s="186"/>
      <c r="U2" s="186"/>
      <c r="V2" s="186"/>
      <c r="W2" s="186"/>
      <c r="X2" s="186"/>
      <c r="Y2" s="186"/>
      <c r="Z2" s="186"/>
      <c r="AA2" s="186"/>
      <c r="AB2" s="186"/>
    </row>
    <row r="3" spans="1:28" ht="17.25" customHeight="1">
      <c r="A3" s="191" t="s">
        <v>0</v>
      </c>
      <c r="B3" s="156"/>
      <c r="C3" s="156"/>
      <c r="D3" s="156"/>
      <c r="E3" s="422"/>
      <c r="F3" s="143"/>
      <c r="G3" s="143"/>
      <c r="H3" s="143"/>
      <c r="I3" s="143"/>
      <c r="J3" s="143"/>
      <c r="K3" s="143"/>
      <c r="L3" s="143"/>
      <c r="M3" s="822"/>
      <c r="N3" s="143"/>
      <c r="O3" s="822" t="s">
        <v>83</v>
      </c>
      <c r="P3" s="156"/>
      <c r="Q3" s="156"/>
      <c r="R3" s="156"/>
      <c r="S3" s="156"/>
      <c r="T3" s="156"/>
      <c r="U3" s="156"/>
      <c r="V3" s="156"/>
      <c r="W3" s="156"/>
      <c r="X3" s="156"/>
      <c r="Y3" s="156"/>
      <c r="Z3" s="156"/>
      <c r="AA3" s="156"/>
      <c r="AB3" s="192"/>
    </row>
    <row r="4" spans="1:28" ht="17.25" customHeight="1">
      <c r="A4" s="191" t="s">
        <v>82</v>
      </c>
      <c r="B4" s="156"/>
      <c r="C4" s="156"/>
      <c r="D4" s="156"/>
      <c r="E4" s="422"/>
      <c r="F4" s="143"/>
      <c r="G4" s="143"/>
      <c r="H4" s="143"/>
      <c r="I4" s="143"/>
      <c r="J4" s="143"/>
      <c r="K4" s="143"/>
      <c r="L4" s="143"/>
      <c r="M4" s="823"/>
      <c r="N4" s="143"/>
      <c r="O4" s="823"/>
      <c r="P4" s="156"/>
      <c r="Q4" s="156"/>
      <c r="R4" s="156"/>
      <c r="S4" s="156"/>
      <c r="T4" s="156"/>
      <c r="U4" s="156"/>
      <c r="V4" s="156"/>
      <c r="W4" s="156"/>
      <c r="X4" s="156"/>
      <c r="Y4" s="156"/>
      <c r="Z4" s="156"/>
      <c r="AA4" s="156"/>
      <c r="AB4" s="156"/>
    </row>
    <row r="5" spans="1:28" ht="17.25" customHeight="1">
      <c r="A5" s="3944" t="str">
        <f>'Exh D-Governmental  '!A5:E5</f>
        <v>FISCAL YEAR 2020-2021</v>
      </c>
      <c r="B5" s="3945"/>
      <c r="C5" s="3945"/>
      <c r="D5" s="3945"/>
      <c r="E5" s="3945"/>
      <c r="F5" s="143"/>
      <c r="G5" s="143"/>
      <c r="H5" s="143"/>
      <c r="I5" s="143"/>
      <c r="J5" s="143"/>
      <c r="K5" s="143"/>
      <c r="L5" s="143"/>
      <c r="M5" s="143"/>
      <c r="N5" s="143"/>
      <c r="O5" s="156"/>
      <c r="P5" s="156"/>
      <c r="Q5" s="156"/>
      <c r="R5" s="156"/>
      <c r="S5" s="156"/>
      <c r="T5" s="156"/>
      <c r="U5" s="156"/>
      <c r="V5" s="156"/>
      <c r="W5" s="156"/>
      <c r="X5" s="156"/>
      <c r="Y5" s="156"/>
      <c r="Z5" s="156"/>
      <c r="AA5" s="156"/>
      <c r="AB5" s="156"/>
    </row>
    <row r="6" spans="1:28" ht="17.25" customHeight="1">
      <c r="A6" s="1473" t="str">
        <f>+'Exh D-Governmental  '!A6</f>
        <v xml:space="preserve">FOR TEN MONTHS ENDED JANUARY 31, 2021    </v>
      </c>
      <c r="B6" s="156"/>
      <c r="C6" s="156"/>
      <c r="D6" s="156"/>
      <c r="E6" s="422"/>
      <c r="F6" s="143"/>
      <c r="G6" s="143"/>
      <c r="H6" s="143"/>
      <c r="I6" s="143"/>
      <c r="J6" s="143"/>
      <c r="K6" s="143"/>
      <c r="L6" s="143"/>
      <c r="M6" s="143"/>
      <c r="N6" s="143"/>
      <c r="O6" s="156"/>
      <c r="P6" s="156"/>
      <c r="Q6" s="156"/>
      <c r="R6" s="156"/>
      <c r="S6" s="156"/>
      <c r="T6" s="156"/>
      <c r="U6" s="156"/>
      <c r="V6" s="156"/>
      <c r="W6" s="156"/>
      <c r="X6" s="156"/>
      <c r="Y6" s="156"/>
      <c r="Z6" s="156"/>
      <c r="AA6" s="156"/>
      <c r="AB6" s="156"/>
    </row>
    <row r="7" spans="1:28" ht="18">
      <c r="A7" s="191" t="s">
        <v>1364</v>
      </c>
      <c r="B7" s="156"/>
      <c r="C7" s="156"/>
      <c r="D7" s="156"/>
      <c r="E7" s="422"/>
      <c r="F7" s="143"/>
      <c r="G7" s="143"/>
      <c r="H7" s="143"/>
      <c r="I7" s="143"/>
      <c r="J7" s="143"/>
      <c r="K7" s="143"/>
      <c r="L7" s="143"/>
      <c r="M7" s="143"/>
      <c r="N7" s="143"/>
      <c r="O7" s="156"/>
      <c r="P7" s="156"/>
      <c r="Q7" s="156"/>
      <c r="R7" s="156"/>
      <c r="S7" s="156"/>
      <c r="T7" s="156"/>
      <c r="U7" s="156"/>
      <c r="V7" s="156"/>
      <c r="W7" s="156"/>
      <c r="X7" s="156"/>
      <c r="Y7" s="156"/>
      <c r="Z7" s="156"/>
      <c r="AA7" s="156"/>
      <c r="AB7" s="156"/>
    </row>
    <row r="8" spans="1:28" ht="15" customHeight="1">
      <c r="A8" s="193"/>
      <c r="B8" s="156"/>
      <c r="C8" s="156"/>
      <c r="D8" s="156"/>
      <c r="E8" s="422"/>
      <c r="F8" s="143"/>
      <c r="G8" s="143"/>
      <c r="H8" s="143"/>
      <c r="I8" s="143"/>
      <c r="J8" s="143"/>
      <c r="K8" s="143"/>
      <c r="L8" s="143"/>
      <c r="M8" s="143"/>
      <c r="N8" s="143"/>
      <c r="O8" s="156"/>
      <c r="P8" s="156"/>
      <c r="Q8" s="156"/>
      <c r="R8" s="156"/>
      <c r="S8" s="156"/>
      <c r="T8" s="156"/>
      <c r="U8" s="156"/>
      <c r="V8" s="156"/>
      <c r="W8" s="156"/>
      <c r="X8" s="156"/>
      <c r="Y8" s="156"/>
      <c r="Z8" s="156"/>
      <c r="AA8" s="156"/>
      <c r="AB8" s="156"/>
    </row>
    <row r="9" spans="1:28">
      <c r="A9" s="150"/>
      <c r="B9" s="156"/>
      <c r="C9" s="156"/>
      <c r="D9" s="156"/>
      <c r="E9" s="422"/>
      <c r="F9" s="143"/>
      <c r="G9" s="143"/>
      <c r="H9" s="143"/>
      <c r="I9" s="143"/>
      <c r="J9" s="143"/>
      <c r="K9" s="143"/>
      <c r="L9" s="143"/>
      <c r="M9" s="143"/>
      <c r="N9" s="143"/>
      <c r="O9" s="156"/>
      <c r="P9" s="156"/>
      <c r="Q9" s="156"/>
      <c r="R9" s="156"/>
      <c r="S9" s="156"/>
      <c r="T9" s="156"/>
      <c r="U9" s="156"/>
      <c r="V9" s="156"/>
      <c r="W9" s="156"/>
      <c r="X9" s="156"/>
      <c r="Y9" s="156"/>
      <c r="Z9" s="156"/>
      <c r="AA9" s="156"/>
      <c r="AB9" s="156"/>
    </row>
    <row r="10" spans="1:28">
      <c r="A10" s="150"/>
      <c r="B10" s="156"/>
      <c r="C10" s="156"/>
      <c r="D10" s="156"/>
      <c r="E10" s="421"/>
      <c r="F10" s="148"/>
      <c r="G10" s="148"/>
      <c r="H10" s="148"/>
      <c r="I10" s="148"/>
      <c r="J10" s="148"/>
      <c r="K10" s="148"/>
      <c r="L10" s="148"/>
      <c r="M10" s="148"/>
      <c r="N10" s="143"/>
      <c r="O10" s="156"/>
      <c r="P10" s="156"/>
      <c r="Q10" s="156"/>
      <c r="R10" s="156"/>
      <c r="S10" s="156"/>
      <c r="T10" s="156"/>
      <c r="U10" s="156"/>
      <c r="V10" s="156"/>
      <c r="W10" s="156"/>
      <c r="X10" s="156"/>
      <c r="Y10" s="156"/>
      <c r="Z10" s="156"/>
      <c r="AA10" s="156"/>
      <c r="AB10" s="156"/>
    </row>
    <row r="11" spans="1:28" ht="15.75">
      <c r="A11" s="690"/>
      <c r="C11" s="1176"/>
      <c r="D11" s="1176"/>
      <c r="E11" s="1198"/>
      <c r="F11" s="1178"/>
      <c r="G11" s="1417" t="s">
        <v>1128</v>
      </c>
      <c r="H11" s="1637"/>
      <c r="I11" s="1417"/>
      <c r="J11" s="1637"/>
      <c r="K11" s="1637"/>
      <c r="L11" s="1178"/>
      <c r="M11" s="1178"/>
      <c r="N11" s="1181"/>
      <c r="O11" s="1175"/>
      <c r="P11" s="194"/>
      <c r="Q11" s="194"/>
      <c r="R11" s="194"/>
      <c r="S11" s="194"/>
      <c r="T11" s="194"/>
      <c r="U11" s="194"/>
      <c r="V11" s="151"/>
      <c r="W11" s="194"/>
      <c r="X11" s="195"/>
      <c r="Y11" s="194"/>
      <c r="Z11" s="194"/>
      <c r="AA11" s="194"/>
      <c r="AB11" s="194"/>
    </row>
    <row r="12" spans="1:28" ht="15.75">
      <c r="A12" s="690"/>
      <c r="E12" s="426"/>
      <c r="F12" s="196"/>
      <c r="G12" s="197"/>
      <c r="H12" s="197"/>
      <c r="I12" s="197"/>
      <c r="J12" s="197"/>
      <c r="K12" s="197"/>
      <c r="L12" s="196"/>
      <c r="M12" s="196" t="s">
        <v>84</v>
      </c>
      <c r="N12" s="151"/>
      <c r="O12" s="196" t="s">
        <v>84</v>
      </c>
      <c r="P12" s="194"/>
      <c r="Q12" s="194"/>
      <c r="R12" s="194"/>
      <c r="S12" s="194"/>
      <c r="T12" s="194"/>
      <c r="U12" s="194"/>
      <c r="V12" s="151"/>
      <c r="W12" s="194"/>
      <c r="X12" s="195"/>
      <c r="Y12" s="194"/>
      <c r="Z12" s="194"/>
      <c r="AA12" s="194"/>
      <c r="AB12" s="194"/>
    </row>
    <row r="13" spans="1:28" ht="15.75">
      <c r="A13" s="690"/>
      <c r="E13" s="426"/>
      <c r="F13" s="196"/>
      <c r="G13" s="197"/>
      <c r="H13" s="197"/>
      <c r="I13" s="197"/>
      <c r="J13" s="197"/>
      <c r="K13" s="197"/>
      <c r="L13" s="196"/>
      <c r="M13" s="199" t="s">
        <v>874</v>
      </c>
      <c r="N13" s="151"/>
      <c r="O13" s="199" t="s">
        <v>874</v>
      </c>
      <c r="P13" s="194"/>
      <c r="Q13" s="194"/>
      <c r="R13" s="194"/>
      <c r="S13" s="194"/>
      <c r="T13" s="194"/>
      <c r="U13" s="194"/>
      <c r="V13" s="151"/>
      <c r="W13" s="194"/>
      <c r="X13" s="195"/>
      <c r="Y13" s="194"/>
      <c r="Z13" s="194"/>
      <c r="AA13" s="194"/>
      <c r="AB13" s="194"/>
    </row>
    <row r="14" spans="1:28" ht="15.75">
      <c r="A14" s="690"/>
      <c r="B14" s="151"/>
      <c r="C14" s="154" t="s">
        <v>1075</v>
      </c>
      <c r="D14" s="151"/>
      <c r="E14" s="153" t="s">
        <v>1076</v>
      </c>
      <c r="F14" s="198"/>
      <c r="G14" s="198"/>
      <c r="H14" s="198"/>
      <c r="I14" s="198"/>
      <c r="J14" s="198"/>
      <c r="K14" s="198"/>
      <c r="L14" s="198"/>
      <c r="M14" s="153" t="s">
        <v>85</v>
      </c>
      <c r="N14" s="151"/>
      <c r="O14" s="153" t="s">
        <v>85</v>
      </c>
      <c r="P14" s="151"/>
      <c r="Q14" s="151"/>
      <c r="R14" s="151"/>
      <c r="S14" s="151"/>
      <c r="T14" s="200"/>
      <c r="U14" s="201"/>
      <c r="V14" s="151"/>
      <c r="W14" s="151"/>
      <c r="X14" s="151"/>
      <c r="Y14" s="151"/>
      <c r="Z14" s="151"/>
      <c r="AA14" s="151"/>
      <c r="AB14" s="200"/>
    </row>
    <row r="15" spans="1:28" ht="15.75">
      <c r="A15" s="690"/>
      <c r="B15" s="202"/>
      <c r="C15" s="153" t="s">
        <v>1112</v>
      </c>
      <c r="D15" s="202"/>
      <c r="E15" s="153" t="s">
        <v>1112</v>
      </c>
      <c r="F15" s="152"/>
      <c r="G15" s="152"/>
      <c r="H15" s="152"/>
      <c r="I15" s="152"/>
      <c r="J15" s="152"/>
      <c r="K15" s="152"/>
      <c r="L15" s="152"/>
      <c r="M15" s="153" t="s">
        <v>1075</v>
      </c>
      <c r="N15" s="151"/>
      <c r="O15" s="153" t="s">
        <v>1076</v>
      </c>
      <c r="P15" s="201"/>
      <c r="Q15" s="151"/>
      <c r="R15" s="151"/>
      <c r="S15" s="151"/>
      <c r="T15" s="200"/>
      <c r="U15" s="201"/>
      <c r="V15" s="151"/>
      <c r="W15" s="200"/>
      <c r="X15" s="201"/>
      <c r="Y15" s="151"/>
      <c r="Z15" s="151"/>
      <c r="AA15" s="151"/>
      <c r="AB15" s="200"/>
    </row>
    <row r="16" spans="1:28" ht="15.75">
      <c r="A16" s="690"/>
      <c r="B16" s="201"/>
      <c r="C16" s="1180" t="s">
        <v>1113</v>
      </c>
      <c r="D16" s="201"/>
      <c r="E16" s="153" t="s">
        <v>1504</v>
      </c>
      <c r="F16" s="152"/>
      <c r="G16" s="154" t="s">
        <v>84</v>
      </c>
      <c r="H16" s="154"/>
      <c r="I16" s="1639" t="s">
        <v>1249</v>
      </c>
      <c r="J16" s="154"/>
      <c r="K16" s="1639" t="s">
        <v>800</v>
      </c>
      <c r="L16" s="152"/>
      <c r="M16" s="153" t="s">
        <v>86</v>
      </c>
      <c r="N16" s="151"/>
      <c r="O16" s="1180" t="s">
        <v>86</v>
      </c>
      <c r="P16" s="201"/>
      <c r="Q16" s="151"/>
      <c r="R16" s="200"/>
      <c r="S16" s="151"/>
      <c r="T16" s="200"/>
      <c r="U16" s="201"/>
      <c r="V16" s="151"/>
      <c r="W16" s="201"/>
      <c r="X16" s="201"/>
      <c r="Y16" s="151"/>
      <c r="Z16" s="200"/>
      <c r="AA16" s="151"/>
      <c r="AB16" s="200"/>
    </row>
    <row r="17" spans="1:28">
      <c r="A17" s="155"/>
      <c r="B17" s="156"/>
      <c r="C17" s="156"/>
      <c r="D17" s="156"/>
      <c r="E17" s="157"/>
      <c r="F17" s="143"/>
      <c r="G17" s="157"/>
      <c r="H17" s="156"/>
      <c r="I17" s="156"/>
      <c r="J17" s="156"/>
      <c r="K17" s="156"/>
      <c r="L17" s="143"/>
      <c r="M17" s="157"/>
      <c r="N17" s="156"/>
      <c r="O17" s="156"/>
      <c r="P17" s="156"/>
      <c r="Q17" s="156"/>
      <c r="R17" s="156"/>
      <c r="S17" s="156"/>
      <c r="T17" s="156"/>
      <c r="U17" s="156"/>
      <c r="V17" s="156"/>
      <c r="W17" s="156"/>
      <c r="X17" s="156"/>
      <c r="Y17" s="156"/>
      <c r="Z17" s="156"/>
      <c r="AA17" s="156"/>
      <c r="AB17" s="156"/>
    </row>
    <row r="18" spans="1:28" ht="15.75">
      <c r="A18" s="29" t="s">
        <v>14</v>
      </c>
      <c r="B18" s="924"/>
      <c r="C18" s="924"/>
      <c r="D18" s="924"/>
      <c r="E18" s="657"/>
      <c r="F18" s="657"/>
      <c r="G18" s="657"/>
      <c r="H18" s="657"/>
      <c r="I18" s="657"/>
      <c r="J18" s="657"/>
      <c r="K18" s="657"/>
      <c r="L18" s="657"/>
      <c r="M18" s="657"/>
      <c r="N18" s="924"/>
      <c r="O18" s="924"/>
      <c r="P18" s="924"/>
      <c r="Q18" s="924"/>
      <c r="R18" s="924"/>
      <c r="S18" s="924"/>
      <c r="T18" s="924"/>
      <c r="U18" s="924"/>
      <c r="V18" s="924"/>
      <c r="W18" s="924"/>
      <c r="X18" s="924"/>
      <c r="Y18" s="924"/>
      <c r="Z18" s="924"/>
      <c r="AA18" s="924"/>
      <c r="AB18" s="924"/>
    </row>
    <row r="19" spans="1:28">
      <c r="A19" s="820" t="s">
        <v>87</v>
      </c>
      <c r="B19" s="925"/>
      <c r="C19" s="925"/>
      <c r="D19" s="925"/>
      <c r="E19" s="657"/>
      <c r="F19" s="657"/>
      <c r="G19" s="657"/>
      <c r="H19" s="657"/>
      <c r="I19" s="657"/>
      <c r="J19" s="657"/>
      <c r="K19" s="657"/>
      <c r="L19" s="925"/>
      <c r="M19" s="657"/>
      <c r="N19" s="924"/>
      <c r="O19" s="1542"/>
      <c r="P19" s="924"/>
      <c r="Q19" s="924"/>
      <c r="R19" s="924"/>
      <c r="S19" s="924"/>
      <c r="T19" s="924"/>
      <c r="U19" s="924"/>
      <c r="V19" s="924"/>
      <c r="W19" s="924"/>
      <c r="X19" s="924"/>
      <c r="Y19" s="924"/>
      <c r="Z19" s="924"/>
      <c r="AA19" s="924"/>
      <c r="AB19" s="924"/>
    </row>
    <row r="20" spans="1:28">
      <c r="A20" s="820" t="s">
        <v>88</v>
      </c>
      <c r="B20" s="925"/>
      <c r="C20" s="1012">
        <f>'Exh D Special Revenue State Fed'!C20+'Exh D Special Revenue State Fed'!N20</f>
        <v>2064</v>
      </c>
      <c r="D20" s="1936"/>
      <c r="E20" s="1012">
        <f>'Exh D Special Revenue State Fed'!E20+'Exh D Special Revenue State Fed'!P20</f>
        <v>2009</v>
      </c>
      <c r="F20" s="660"/>
      <c r="G20" s="941">
        <f>+'Exh D Special Revenue State Fed'!G20</f>
        <v>2008.6</v>
      </c>
      <c r="H20" s="941"/>
      <c r="I20" s="941">
        <v>0</v>
      </c>
      <c r="J20" s="941"/>
      <c r="K20" s="941">
        <f t="shared" ref="K20:K25" si="0">+G20+I20</f>
        <v>2008.6</v>
      </c>
      <c r="L20" s="660"/>
      <c r="M20" s="658">
        <f>ROUND(SUM(K20)-SUM(C20),1)</f>
        <v>-55.4</v>
      </c>
      <c r="N20" s="924"/>
      <c r="O20" s="658">
        <f>K20-E20</f>
        <v>-0.40000000000009095</v>
      </c>
      <c r="P20" s="924"/>
      <c r="Q20" s="924"/>
      <c r="R20" s="924"/>
      <c r="S20" s="924"/>
      <c r="T20" s="924"/>
      <c r="U20" s="924"/>
      <c r="V20" s="924"/>
      <c r="W20" s="924"/>
      <c r="X20" s="924"/>
      <c r="Y20" s="924"/>
      <c r="Z20" s="924"/>
      <c r="AA20" s="924"/>
      <c r="AB20" s="924"/>
    </row>
    <row r="21" spans="1:28">
      <c r="A21" s="820" t="s">
        <v>89</v>
      </c>
      <c r="B21" s="924"/>
      <c r="C21" s="685">
        <f>'Exh D Special Revenue State Fed'!C21+'Exh D Special Revenue State Fed'!N21</f>
        <v>1459</v>
      </c>
      <c r="D21" s="1937"/>
      <c r="E21" s="685">
        <f>'Exh D Special Revenue State Fed'!E21+'Exh D Special Revenue State Fed'!P21</f>
        <v>1482</v>
      </c>
      <c r="F21" s="643"/>
      <c r="G21" s="643">
        <f>+'Exh D Special Revenue State Fed'!G21</f>
        <v>1489</v>
      </c>
      <c r="H21" s="1531"/>
      <c r="I21" s="1531">
        <v>0</v>
      </c>
      <c r="J21" s="1531"/>
      <c r="K21" s="1531">
        <f t="shared" si="0"/>
        <v>1489</v>
      </c>
      <c r="L21" s="643"/>
      <c r="M21" s="1531">
        <f>ROUND(SUM(K21)-SUM(C21),1)</f>
        <v>30</v>
      </c>
      <c r="N21" s="943"/>
      <c r="O21" s="1531">
        <f>K21-E21</f>
        <v>7</v>
      </c>
      <c r="P21" s="924"/>
      <c r="Q21" s="924"/>
      <c r="R21" s="924"/>
      <c r="S21" s="924"/>
      <c r="T21" s="924"/>
      <c r="U21" s="924"/>
      <c r="V21" s="924"/>
      <c r="W21" s="924"/>
      <c r="X21" s="924"/>
      <c r="Y21" s="924"/>
      <c r="Z21" s="924"/>
      <c r="AA21" s="924"/>
      <c r="AB21" s="924"/>
    </row>
    <row r="22" spans="1:28">
      <c r="A22" s="820" t="s">
        <v>90</v>
      </c>
      <c r="B22" s="925"/>
      <c r="C22" s="685">
        <f>'Exh D Special Revenue State Fed'!C22+'Exh D Special Revenue State Fed'!N22</f>
        <v>1392</v>
      </c>
      <c r="D22" s="1936"/>
      <c r="E22" s="685">
        <f>'Exh D Special Revenue State Fed'!E22+'Exh D Special Revenue State Fed'!P22</f>
        <v>1298</v>
      </c>
      <c r="F22" s="681"/>
      <c r="G22" s="643">
        <f>+'Exh D Special Revenue State Fed'!G22</f>
        <v>1355.1</v>
      </c>
      <c r="H22" s="1531"/>
      <c r="I22" s="1531">
        <v>0</v>
      </c>
      <c r="J22" s="1531"/>
      <c r="K22" s="1531">
        <f t="shared" si="0"/>
        <v>1355.1</v>
      </c>
      <c r="L22" s="681"/>
      <c r="M22" s="1531">
        <f t="shared" ref="M22:M25" si="1">ROUND(SUM(K22)-SUM(C22),1)</f>
        <v>-36.9</v>
      </c>
      <c r="N22" s="944"/>
      <c r="O22" s="1531">
        <f t="shared" ref="O22:O25" si="2">K22-E22</f>
        <v>57.099999999999909</v>
      </c>
      <c r="P22" s="924"/>
      <c r="Q22" s="945"/>
      <c r="R22" s="924"/>
      <c r="S22" s="945"/>
      <c r="T22" s="924"/>
      <c r="U22" s="924"/>
      <c r="V22" s="945"/>
      <c r="W22" s="924"/>
      <c r="X22" s="924"/>
      <c r="Y22" s="945"/>
      <c r="Z22" s="203"/>
      <c r="AA22" s="945"/>
      <c r="AB22" s="924"/>
    </row>
    <row r="23" spans="1:28" ht="15" customHeight="1">
      <c r="A23" s="820" t="s">
        <v>20</v>
      </c>
      <c r="B23" s="924"/>
      <c r="C23" s="685">
        <f>'Exh D Special Revenue State Fed'!C23+'Exh D Special Revenue State Fed'!N23</f>
        <v>13470</v>
      </c>
      <c r="D23" s="1937"/>
      <c r="E23" s="685">
        <f>'Exh D Special Revenue State Fed'!E23+'Exh D Special Revenue State Fed'!P23</f>
        <v>13912</v>
      </c>
      <c r="F23" s="643"/>
      <c r="G23" s="643">
        <f>+'Exh D Special Revenue State Fed'!G23+'Exh D Special Revenue State Fed'!R23</f>
        <v>13842.9</v>
      </c>
      <c r="H23" s="1531"/>
      <c r="I23" s="1531">
        <v>0</v>
      </c>
      <c r="J23" s="1531"/>
      <c r="K23" s="1531">
        <f t="shared" si="0"/>
        <v>13842.9</v>
      </c>
      <c r="L23" s="643"/>
      <c r="M23" s="1531">
        <f t="shared" si="1"/>
        <v>372.9</v>
      </c>
      <c r="N23" s="943"/>
      <c r="O23" s="1531">
        <f t="shared" si="2"/>
        <v>-69.100000000000364</v>
      </c>
      <c r="P23" s="924"/>
      <c r="Q23" s="924"/>
      <c r="R23" s="924"/>
      <c r="S23" s="924"/>
      <c r="T23" s="924"/>
      <c r="U23" s="924"/>
      <c r="V23" s="924"/>
      <c r="W23" s="924"/>
      <c r="X23" s="924"/>
      <c r="Y23" s="924"/>
      <c r="Z23" s="924"/>
      <c r="AA23" s="924"/>
      <c r="AB23" s="924"/>
    </row>
    <row r="24" spans="1:28" ht="15" customHeight="1">
      <c r="A24" s="820" t="s">
        <v>21</v>
      </c>
      <c r="B24" s="924"/>
      <c r="C24" s="685">
        <f>'Exh D Special Revenue State Fed'!C24+'Exh D Special Revenue State Fed'!N24</f>
        <v>55438</v>
      </c>
      <c r="D24" s="1937"/>
      <c r="E24" s="685">
        <f>'Exh D Special Revenue State Fed'!E24+'Exh D Special Revenue State Fed'!P24</f>
        <v>66538</v>
      </c>
      <c r="F24" s="643"/>
      <c r="G24" s="643">
        <f>+'Exh D Special Revenue State Fed'!G24+'Exh D Special Revenue State Fed'!R24</f>
        <v>66364.599999999991</v>
      </c>
      <c r="H24" s="1531"/>
      <c r="I24" s="1531">
        <v>0</v>
      </c>
      <c r="J24" s="1531"/>
      <c r="K24" s="1531">
        <f t="shared" si="0"/>
        <v>66364.599999999991</v>
      </c>
      <c r="L24" s="643"/>
      <c r="M24" s="1531">
        <f t="shared" si="1"/>
        <v>10926.6</v>
      </c>
      <c r="N24" s="943"/>
      <c r="O24" s="1531">
        <f t="shared" si="2"/>
        <v>-173.40000000000873</v>
      </c>
      <c r="P24" s="947"/>
      <c r="Q24" s="924"/>
      <c r="R24" s="947"/>
      <c r="S24" s="924"/>
      <c r="T24" s="947"/>
      <c r="U24" s="948"/>
      <c r="V24" s="924"/>
      <c r="W24" s="924"/>
      <c r="X24" s="924"/>
      <c r="Y24" s="924"/>
      <c r="Z24" s="924"/>
      <c r="AA24" s="924"/>
      <c r="AB24" s="924"/>
    </row>
    <row r="25" spans="1:28">
      <c r="A25" s="820" t="s">
        <v>1506</v>
      </c>
      <c r="B25" s="947"/>
      <c r="C25" s="1715">
        <f>'Exh D Special Revenue State Fed'!C25+'Exh D Special Revenue State Fed'!N25</f>
        <v>2514</v>
      </c>
      <c r="D25" s="1938"/>
      <c r="E25" s="1715">
        <f>'Exh D Special Revenue State Fed'!E25+'Exh D Special Revenue State Fed'!P25</f>
        <v>2463</v>
      </c>
      <c r="F25" s="643"/>
      <c r="G25" s="928">
        <f>+'Exh D Special Revenue State Fed'!G25</f>
        <v>2458.6999999999998</v>
      </c>
      <c r="H25" s="944"/>
      <c r="I25" s="1483">
        <f>+'Exhibit G'!AB113</f>
        <v>-569.4</v>
      </c>
      <c r="J25" s="944"/>
      <c r="K25" s="929">
        <f t="shared" si="0"/>
        <v>1889.2999999999997</v>
      </c>
      <c r="L25" s="643"/>
      <c r="M25" s="1408">
        <f t="shared" si="1"/>
        <v>-624.70000000000005</v>
      </c>
      <c r="N25" s="943"/>
      <c r="O25" s="1408">
        <f t="shared" si="2"/>
        <v>-573.70000000000027</v>
      </c>
      <c r="P25" s="947"/>
      <c r="Q25" s="924"/>
      <c r="R25" s="947"/>
      <c r="S25" s="924"/>
      <c r="T25" s="947"/>
      <c r="U25" s="948"/>
      <c r="V25" s="924"/>
      <c r="W25" s="924"/>
      <c r="X25" s="924"/>
      <c r="Y25" s="924"/>
      <c r="Z25" s="924"/>
      <c r="AA25" s="924"/>
      <c r="AB25" s="924"/>
    </row>
    <row r="26" spans="1:28" ht="18" customHeight="1">
      <c r="A26" s="1121" t="s">
        <v>108</v>
      </c>
      <c r="B26" s="151"/>
      <c r="C26" s="829">
        <f>ROUND(SUM(C20:C25),1)</f>
        <v>76337</v>
      </c>
      <c r="D26" s="151"/>
      <c r="E26" s="829">
        <f>ROUND(SUM(E20:E25),1)</f>
        <v>87702</v>
      </c>
      <c r="F26" s="922"/>
      <c r="G26" s="829">
        <f>ROUND(SUM(G20:G25),1)</f>
        <v>87518.9</v>
      </c>
      <c r="H26" s="1532"/>
      <c r="I26" s="829">
        <f>ROUND(SUM(I20:I25),1)</f>
        <v>-569.4</v>
      </c>
      <c r="J26" s="1532"/>
      <c r="K26" s="829">
        <f>ROUND(SUM(K20:K25),1)</f>
        <v>86949.5</v>
      </c>
      <c r="L26" s="922"/>
      <c r="M26" s="829">
        <f>ROUND(SUM(M20:M25),1)</f>
        <v>10612.5</v>
      </c>
      <c r="N26" s="76"/>
      <c r="O26" s="74">
        <f>ROUND(SUM(O20:O25),1)</f>
        <v>-752.5</v>
      </c>
      <c r="P26" s="151"/>
      <c r="Q26" s="151"/>
      <c r="R26" s="151"/>
      <c r="S26" s="151"/>
      <c r="T26" s="151"/>
      <c r="U26" s="151"/>
      <c r="V26" s="151"/>
      <c r="W26" s="151"/>
      <c r="X26" s="151"/>
      <c r="Y26" s="151"/>
      <c r="Z26" s="151"/>
      <c r="AA26" s="151"/>
      <c r="AB26" s="151"/>
    </row>
    <row r="27" spans="1:28">
      <c r="A27" s="690"/>
      <c r="B27" s="924"/>
      <c r="C27" s="943"/>
      <c r="D27" s="924"/>
      <c r="E27" s="943"/>
      <c r="F27" s="643"/>
      <c r="G27" s="688"/>
      <c r="H27" s="943"/>
      <c r="I27" s="943"/>
      <c r="J27" s="943"/>
      <c r="K27" s="943"/>
      <c r="L27" s="643"/>
      <c r="M27" s="688"/>
      <c r="N27" s="943"/>
      <c r="O27" s="688"/>
      <c r="P27" s="924"/>
      <c r="Q27" s="924"/>
      <c r="R27" s="924"/>
      <c r="S27" s="924"/>
      <c r="T27" s="924"/>
      <c r="U27" s="924"/>
      <c r="V27" s="924"/>
      <c r="W27" s="924"/>
      <c r="X27" s="924"/>
      <c r="Y27" s="924"/>
      <c r="Z27" s="924"/>
      <c r="AA27" s="924"/>
      <c r="AB27" s="924"/>
    </row>
    <row r="28" spans="1:28" ht="15.75">
      <c r="A28" s="29" t="s">
        <v>23</v>
      </c>
      <c r="B28" s="924"/>
      <c r="C28" s="943"/>
      <c r="D28" s="924"/>
      <c r="E28" s="943"/>
      <c r="F28" s="643"/>
      <c r="G28" s="643"/>
      <c r="H28" s="1531"/>
      <c r="I28" s="1531" t="s">
        <v>15</v>
      </c>
      <c r="J28" s="1531" t="s">
        <v>15</v>
      </c>
      <c r="K28" s="1531" t="s">
        <v>15</v>
      </c>
      <c r="L28" s="643"/>
      <c r="M28" s="643"/>
      <c r="N28" s="943"/>
      <c r="O28" s="1531"/>
      <c r="P28" s="924"/>
      <c r="Q28" s="924"/>
      <c r="R28" s="924"/>
      <c r="S28" s="924"/>
      <c r="T28" s="924"/>
      <c r="U28" s="924"/>
      <c r="V28" s="924"/>
      <c r="W28" s="924"/>
      <c r="X28" s="924"/>
      <c r="Y28" s="924"/>
      <c r="Z28" s="924"/>
      <c r="AA28" s="924"/>
      <c r="AB28" s="924"/>
    </row>
    <row r="29" spans="1:28">
      <c r="A29" s="820" t="s">
        <v>93</v>
      </c>
      <c r="B29" s="945"/>
      <c r="C29" s="685">
        <f>'Exh D Special Revenue State Fed'!C29+'Exh D Special Revenue State Fed'!N29</f>
        <v>63500</v>
      </c>
      <c r="D29" s="1939"/>
      <c r="E29" s="685">
        <f>'Exh D Special Revenue State Fed'!E29+'Exh D Special Revenue State Fed'!P29</f>
        <v>68162</v>
      </c>
      <c r="F29" s="643"/>
      <c r="G29" s="681">
        <f>+'Exh D Special Revenue State Fed'!G29+'Exh D Special Revenue State Fed'!R29</f>
        <v>68293.100000000006</v>
      </c>
      <c r="H29" s="681"/>
      <c r="I29" s="681">
        <v>0</v>
      </c>
      <c r="J29" s="681"/>
      <c r="K29" s="1531">
        <f t="shared" ref="K29:K34" si="3">+G29+I29</f>
        <v>68293.100000000006</v>
      </c>
      <c r="L29" s="643"/>
      <c r="M29" s="1531">
        <f t="shared" ref="M29:M34" si="4">ROUND(SUM(K29)-SUM(C29),1)</f>
        <v>4793.1000000000004</v>
      </c>
      <c r="N29" s="943"/>
      <c r="O29" s="1531">
        <f t="shared" ref="O29:O34" si="5">K29-E29</f>
        <v>131.10000000000582</v>
      </c>
      <c r="P29" s="947"/>
      <c r="Q29" s="924"/>
      <c r="R29" s="947"/>
      <c r="S29" s="924"/>
      <c r="T29" s="947"/>
      <c r="U29" s="948"/>
      <c r="V29" s="924"/>
      <c r="W29" s="924"/>
      <c r="X29" s="924"/>
      <c r="Y29" s="924"/>
      <c r="Z29" s="924"/>
      <c r="AA29" s="924"/>
      <c r="AB29" s="924"/>
    </row>
    <row r="30" spans="1:28">
      <c r="A30" s="820" t="s">
        <v>94</v>
      </c>
      <c r="B30" s="945"/>
      <c r="C30" s="685">
        <f>'Exh D Special Revenue State Fed'!C30+'Exh D Special Revenue State Fed'!N30</f>
        <v>8015</v>
      </c>
      <c r="D30" s="1939"/>
      <c r="E30" s="685">
        <f>'Exh D Special Revenue State Fed'!E30+'Exh D Special Revenue State Fed'!P30</f>
        <v>10817</v>
      </c>
      <c r="F30" s="643"/>
      <c r="G30" s="681">
        <f>+'Exh D Special Revenue State Fed'!G30+'Exh D Special Revenue State Fed'!R30</f>
        <v>10885.5</v>
      </c>
      <c r="H30" s="681"/>
      <c r="I30" s="681">
        <v>0</v>
      </c>
      <c r="J30" s="681"/>
      <c r="K30" s="1531">
        <f t="shared" si="3"/>
        <v>10885.5</v>
      </c>
      <c r="L30" s="643"/>
      <c r="M30" s="1531">
        <f t="shared" si="4"/>
        <v>2870.5</v>
      </c>
      <c r="N30" s="943"/>
      <c r="O30" s="1531">
        <f t="shared" si="5"/>
        <v>68.5</v>
      </c>
      <c r="P30" s="945"/>
      <c r="Q30" s="924"/>
      <c r="R30" s="945"/>
      <c r="S30" s="924"/>
      <c r="T30" s="947"/>
      <c r="U30" s="924"/>
      <c r="V30" s="924"/>
      <c r="W30" s="947"/>
      <c r="X30" s="947"/>
      <c r="Y30" s="924"/>
      <c r="Z30" s="947"/>
      <c r="AA30" s="924"/>
      <c r="AB30" s="947"/>
    </row>
    <row r="31" spans="1:28">
      <c r="A31" s="820" t="s">
        <v>69</v>
      </c>
      <c r="B31" s="945"/>
      <c r="C31" s="685">
        <f>'Exh D Special Revenue State Fed'!C31+'Exh D Special Revenue State Fed'!N31</f>
        <v>1174</v>
      </c>
      <c r="D31" s="1939"/>
      <c r="E31" s="685">
        <f>'Exh D Special Revenue State Fed'!E31+'Exh D Special Revenue State Fed'!P31</f>
        <v>2011</v>
      </c>
      <c r="F31" s="643"/>
      <c r="G31" s="681">
        <f>+'Exh D Special Revenue State Fed'!G31+'Exh D Special Revenue State Fed'!R31</f>
        <v>2007.2999999999997</v>
      </c>
      <c r="H31" s="681"/>
      <c r="I31" s="681">
        <v>0</v>
      </c>
      <c r="J31" s="681"/>
      <c r="K31" s="1531">
        <f t="shared" si="3"/>
        <v>2007.2999999999997</v>
      </c>
      <c r="L31" s="643"/>
      <c r="M31" s="1531">
        <f t="shared" si="4"/>
        <v>833.3</v>
      </c>
      <c r="N31" s="943"/>
      <c r="O31" s="1531">
        <f t="shared" si="5"/>
        <v>-3.7000000000002728</v>
      </c>
      <c r="P31" s="947"/>
      <c r="Q31" s="924"/>
      <c r="R31" s="947"/>
      <c r="S31" s="924"/>
      <c r="T31" s="947"/>
      <c r="U31" s="948"/>
      <c r="V31" s="924"/>
      <c r="W31" s="947"/>
      <c r="X31" s="947"/>
      <c r="Y31" s="924"/>
      <c r="Z31" s="947"/>
      <c r="AA31" s="924"/>
      <c r="AB31" s="947"/>
    </row>
    <row r="32" spans="1:28">
      <c r="A32" s="820" t="s">
        <v>95</v>
      </c>
      <c r="B32" s="945"/>
      <c r="C32" s="685">
        <f>'Exh D Special Revenue State Fed'!C32+'Exh D Special Revenue State Fed'!N32</f>
        <v>133</v>
      </c>
      <c r="D32" s="1939"/>
      <c r="E32" s="685">
        <f>'Exh D Special Revenue State Fed'!E32+'Exh D Special Revenue State Fed'!P32</f>
        <v>102</v>
      </c>
      <c r="F32" s="1531"/>
      <c r="G32" s="681">
        <f>+'Exh D Special Revenue State Fed'!G32+'Exh D Special Revenue State Fed'!R32</f>
        <v>102.2</v>
      </c>
      <c r="H32" s="681"/>
      <c r="I32" s="681">
        <v>0</v>
      </c>
      <c r="J32" s="681"/>
      <c r="K32" s="1531">
        <f t="shared" si="3"/>
        <v>102.2</v>
      </c>
      <c r="L32" s="1531"/>
      <c r="M32" s="1531">
        <f>ROUND(SUM(K32)-SUM(C32),1)</f>
        <v>-30.8</v>
      </c>
      <c r="N32" s="943"/>
      <c r="O32" s="1531">
        <f>K32-E32</f>
        <v>0.20000000000000284</v>
      </c>
      <c r="P32" s="947"/>
      <c r="Q32" s="924"/>
      <c r="R32" s="947"/>
      <c r="S32" s="924"/>
      <c r="T32" s="947"/>
      <c r="U32" s="948"/>
      <c r="V32" s="924"/>
      <c r="W32" s="947"/>
      <c r="X32" s="947"/>
      <c r="Y32" s="924"/>
      <c r="Z32" s="947"/>
      <c r="AA32" s="924"/>
      <c r="AB32" s="947"/>
    </row>
    <row r="33" spans="1:28">
      <c r="A33" s="820" t="s">
        <v>42</v>
      </c>
      <c r="B33" s="945"/>
      <c r="C33" s="685">
        <f>'Exh D Special Revenue State Fed'!C33+'Exh D Special Revenue State Fed'!N33</f>
        <v>0</v>
      </c>
      <c r="D33" s="1939"/>
      <c r="E33" s="685">
        <f>'Exh D Special Revenue State Fed'!E33+'Exh D Special Revenue State Fed'!P33</f>
        <v>2</v>
      </c>
      <c r="F33" s="643"/>
      <c r="G33" s="686">
        <f>+'Exh D Special Revenue State Fed'!G33+'Exh D Special Revenue State Fed'!R33</f>
        <v>2.2999999999999998</v>
      </c>
      <c r="H33" s="686"/>
      <c r="I33" s="686">
        <v>0</v>
      </c>
      <c r="J33" s="686"/>
      <c r="K33" s="1531">
        <f t="shared" si="3"/>
        <v>2.2999999999999998</v>
      </c>
      <c r="L33" s="643"/>
      <c r="M33" s="1531">
        <f t="shared" si="4"/>
        <v>2.2999999999999998</v>
      </c>
      <c r="N33" s="943"/>
      <c r="O33" s="1531">
        <f t="shared" si="5"/>
        <v>0.29999999999999982</v>
      </c>
      <c r="P33" s="947"/>
      <c r="Q33" s="924"/>
      <c r="R33" s="947"/>
      <c r="S33" s="924"/>
      <c r="T33" s="947"/>
      <c r="U33" s="948"/>
      <c r="V33" s="924"/>
      <c r="W33" s="924"/>
      <c r="X33" s="924"/>
      <c r="Y33" s="924"/>
      <c r="Z33" s="924"/>
      <c r="AA33" s="924"/>
      <c r="AB33" s="924"/>
    </row>
    <row r="34" spans="1:28">
      <c r="A34" s="820" t="s">
        <v>1507</v>
      </c>
      <c r="B34" s="945"/>
      <c r="C34" s="685">
        <f>'Exh D Special Revenue State Fed'!C34+'Exh D Special Revenue State Fed'!N34</f>
        <v>1720</v>
      </c>
      <c r="D34" s="1939"/>
      <c r="E34" s="685">
        <f>'Exh D Special Revenue State Fed'!E34+'Exh D Special Revenue State Fed'!P34</f>
        <v>2207</v>
      </c>
      <c r="F34" s="643"/>
      <c r="G34" s="681">
        <f>+'Exh D Special Revenue State Fed'!G34+'Exh D Special Revenue State Fed'!R34</f>
        <v>2246.6999999999998</v>
      </c>
      <c r="H34" s="681"/>
      <c r="I34" s="684">
        <f>-'Exhibit G'!AB114</f>
        <v>-569.4</v>
      </c>
      <c r="J34" s="681"/>
      <c r="K34" s="1531">
        <f t="shared" si="3"/>
        <v>1677.2999999999997</v>
      </c>
      <c r="L34" s="643"/>
      <c r="M34" s="1531">
        <f t="shared" si="4"/>
        <v>-42.7</v>
      </c>
      <c r="N34" s="943"/>
      <c r="O34" s="1531">
        <f t="shared" si="5"/>
        <v>-529.70000000000027</v>
      </c>
      <c r="P34" s="947"/>
      <c r="Q34" s="924"/>
      <c r="R34" s="947"/>
      <c r="S34" s="924"/>
      <c r="T34" s="947"/>
      <c r="U34" s="948"/>
      <c r="V34" s="924"/>
      <c r="W34" s="924"/>
      <c r="X34" s="924"/>
      <c r="Y34" s="924"/>
      <c r="Z34" s="924"/>
      <c r="AA34" s="924"/>
      <c r="AB34" s="924"/>
    </row>
    <row r="35" spans="1:28" ht="18" customHeight="1">
      <c r="A35" s="1540" t="s">
        <v>117</v>
      </c>
      <c r="B35" s="151"/>
      <c r="C35" s="1873">
        <f>ROUND(SUM(C29:C34),1)</f>
        <v>74542</v>
      </c>
      <c r="D35" s="151"/>
      <c r="E35" s="1873">
        <f>ROUND(SUM(E29:E34),1)</f>
        <v>83301</v>
      </c>
      <c r="F35" s="922"/>
      <c r="G35" s="215">
        <f>ROUND(SUM(G29:G34),1)</f>
        <v>83537.100000000006</v>
      </c>
      <c r="H35" s="1532"/>
      <c r="I35" s="1541">
        <f>ROUND(SUM(I29:I34),1)</f>
        <v>-569.4</v>
      </c>
      <c r="J35" s="1532"/>
      <c r="K35" s="1541">
        <f>ROUND(SUM(K29:K34),1)</f>
        <v>82967.7</v>
      </c>
      <c r="L35" s="922"/>
      <c r="M35" s="215">
        <f>ROUND(SUM(M29:M34),1)</f>
        <v>8425.7000000000007</v>
      </c>
      <c r="N35" s="76"/>
      <c r="O35" s="215">
        <f>ROUND(SUM(O29:O34),1)</f>
        <v>-333.3</v>
      </c>
      <c r="P35" s="151"/>
      <c r="Q35" s="151"/>
      <c r="R35" s="151"/>
      <c r="S35" s="151"/>
      <c r="T35" s="151"/>
      <c r="U35" s="151"/>
      <c r="V35" s="151"/>
      <c r="W35" s="151"/>
      <c r="X35" s="151"/>
      <c r="Y35" s="151"/>
      <c r="Z35" s="151"/>
      <c r="AA35" s="151"/>
      <c r="AB35" s="151"/>
    </row>
    <row r="36" spans="1:28">
      <c r="A36" s="690"/>
      <c r="B36" s="924"/>
      <c r="C36" s="943"/>
      <c r="D36" s="924"/>
      <c r="E36" s="943"/>
      <c r="F36" s="643"/>
      <c r="G36" s="688"/>
      <c r="H36" s="943"/>
      <c r="I36" s="943"/>
      <c r="J36" s="943"/>
      <c r="K36" s="943"/>
      <c r="L36" s="643"/>
      <c r="M36" s="688"/>
      <c r="N36" s="943"/>
      <c r="O36" s="688"/>
      <c r="P36" s="924"/>
      <c r="Q36" s="924"/>
      <c r="R36" s="924"/>
      <c r="S36" s="924"/>
      <c r="T36" s="924"/>
      <c r="U36" s="924"/>
      <c r="V36" s="924"/>
      <c r="W36" s="924"/>
      <c r="X36" s="924"/>
      <c r="Y36" s="924"/>
      <c r="Z36" s="924"/>
      <c r="AA36" s="924"/>
      <c r="AB36" s="924"/>
    </row>
    <row r="37" spans="1:28" ht="15.75">
      <c r="A37" s="29" t="s">
        <v>118</v>
      </c>
      <c r="B37" s="924"/>
      <c r="C37" s="943"/>
      <c r="D37" s="924"/>
      <c r="E37" s="943"/>
      <c r="F37" s="643"/>
      <c r="G37" s="643"/>
      <c r="H37" s="1531"/>
      <c r="I37" s="1531"/>
      <c r="J37" s="1531"/>
      <c r="K37" s="1531"/>
      <c r="L37" s="643"/>
      <c r="M37" s="643"/>
      <c r="N37" s="943"/>
      <c r="O37" s="1531"/>
      <c r="P37" s="924"/>
      <c r="Q37" s="924"/>
      <c r="R37" s="924"/>
      <c r="S37" s="924"/>
      <c r="T37" s="924"/>
      <c r="U37" s="924"/>
      <c r="V37" s="924"/>
      <c r="W37" s="924"/>
      <c r="X37" s="924"/>
      <c r="Y37" s="924"/>
      <c r="Z37" s="924"/>
      <c r="AA37" s="924"/>
      <c r="AB37" s="924"/>
    </row>
    <row r="38" spans="1:28" ht="15.75">
      <c r="A38" s="29" t="s">
        <v>119</v>
      </c>
      <c r="B38" s="924"/>
      <c r="C38" s="943"/>
      <c r="D38" s="924"/>
      <c r="E38" s="943"/>
      <c r="F38" s="643"/>
      <c r="G38" s="643"/>
      <c r="H38" s="1531"/>
      <c r="I38" s="1531"/>
      <c r="J38" s="1531"/>
      <c r="K38" s="1531"/>
      <c r="L38" s="643"/>
      <c r="M38" s="643"/>
      <c r="N38" s="943"/>
      <c r="O38" s="1531"/>
      <c r="P38" s="924"/>
      <c r="Q38" s="924"/>
      <c r="R38" s="924"/>
      <c r="S38" s="924"/>
      <c r="T38" s="924"/>
      <c r="U38" s="924"/>
      <c r="V38" s="924"/>
      <c r="W38" s="924"/>
      <c r="X38" s="924"/>
      <c r="Y38" s="924"/>
      <c r="Z38" s="924"/>
      <c r="AA38" s="924"/>
      <c r="AB38" s="924"/>
    </row>
    <row r="39" spans="1:28" ht="15.75">
      <c r="A39" s="1121" t="s">
        <v>102</v>
      </c>
      <c r="B39" s="175"/>
      <c r="C39" s="1532">
        <f>ROUND(SUM(C26)-SUM(C35),1)</f>
        <v>1795</v>
      </c>
      <c r="D39" s="175"/>
      <c r="E39" s="1532">
        <f>ROUND(SUM(E26)-SUM(E35),1)</f>
        <v>4401</v>
      </c>
      <c r="F39" s="84"/>
      <c r="G39" s="76">
        <f>ROUND(SUM(G26)-SUM(G35),1)</f>
        <v>3981.8</v>
      </c>
      <c r="H39" s="1532"/>
      <c r="I39" s="1532">
        <v>0</v>
      </c>
      <c r="J39" s="1532"/>
      <c r="K39" s="1532">
        <f>+G39+I39</f>
        <v>3981.8</v>
      </c>
      <c r="L39" s="84"/>
      <c r="M39" s="76">
        <f>ROUND(SUM(M26)-SUM(M35),1)</f>
        <v>2186.8000000000002</v>
      </c>
      <c r="N39" s="392"/>
      <c r="O39" s="1532">
        <f>ROUND(SUM(O26)-SUM(O35),1)</f>
        <v>-419.2</v>
      </c>
      <c r="P39" s="151"/>
      <c r="Q39" s="174"/>
      <c r="R39" s="151"/>
      <c r="S39" s="174"/>
      <c r="T39" s="151"/>
      <c r="U39" s="151"/>
      <c r="V39" s="174"/>
      <c r="W39" s="151"/>
      <c r="X39" s="151"/>
      <c r="Y39" s="174"/>
      <c r="Z39" s="151"/>
      <c r="AA39" s="174"/>
      <c r="AB39" s="151"/>
    </row>
    <row r="40" spans="1:28" ht="15" customHeight="1">
      <c r="C40" s="670"/>
      <c r="E40" s="670"/>
      <c r="F40" s="932"/>
      <c r="G40" s="670"/>
      <c r="H40" s="670"/>
      <c r="I40" s="670"/>
      <c r="J40" s="670"/>
      <c r="K40" s="670"/>
      <c r="L40" s="932"/>
      <c r="M40" s="670"/>
      <c r="N40" s="670"/>
      <c r="O40" s="670"/>
    </row>
    <row r="41" spans="1:28" ht="15.75">
      <c r="A41" s="1121" t="str">
        <f>+'Exh D-Governmental  '!A49</f>
        <v>Fund Balances (Deficits) at April 1</v>
      </c>
      <c r="C41" s="1940">
        <f>'Exh D Special Revenue State Fed'!C41+'Exh D Special Revenue State Fed'!N41</f>
        <v>6312</v>
      </c>
      <c r="D41" s="1941"/>
      <c r="E41" s="1940">
        <f>'Exh D Special Revenue State Fed'!E41+'Exh D Special Revenue State Fed'!P41</f>
        <v>6311</v>
      </c>
      <c r="F41" s="932"/>
      <c r="G41" s="1532">
        <f>'Exh D Special Revenue State Fed'!G41+'Exh D Special Revenue State Fed'!R41</f>
        <v>6312.0999999999995</v>
      </c>
      <c r="H41" s="1532"/>
      <c r="I41" s="1532">
        <v>0</v>
      </c>
      <c r="J41" s="1532"/>
      <c r="K41" s="1532">
        <f>+G41+I41</f>
        <v>6312.0999999999995</v>
      </c>
      <c r="L41" s="932"/>
      <c r="M41" s="74">
        <f t="shared" ref="M41" si="6">ROUND(SUM(K41)-SUM(C41),1)</f>
        <v>0.1</v>
      </c>
      <c r="N41" s="670"/>
      <c r="O41" s="74">
        <f>K41-E41</f>
        <v>1.0999999999994543</v>
      </c>
    </row>
    <row r="42" spans="1:28" ht="18" customHeight="1" thickBot="1">
      <c r="A42" s="1349" t="str">
        <f>+'Exh D-Governmental  '!A50</f>
        <v>Fund Balances (Deficits) at January 31, 2021</v>
      </c>
      <c r="B42" s="175"/>
      <c r="C42" s="98">
        <f>ROUND(SUM(C39:C41),1)</f>
        <v>8107</v>
      </c>
      <c r="D42" s="175"/>
      <c r="E42" s="98">
        <f>ROUND(SUM(E39:E41),1)</f>
        <v>10712</v>
      </c>
      <c r="F42" s="181"/>
      <c r="G42" s="98">
        <f>ROUND(SUM(G39:G41),1)</f>
        <v>10293.9</v>
      </c>
      <c r="H42" s="219"/>
      <c r="I42" s="98">
        <f>ROUND(SUM(I39:I41),1)</f>
        <v>0</v>
      </c>
      <c r="J42" s="219"/>
      <c r="K42" s="98">
        <f>ROUND(SUM(K39:K41),1)</f>
        <v>10293.9</v>
      </c>
      <c r="L42" s="181"/>
      <c r="M42" s="98">
        <f>ROUND(SUM(M39:M41),1)</f>
        <v>2186.9</v>
      </c>
      <c r="O42" s="98">
        <f>ROUND(SUM(O39:O41),1)</f>
        <v>-418.1</v>
      </c>
    </row>
    <row r="43" spans="1:28" ht="15" customHeight="1" thickTop="1">
      <c r="A43" s="155"/>
      <c r="E43" s="689"/>
      <c r="F43" s="949"/>
      <c r="G43" s="949"/>
      <c r="H43" s="949"/>
      <c r="I43" s="949"/>
      <c r="J43" s="949"/>
      <c r="K43" s="949"/>
      <c r="L43" s="949"/>
      <c r="M43" s="949"/>
      <c r="O43" s="1543"/>
    </row>
    <row r="44" spans="1:28">
      <c r="A44" s="936" t="str">
        <f>'Exh D-Governmental  '!A52</f>
        <v>(*)    Source: 2020-21 Enacted Financial Plan dated April 25, 2020.</v>
      </c>
    </row>
    <row r="45" spans="1:28">
      <c r="A45" s="936" t="str">
        <f>'Exh D-Governmental  '!A53</f>
        <v>(**)   Source: 2021-22 Executive Budget dated January 19, 2021.</v>
      </c>
      <c r="I45" s="935" t="s">
        <v>15</v>
      </c>
    </row>
    <row r="46" spans="1:28">
      <c r="A46" s="1499" t="s">
        <v>1505</v>
      </c>
      <c r="I46" s="935" t="s">
        <v>15</v>
      </c>
    </row>
    <row r="47" spans="1:28">
      <c r="A47" s="1499"/>
    </row>
    <row r="48" spans="1:28">
      <c r="A48" s="950"/>
    </row>
    <row r="50" spans="1:1">
      <c r="A50" s="204"/>
    </row>
    <row r="51" spans="1:1">
      <c r="A51" s="204"/>
    </row>
  </sheetData>
  <mergeCells count="1">
    <mergeCell ref="A5:E5"/>
  </mergeCells>
  <printOptions horizontalCentered="1"/>
  <pageMargins left="0.7" right="0.7" top="0.75" bottom="0.6" header="0.3" footer="0.3"/>
  <pageSetup scale="60" firstPageNumber="10"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W69"/>
  <sheetViews>
    <sheetView showGridLines="0" topLeftCell="A4" zoomScale="90" workbookViewId="0"/>
  </sheetViews>
  <sheetFormatPr defaultColWidth="8.6640625" defaultRowHeight="15"/>
  <cols>
    <col min="1" max="1" width="53.109375" style="931" customWidth="1"/>
    <col min="2" max="2" width="0.6640625" style="622" customWidth="1"/>
    <col min="3" max="3" width="15.6640625" style="425" customWidth="1"/>
    <col min="4" max="4" width="0.6640625" style="935" customWidth="1"/>
    <col min="5" max="5" width="15.6640625" style="425" customWidth="1"/>
    <col min="6" max="6" width="0.6640625" style="935" customWidth="1"/>
    <col min="7" max="7" width="15.6640625" style="935" customWidth="1"/>
    <col min="8" max="8" width="0.6640625" style="935" customWidth="1"/>
    <col min="9" max="9" width="15.6640625" style="935" customWidth="1"/>
    <col min="10" max="10" width="0.6640625" style="935" customWidth="1"/>
    <col min="11" max="11" width="15.6640625" style="935" customWidth="1"/>
    <col min="12" max="12" width="1.6640625" style="622" customWidth="1"/>
    <col min="13" max="13" width="0.6640625" style="622" customWidth="1"/>
    <col min="14" max="14" width="15.6640625" style="622" customWidth="1"/>
    <col min="15" max="15" width="1.109375" style="622" customWidth="1"/>
    <col min="16" max="16" width="15.6640625" style="622" customWidth="1"/>
    <col min="17" max="17" width="1.109375" style="622" customWidth="1"/>
    <col min="18" max="18" width="15.6640625" style="622" customWidth="1"/>
    <col min="19" max="19" width="0.5546875" style="622" customWidth="1"/>
    <col min="20" max="20" width="15.6640625" style="622" customWidth="1"/>
    <col min="21" max="21" width="1.109375" style="622" customWidth="1"/>
    <col min="22" max="22" width="15.6640625" style="425" customWidth="1"/>
    <col min="23" max="23" width="1" style="622" customWidth="1"/>
    <col min="24" max="24" width="3.6640625" style="425" customWidth="1"/>
    <col min="25" max="25" width="1" style="622" customWidth="1"/>
    <col min="26" max="26" width="15.6640625" style="622" customWidth="1"/>
    <col min="27" max="27" width="0.6640625" style="622" customWidth="1"/>
    <col min="28" max="28" width="15.6640625" style="622" customWidth="1"/>
    <col min="29" max="29" width="0.109375" style="622" customWidth="1"/>
    <col min="30" max="30" width="11.6640625" style="622" customWidth="1"/>
    <col min="31" max="31" width="11.44140625" style="622" customWidth="1"/>
    <col min="32" max="32" width="1.6640625" style="622" customWidth="1"/>
    <col min="33" max="33" width="11.6640625" style="622" customWidth="1"/>
    <col min="34" max="34" width="2.109375" style="622" customWidth="1"/>
    <col min="35" max="35" width="11.44140625" style="622" customWidth="1"/>
    <col min="36" max="36" width="0.5546875" style="622" customWidth="1"/>
    <col min="37" max="37" width="2.109375" style="622" customWidth="1"/>
    <col min="38" max="38" width="10.5546875" style="622" customWidth="1"/>
    <col min="39" max="39" width="11.109375" style="622" customWidth="1"/>
    <col min="40" max="40" width="2.109375" style="622" customWidth="1"/>
    <col min="41" max="41" width="11.109375" style="622" customWidth="1"/>
    <col min="42" max="42" width="2.109375" style="622" customWidth="1"/>
    <col min="43" max="43" width="12.44140625" style="622" customWidth="1"/>
    <col min="44" max="48" width="8.6640625" style="622"/>
    <col min="49" max="49" width="8.6640625" style="935"/>
    <col min="50" max="16384" width="8.6640625" style="931"/>
  </cols>
  <sheetData>
    <row r="1" spans="1:49">
      <c r="A1" s="937" t="s">
        <v>963</v>
      </c>
      <c r="B1" s="186"/>
      <c r="C1" s="419"/>
      <c r="D1" s="187"/>
      <c r="E1" s="419"/>
      <c r="F1" s="187"/>
      <c r="G1" s="187"/>
      <c r="H1" s="187"/>
      <c r="I1" s="187"/>
      <c r="J1" s="187"/>
      <c r="K1" s="187"/>
      <c r="L1" s="186"/>
      <c r="M1" s="186"/>
      <c r="N1" s="186"/>
      <c r="O1" s="186"/>
      <c r="P1" s="186"/>
      <c r="Q1" s="186"/>
      <c r="R1" s="186"/>
      <c r="S1" s="186"/>
      <c r="T1" s="186"/>
      <c r="U1" s="186"/>
      <c r="V1" s="1182"/>
      <c r="W1" s="186"/>
      <c r="X1" s="1182"/>
      <c r="Y1" s="186"/>
      <c r="Z1" s="186"/>
      <c r="AA1" s="186"/>
      <c r="AB1" s="186"/>
      <c r="AC1" s="187"/>
      <c r="AD1" s="186"/>
      <c r="AE1" s="186"/>
      <c r="AF1" s="186"/>
      <c r="AG1" s="186"/>
      <c r="AH1" s="186"/>
      <c r="AI1" s="186"/>
      <c r="AJ1" s="186"/>
      <c r="AK1" s="186"/>
      <c r="AL1" s="186"/>
      <c r="AM1" s="186"/>
      <c r="AN1" s="186"/>
      <c r="AO1" s="186"/>
      <c r="AP1" s="186"/>
      <c r="AQ1" s="186"/>
      <c r="AR1" s="931"/>
      <c r="AS1" s="931"/>
      <c r="AT1" s="931"/>
      <c r="AU1" s="931"/>
      <c r="AV1" s="931"/>
      <c r="AW1" s="931"/>
    </row>
    <row r="2" spans="1:49" ht="17.25" customHeight="1">
      <c r="A2" s="188"/>
      <c r="B2" s="189"/>
      <c r="C2" s="420"/>
      <c r="D2" s="187"/>
      <c r="E2" s="420"/>
      <c r="F2" s="187"/>
      <c r="G2" s="187"/>
      <c r="H2" s="187"/>
      <c r="I2" s="187"/>
      <c r="J2" s="187"/>
      <c r="K2" s="187"/>
      <c r="L2" s="186"/>
      <c r="M2" s="186"/>
      <c r="N2" s="186"/>
      <c r="O2" s="186"/>
      <c r="P2" s="186"/>
      <c r="Q2" s="186"/>
      <c r="R2" s="186"/>
      <c r="S2" s="186"/>
      <c r="T2" s="186"/>
      <c r="U2" s="186"/>
      <c r="V2" s="1182"/>
      <c r="W2" s="186"/>
      <c r="X2" s="1182"/>
      <c r="Y2" s="186"/>
      <c r="Z2" s="1183"/>
      <c r="AA2" s="186"/>
      <c r="AB2" s="186"/>
      <c r="AC2" s="187"/>
      <c r="AD2" s="186"/>
      <c r="AE2" s="186"/>
      <c r="AF2" s="186"/>
      <c r="AG2" s="186"/>
      <c r="AH2" s="186"/>
      <c r="AI2" s="186"/>
      <c r="AJ2" s="186"/>
      <c r="AK2" s="186"/>
      <c r="AL2" s="186"/>
      <c r="AM2" s="186"/>
      <c r="AN2" s="186"/>
      <c r="AO2" s="186"/>
      <c r="AP2" s="186"/>
      <c r="AQ2" s="186"/>
      <c r="AR2" s="931"/>
      <c r="AS2" s="931"/>
      <c r="AT2" s="931"/>
      <c r="AU2" s="931"/>
      <c r="AV2" s="931"/>
      <c r="AW2" s="931"/>
    </row>
    <row r="3" spans="1:49" ht="17.25" customHeight="1">
      <c r="A3" s="191" t="s">
        <v>0</v>
      </c>
      <c r="B3" s="148"/>
      <c r="C3" s="421"/>
      <c r="D3" s="143"/>
      <c r="E3" s="421"/>
      <c r="F3" s="143"/>
      <c r="G3" s="143"/>
      <c r="H3" s="143"/>
      <c r="I3" s="143"/>
      <c r="J3" s="143"/>
      <c r="K3" s="143"/>
      <c r="L3" s="156"/>
      <c r="M3" s="156"/>
      <c r="N3" s="156"/>
      <c r="O3" s="156"/>
      <c r="P3" s="156"/>
      <c r="Q3" s="156"/>
      <c r="R3" s="156"/>
      <c r="S3" s="156"/>
      <c r="T3" s="822"/>
      <c r="U3" s="156"/>
      <c r="V3" s="822" t="s">
        <v>83</v>
      </c>
      <c r="W3" s="156"/>
      <c r="X3" s="1184"/>
      <c r="Y3" s="156"/>
      <c r="Z3" s="156"/>
      <c r="AA3" s="156"/>
      <c r="AB3" s="1185"/>
      <c r="AC3" s="143"/>
      <c r="AD3" s="156"/>
      <c r="AE3" s="156"/>
      <c r="AF3" s="156"/>
      <c r="AG3" s="156"/>
      <c r="AH3" s="156"/>
      <c r="AI3" s="156"/>
      <c r="AJ3" s="156"/>
      <c r="AK3" s="156"/>
      <c r="AL3" s="156"/>
      <c r="AM3" s="156"/>
      <c r="AN3" s="156"/>
      <c r="AO3" s="156"/>
      <c r="AP3" s="156"/>
      <c r="AQ3" s="192"/>
      <c r="AR3" s="931"/>
      <c r="AS3" s="931"/>
      <c r="AT3" s="931"/>
      <c r="AU3" s="931"/>
      <c r="AV3" s="931"/>
      <c r="AW3" s="931"/>
    </row>
    <row r="4" spans="1:49" ht="17.25" customHeight="1">
      <c r="A4" s="191" t="s">
        <v>82</v>
      </c>
      <c r="B4" s="148"/>
      <c r="C4" s="421"/>
      <c r="D4" s="143"/>
      <c r="E4" s="421"/>
      <c r="F4" s="143"/>
      <c r="G4" s="143"/>
      <c r="H4" s="143"/>
      <c r="I4" s="143"/>
      <c r="J4" s="143"/>
      <c r="K4" s="143"/>
      <c r="L4" s="156"/>
      <c r="M4" s="156"/>
      <c r="N4" s="156"/>
      <c r="O4" s="156"/>
      <c r="P4" s="156"/>
      <c r="Q4" s="156"/>
      <c r="R4" s="156"/>
      <c r="S4" s="156"/>
      <c r="T4" s="823"/>
      <c r="U4" s="156"/>
      <c r="V4" s="823"/>
      <c r="W4" s="156"/>
      <c r="X4" s="1184"/>
      <c r="Y4" s="156"/>
      <c r="Z4" s="156"/>
      <c r="AA4" s="156"/>
      <c r="AB4" s="1186"/>
      <c r="AC4" s="143"/>
      <c r="AD4" s="156"/>
      <c r="AE4" s="156"/>
      <c r="AF4" s="156"/>
      <c r="AG4" s="156"/>
      <c r="AH4" s="156"/>
      <c r="AI4" s="156"/>
      <c r="AJ4" s="156"/>
      <c r="AK4" s="156"/>
      <c r="AL4" s="156"/>
      <c r="AM4" s="156"/>
      <c r="AN4" s="156"/>
      <c r="AO4" s="156"/>
      <c r="AP4" s="156"/>
      <c r="AQ4" s="156"/>
      <c r="AR4" s="931"/>
      <c r="AS4" s="931"/>
      <c r="AT4" s="931"/>
      <c r="AU4" s="931"/>
      <c r="AV4" s="931"/>
      <c r="AW4" s="931"/>
    </row>
    <row r="5" spans="1:49" ht="17.25" customHeight="1">
      <c r="A5" s="3944" t="str">
        <f>'Exh D-Governmental  '!A5:E5</f>
        <v>FISCAL YEAR 2020-2021</v>
      </c>
      <c r="B5" s="3945"/>
      <c r="C5" s="3945"/>
      <c r="D5" s="3945"/>
      <c r="E5" s="3945"/>
      <c r="F5" s="143"/>
      <c r="G5" s="815"/>
      <c r="H5" s="143"/>
      <c r="I5" s="143"/>
      <c r="J5" s="143"/>
      <c r="K5" s="143"/>
      <c r="L5" s="156"/>
      <c r="M5" s="156"/>
      <c r="N5" s="2055"/>
      <c r="O5" s="156"/>
      <c r="P5" s="156"/>
      <c r="Q5" s="156"/>
      <c r="R5" s="156"/>
      <c r="S5" s="156"/>
      <c r="T5" s="156"/>
      <c r="U5" s="156"/>
      <c r="V5" s="1184"/>
      <c r="W5" s="156"/>
      <c r="X5" s="1184"/>
      <c r="Y5" s="156"/>
      <c r="Z5" s="156"/>
      <c r="AA5" s="156"/>
      <c r="AB5" s="156"/>
      <c r="AC5" s="143"/>
      <c r="AD5" s="156"/>
      <c r="AE5" s="156"/>
      <c r="AF5" s="156"/>
      <c r="AG5" s="156"/>
      <c r="AH5" s="156"/>
      <c r="AI5" s="156"/>
      <c r="AJ5" s="156"/>
      <c r="AK5" s="156"/>
      <c r="AL5" s="156"/>
      <c r="AM5" s="156"/>
      <c r="AN5" s="156"/>
      <c r="AO5" s="156"/>
      <c r="AP5" s="156"/>
      <c r="AQ5" s="156"/>
      <c r="AR5" s="931"/>
      <c r="AS5" s="931"/>
      <c r="AT5" s="931"/>
      <c r="AU5" s="931"/>
      <c r="AV5" s="931"/>
      <c r="AW5" s="931"/>
    </row>
    <row r="6" spans="1:49" ht="17.25" customHeight="1">
      <c r="A6" s="1474" t="str">
        <f>'Exh D-Governmental  '!A6</f>
        <v xml:space="preserve">FOR TEN MONTHS ENDED JANUARY 31, 2021    </v>
      </c>
      <c r="B6" s="3923"/>
      <c r="C6" s="3924"/>
      <c r="D6" s="3925"/>
      <c r="E6" s="3924"/>
      <c r="F6" s="143"/>
      <c r="G6" s="143"/>
      <c r="H6" s="143"/>
      <c r="I6" s="143"/>
      <c r="J6" s="143"/>
      <c r="K6" s="143"/>
      <c r="L6" s="156"/>
      <c r="M6" s="156"/>
      <c r="N6" s="156"/>
      <c r="O6" s="156"/>
      <c r="P6" s="156"/>
      <c r="Q6" s="156"/>
      <c r="R6" s="156"/>
      <c r="S6" s="156"/>
      <c r="T6" s="156"/>
      <c r="U6" s="156"/>
      <c r="V6" s="1184"/>
      <c r="W6" s="156"/>
      <c r="X6" s="1184"/>
      <c r="Y6" s="156"/>
      <c r="Z6" s="156"/>
      <c r="AA6" s="156"/>
      <c r="AB6" s="156"/>
      <c r="AC6" s="143"/>
      <c r="AD6" s="156"/>
      <c r="AE6" s="156"/>
      <c r="AF6" s="156"/>
      <c r="AG6" s="156"/>
      <c r="AH6" s="156"/>
      <c r="AI6" s="156"/>
      <c r="AJ6" s="156"/>
      <c r="AK6" s="156"/>
      <c r="AL6" s="156"/>
      <c r="AM6" s="156"/>
      <c r="AN6" s="156"/>
      <c r="AO6" s="156"/>
      <c r="AP6" s="156"/>
      <c r="AQ6" s="156"/>
      <c r="AR6" s="931"/>
      <c r="AS6" s="931"/>
      <c r="AT6" s="931"/>
      <c r="AU6" s="931"/>
      <c r="AV6" s="931"/>
      <c r="AW6" s="931"/>
    </row>
    <row r="7" spans="1:49" ht="18">
      <c r="A7" s="191" t="s">
        <v>1364</v>
      </c>
      <c r="B7" s="148"/>
      <c r="C7" s="421"/>
      <c r="D7" s="143"/>
      <c r="E7" s="421"/>
      <c r="F7" s="143"/>
      <c r="G7" s="143"/>
      <c r="H7" s="143"/>
      <c r="I7" s="143"/>
      <c r="J7" s="143"/>
      <c r="K7" s="143"/>
      <c r="L7" s="156"/>
      <c r="M7" s="156"/>
      <c r="N7" s="156"/>
      <c r="O7" s="156"/>
      <c r="P7" s="156"/>
      <c r="Q7" s="156"/>
      <c r="R7" s="156"/>
      <c r="S7" s="156"/>
      <c r="T7" s="156"/>
      <c r="U7" s="156"/>
      <c r="V7" s="1184"/>
      <c r="W7" s="156"/>
      <c r="X7" s="1184"/>
      <c r="Y7" s="156"/>
      <c r="Z7" s="156"/>
      <c r="AA7" s="156"/>
      <c r="AB7" s="156"/>
      <c r="AC7" s="143"/>
      <c r="AD7" s="156"/>
      <c r="AE7" s="156"/>
      <c r="AF7" s="156"/>
      <c r="AG7" s="156"/>
      <c r="AH7" s="156"/>
      <c r="AI7" s="156"/>
      <c r="AJ7" s="156"/>
      <c r="AK7" s="156"/>
      <c r="AL7" s="156"/>
      <c r="AM7" s="156"/>
      <c r="AN7" s="156"/>
      <c r="AO7" s="156"/>
      <c r="AP7" s="156"/>
      <c r="AQ7" s="156"/>
      <c r="AR7" s="931"/>
      <c r="AS7" s="931"/>
      <c r="AT7" s="931"/>
      <c r="AU7" s="931"/>
      <c r="AV7" s="931"/>
      <c r="AW7" s="931"/>
    </row>
    <row r="8" spans="1:49" ht="15" customHeight="1">
      <c r="A8" s="193"/>
      <c r="B8" s="147"/>
      <c r="C8" s="421"/>
      <c r="D8" s="143"/>
      <c r="E8" s="421"/>
      <c r="F8" s="143"/>
      <c r="G8" s="143"/>
      <c r="H8" s="143"/>
      <c r="I8" s="143"/>
      <c r="J8" s="143"/>
      <c r="K8" s="143"/>
      <c r="L8" s="156"/>
      <c r="M8" s="156"/>
      <c r="N8" s="156"/>
      <c r="O8" s="156"/>
      <c r="P8" s="156"/>
      <c r="Q8" s="156"/>
      <c r="R8" s="156"/>
      <c r="S8" s="156"/>
      <c r="T8" s="156"/>
      <c r="U8" s="156"/>
      <c r="V8" s="1184"/>
      <c r="W8" s="156"/>
      <c r="X8" s="1184"/>
      <c r="Y8" s="156"/>
      <c r="Z8" s="156"/>
      <c r="AA8" s="156"/>
      <c r="AB8" s="156"/>
      <c r="AC8" s="143"/>
      <c r="AD8" s="156"/>
      <c r="AE8" s="156"/>
      <c r="AF8" s="156"/>
      <c r="AG8" s="156"/>
      <c r="AH8" s="156"/>
      <c r="AI8" s="156"/>
      <c r="AJ8" s="156"/>
      <c r="AK8" s="156"/>
      <c r="AL8" s="156"/>
      <c r="AM8" s="156"/>
      <c r="AN8" s="156"/>
      <c r="AO8" s="156"/>
      <c r="AP8" s="156"/>
      <c r="AQ8" s="156"/>
      <c r="AR8" s="931"/>
      <c r="AS8" s="931"/>
      <c r="AT8" s="931"/>
      <c r="AU8" s="931"/>
      <c r="AV8" s="931"/>
      <c r="AW8" s="931"/>
    </row>
    <row r="9" spans="1:49">
      <c r="A9" s="150"/>
      <c r="B9" s="156"/>
      <c r="C9" s="422"/>
      <c r="D9" s="143"/>
      <c r="E9" s="422"/>
      <c r="F9" s="143"/>
      <c r="G9" s="143"/>
      <c r="H9" s="143"/>
      <c r="I9" s="143"/>
      <c r="J9" s="143"/>
      <c r="K9" s="143"/>
      <c r="L9" s="156"/>
      <c r="M9" s="156"/>
      <c r="N9" s="156"/>
      <c r="O9" s="156"/>
      <c r="P9" s="156"/>
      <c r="Q9" s="156"/>
      <c r="R9" s="156"/>
      <c r="S9" s="156"/>
      <c r="T9" s="156"/>
      <c r="U9" s="156"/>
      <c r="V9" s="1184"/>
      <c r="W9" s="156"/>
      <c r="X9" s="1184"/>
      <c r="Y9" s="156"/>
      <c r="Z9" s="156"/>
      <c r="AA9" s="156"/>
      <c r="AB9" s="156"/>
      <c r="AC9" s="143"/>
      <c r="AD9" s="156"/>
      <c r="AE9" s="156"/>
      <c r="AF9" s="156"/>
      <c r="AG9" s="156"/>
      <c r="AH9" s="156"/>
      <c r="AI9" s="156"/>
      <c r="AJ9" s="156"/>
      <c r="AK9" s="156"/>
      <c r="AL9" s="156"/>
      <c r="AM9" s="156"/>
      <c r="AN9" s="156"/>
      <c r="AO9" s="156"/>
      <c r="AP9" s="156"/>
      <c r="AQ9" s="156"/>
      <c r="AR9" s="931"/>
      <c r="AS9" s="931"/>
      <c r="AT9" s="931"/>
      <c r="AU9" s="931"/>
      <c r="AV9" s="931"/>
      <c r="AW9" s="931"/>
    </row>
    <row r="10" spans="1:49">
      <c r="A10" s="150"/>
      <c r="B10" s="156"/>
      <c r="C10" s="422"/>
      <c r="D10" s="143"/>
      <c r="E10" s="422"/>
      <c r="F10" s="143"/>
      <c r="G10" s="143"/>
      <c r="H10" s="143"/>
      <c r="I10" s="143"/>
      <c r="J10" s="143"/>
      <c r="K10" s="143"/>
      <c r="L10" s="156"/>
      <c r="M10" s="156"/>
      <c r="N10" s="156"/>
      <c r="O10" s="156"/>
      <c r="P10" s="156"/>
      <c r="Q10" s="156"/>
      <c r="R10" s="156"/>
      <c r="S10" s="156"/>
      <c r="T10" s="156"/>
      <c r="U10" s="156"/>
      <c r="V10" s="964"/>
      <c r="W10" s="147"/>
      <c r="X10" s="964"/>
      <c r="Y10" s="147"/>
      <c r="Z10" s="147"/>
      <c r="AA10" s="147"/>
      <c r="AB10" s="147"/>
      <c r="AC10" s="143"/>
      <c r="AD10" s="156"/>
      <c r="AE10" s="156"/>
      <c r="AF10" s="156"/>
      <c r="AG10" s="156"/>
      <c r="AH10" s="156"/>
      <c r="AI10" s="156"/>
      <c r="AJ10" s="156"/>
      <c r="AK10" s="156"/>
      <c r="AL10" s="156"/>
      <c r="AM10" s="156"/>
      <c r="AN10" s="156"/>
      <c r="AO10" s="156"/>
      <c r="AP10" s="156"/>
      <c r="AQ10" s="156"/>
      <c r="AR10" s="931"/>
      <c r="AS10" s="931"/>
      <c r="AT10" s="931"/>
      <c r="AU10" s="931"/>
      <c r="AV10" s="931"/>
      <c r="AW10" s="931"/>
    </row>
    <row r="11" spans="1:49" ht="15.75">
      <c r="A11" s="690"/>
      <c r="C11" s="3946" t="s">
        <v>1124</v>
      </c>
      <c r="D11" s="3946"/>
      <c r="E11" s="3946"/>
      <c r="F11" s="3946"/>
      <c r="G11" s="3946"/>
      <c r="H11" s="3946"/>
      <c r="I11" s="3946"/>
      <c r="J11" s="1178"/>
      <c r="K11" s="1178"/>
      <c r="L11" s="196"/>
      <c r="M11" s="194"/>
      <c r="N11" s="3946" t="s">
        <v>1125</v>
      </c>
      <c r="O11" s="3946"/>
      <c r="P11" s="3946"/>
      <c r="Q11" s="3946"/>
      <c r="R11" s="3946"/>
      <c r="S11" s="3946"/>
      <c r="T11" s="3946"/>
      <c r="U11" s="1187"/>
      <c r="V11" s="1416"/>
      <c r="W11" s="1437"/>
      <c r="X11" s="1437"/>
      <c r="Y11" s="1437"/>
      <c r="Z11" s="1437"/>
      <c r="AA11" s="1437"/>
      <c r="AB11" s="1437"/>
      <c r="AC11" s="151"/>
      <c r="AD11" s="194"/>
      <c r="AE11" s="194"/>
      <c r="AF11" s="194"/>
      <c r="AG11" s="194"/>
      <c r="AH11" s="194"/>
      <c r="AI11" s="194"/>
      <c r="AJ11" s="194"/>
      <c r="AK11" s="151"/>
      <c r="AL11" s="194"/>
      <c r="AM11" s="195"/>
      <c r="AN11" s="194"/>
      <c r="AO11" s="194"/>
      <c r="AP11" s="194"/>
      <c r="AQ11" s="194"/>
      <c r="AR11" s="931"/>
      <c r="AS11" s="931"/>
      <c r="AT11" s="931"/>
      <c r="AU11" s="931"/>
      <c r="AV11" s="931"/>
      <c r="AW11" s="931"/>
    </row>
    <row r="12" spans="1:49" ht="15.75">
      <c r="A12" s="690"/>
      <c r="C12" s="423"/>
      <c r="D12" s="196"/>
      <c r="E12" s="423"/>
      <c r="F12" s="196"/>
      <c r="G12" s="197"/>
      <c r="H12" s="196"/>
      <c r="I12" s="196" t="s">
        <v>84</v>
      </c>
      <c r="J12" s="196"/>
      <c r="K12" s="196" t="s">
        <v>84</v>
      </c>
      <c r="L12" s="196"/>
      <c r="M12" s="1202"/>
      <c r="N12" s="423"/>
      <c r="O12" s="196"/>
      <c r="P12" s="423"/>
      <c r="Q12" s="196"/>
      <c r="R12" s="197"/>
      <c r="S12" s="196"/>
      <c r="T12" s="196" t="s">
        <v>84</v>
      </c>
      <c r="U12" s="194"/>
      <c r="V12" s="196" t="s">
        <v>84</v>
      </c>
      <c r="W12" s="196"/>
      <c r="X12" s="426"/>
      <c r="Y12" s="196"/>
      <c r="Z12" s="197"/>
      <c r="AA12" s="196"/>
      <c r="AB12" s="196"/>
      <c r="AC12" s="151"/>
      <c r="AD12" s="194"/>
      <c r="AE12" s="194"/>
      <c r="AF12" s="194"/>
      <c r="AG12" s="194"/>
      <c r="AH12" s="194"/>
      <c r="AI12" s="194"/>
      <c r="AJ12" s="194"/>
      <c r="AK12" s="151"/>
      <c r="AL12" s="194"/>
      <c r="AM12" s="195"/>
      <c r="AN12" s="194"/>
      <c r="AO12" s="194"/>
      <c r="AP12" s="194"/>
      <c r="AQ12" s="194"/>
      <c r="AR12" s="931"/>
      <c r="AS12" s="931"/>
      <c r="AT12" s="931"/>
      <c r="AU12" s="931"/>
      <c r="AV12" s="931"/>
      <c r="AW12" s="931"/>
    </row>
    <row r="13" spans="1:49" ht="15.75">
      <c r="A13" s="690"/>
      <c r="B13" s="151"/>
      <c r="C13" s="424"/>
      <c r="D13" s="198"/>
      <c r="E13" s="424"/>
      <c r="F13" s="198"/>
      <c r="G13" s="198"/>
      <c r="H13" s="198"/>
      <c r="I13" s="199" t="s">
        <v>874</v>
      </c>
      <c r="J13" s="199"/>
      <c r="K13" s="199" t="s">
        <v>874</v>
      </c>
      <c r="L13" s="967"/>
      <c r="M13" s="1203"/>
      <c r="N13" s="424"/>
      <c r="O13" s="198"/>
      <c r="P13" s="424"/>
      <c r="Q13" s="198"/>
      <c r="R13" s="198"/>
      <c r="S13" s="198"/>
      <c r="T13" s="199" t="s">
        <v>874</v>
      </c>
      <c r="U13" s="201"/>
      <c r="V13" s="199" t="s">
        <v>874</v>
      </c>
      <c r="W13" s="966"/>
      <c r="X13" s="965"/>
      <c r="Y13" s="966"/>
      <c r="Z13" s="966"/>
      <c r="AA13" s="966"/>
      <c r="AB13" s="967"/>
      <c r="AC13" s="151"/>
      <c r="AD13" s="151"/>
      <c r="AE13" s="151"/>
      <c r="AF13" s="151"/>
      <c r="AG13" s="151"/>
      <c r="AH13" s="151"/>
      <c r="AI13" s="200"/>
      <c r="AJ13" s="201"/>
      <c r="AK13" s="151"/>
      <c r="AL13" s="151"/>
      <c r="AM13" s="151"/>
      <c r="AN13" s="151"/>
      <c r="AO13" s="151"/>
      <c r="AP13" s="151"/>
      <c r="AQ13" s="200"/>
      <c r="AR13" s="931"/>
      <c r="AS13" s="931"/>
      <c r="AT13" s="931"/>
      <c r="AU13" s="931"/>
      <c r="AV13" s="931"/>
      <c r="AW13" s="931"/>
    </row>
    <row r="14" spans="1:49" ht="15.75">
      <c r="A14" s="690"/>
      <c r="B14" s="202"/>
      <c r="C14" s="154" t="s">
        <v>1075</v>
      </c>
      <c r="D14" s="931"/>
      <c r="E14" s="153" t="s">
        <v>1076</v>
      </c>
      <c r="F14" s="152"/>
      <c r="G14" s="152"/>
      <c r="H14" s="152"/>
      <c r="I14" s="153" t="s">
        <v>85</v>
      </c>
      <c r="J14" s="153"/>
      <c r="K14" s="153" t="s">
        <v>85</v>
      </c>
      <c r="L14" s="201"/>
      <c r="M14" s="1203"/>
      <c r="N14" s="154" t="s">
        <v>1075</v>
      </c>
      <c r="O14" s="931"/>
      <c r="P14" s="153" t="s">
        <v>1076</v>
      </c>
      <c r="Q14" s="152"/>
      <c r="R14" s="152"/>
      <c r="S14" s="152"/>
      <c r="T14" s="153" t="s">
        <v>85</v>
      </c>
      <c r="U14" s="201"/>
      <c r="V14" s="153" t="s">
        <v>85</v>
      </c>
      <c r="W14" s="691"/>
      <c r="X14" s="201"/>
      <c r="Y14" s="151"/>
      <c r="Z14" s="151"/>
      <c r="AA14" s="151"/>
      <c r="AB14" s="201"/>
      <c r="AC14" s="151"/>
      <c r="AD14" s="200"/>
      <c r="AE14" s="201"/>
      <c r="AF14" s="151"/>
      <c r="AG14" s="151"/>
      <c r="AH14" s="151"/>
      <c r="AI14" s="200"/>
      <c r="AJ14" s="201"/>
      <c r="AK14" s="151"/>
      <c r="AL14" s="200"/>
      <c r="AM14" s="201"/>
      <c r="AN14" s="151"/>
      <c r="AO14" s="151"/>
      <c r="AP14" s="151"/>
      <c r="AQ14" s="200"/>
      <c r="AR14" s="931"/>
      <c r="AS14" s="931"/>
      <c r="AT14" s="931"/>
      <c r="AU14" s="931"/>
      <c r="AV14" s="931"/>
      <c r="AW14" s="931"/>
    </row>
    <row r="15" spans="1:49" ht="15.75">
      <c r="A15" s="690"/>
      <c r="B15" s="202"/>
      <c r="C15" s="153" t="s">
        <v>1112</v>
      </c>
      <c r="D15" s="152"/>
      <c r="E15" s="153" t="s">
        <v>1112</v>
      </c>
      <c r="F15" s="152"/>
      <c r="G15" s="152"/>
      <c r="H15" s="152"/>
      <c r="I15" s="153" t="s">
        <v>1075</v>
      </c>
      <c r="J15" s="153"/>
      <c r="K15" s="153" t="s">
        <v>1076</v>
      </c>
      <c r="L15" s="201"/>
      <c r="M15" s="1203"/>
      <c r="N15" s="153" t="s">
        <v>1112</v>
      </c>
      <c r="O15" s="152"/>
      <c r="P15" s="153" t="s">
        <v>1112</v>
      </c>
      <c r="Q15" s="152"/>
      <c r="R15" s="152"/>
      <c r="S15" s="152"/>
      <c r="T15" s="153" t="s">
        <v>1075</v>
      </c>
      <c r="U15" s="201"/>
      <c r="V15" s="153" t="s">
        <v>1076</v>
      </c>
      <c r="W15" s="151"/>
      <c r="X15" s="201"/>
      <c r="Y15" s="151"/>
      <c r="Z15" s="151"/>
      <c r="AA15" s="151"/>
      <c r="AB15" s="201"/>
      <c r="AC15" s="151"/>
      <c r="AD15" s="200"/>
      <c r="AE15" s="201"/>
      <c r="AF15" s="151"/>
      <c r="AG15" s="151"/>
      <c r="AH15" s="151"/>
      <c r="AI15" s="200"/>
      <c r="AJ15" s="201"/>
      <c r="AK15" s="151"/>
      <c r="AL15" s="200"/>
      <c r="AM15" s="201"/>
      <c r="AN15" s="151"/>
      <c r="AO15" s="151"/>
      <c r="AP15" s="151"/>
      <c r="AQ15" s="200"/>
      <c r="AR15" s="931"/>
      <c r="AS15" s="931"/>
      <c r="AT15" s="931"/>
      <c r="AU15" s="931"/>
      <c r="AV15" s="931"/>
      <c r="AW15" s="931"/>
    </row>
    <row r="16" spans="1:49" ht="15.75">
      <c r="A16" s="690"/>
      <c r="B16" s="201"/>
      <c r="C16" s="153" t="s">
        <v>1113</v>
      </c>
      <c r="D16" s="152"/>
      <c r="E16" s="153" t="s">
        <v>1504</v>
      </c>
      <c r="F16" s="152"/>
      <c r="G16" s="154" t="s">
        <v>84</v>
      </c>
      <c r="H16" s="152"/>
      <c r="I16" s="153" t="s">
        <v>86</v>
      </c>
      <c r="J16" s="201"/>
      <c r="K16" s="153" t="s">
        <v>86</v>
      </c>
      <c r="L16" s="201"/>
      <c r="M16" s="1210"/>
      <c r="N16" s="1211" t="s">
        <v>1113</v>
      </c>
      <c r="O16" s="152"/>
      <c r="P16" s="153" t="s">
        <v>1504</v>
      </c>
      <c r="Q16" s="152"/>
      <c r="R16" s="154" t="s">
        <v>84</v>
      </c>
      <c r="S16" s="152"/>
      <c r="T16" s="153" t="s">
        <v>86</v>
      </c>
      <c r="U16" s="201"/>
      <c r="V16" s="153" t="s">
        <v>86</v>
      </c>
      <c r="W16" s="151"/>
      <c r="X16" s="201"/>
      <c r="Y16" s="151"/>
      <c r="Z16" s="200"/>
      <c r="AA16" s="151"/>
      <c r="AB16" s="201"/>
      <c r="AC16" s="151"/>
      <c r="AD16" s="201"/>
      <c r="AE16" s="201"/>
      <c r="AF16" s="151"/>
      <c r="AG16" s="200"/>
      <c r="AH16" s="151"/>
      <c r="AI16" s="200"/>
      <c r="AJ16" s="201"/>
      <c r="AK16" s="151"/>
      <c r="AL16" s="201"/>
      <c r="AM16" s="201"/>
      <c r="AN16" s="151"/>
      <c r="AO16" s="200"/>
      <c r="AP16" s="151"/>
      <c r="AQ16" s="200"/>
      <c r="AR16" s="931"/>
      <c r="AS16" s="931"/>
      <c r="AT16" s="931"/>
      <c r="AU16" s="931"/>
      <c r="AV16" s="931"/>
      <c r="AW16" s="931"/>
    </row>
    <row r="17" spans="1:49">
      <c r="A17" s="155"/>
      <c r="B17" s="156"/>
      <c r="C17" s="157"/>
      <c r="D17" s="143"/>
      <c r="E17" s="157"/>
      <c r="F17" s="143"/>
      <c r="G17" s="157"/>
      <c r="H17" s="143"/>
      <c r="I17" s="157"/>
      <c r="J17" s="156"/>
      <c r="K17" s="157"/>
      <c r="L17" s="156"/>
      <c r="M17" s="1204"/>
      <c r="N17" s="156"/>
      <c r="O17" s="143"/>
      <c r="P17" s="157"/>
      <c r="Q17" s="143"/>
      <c r="R17" s="157"/>
      <c r="S17" s="143"/>
      <c r="T17" s="157"/>
      <c r="U17" s="156"/>
      <c r="V17" s="157"/>
      <c r="W17" s="156"/>
      <c r="X17" s="156"/>
      <c r="Y17" s="156"/>
      <c r="Z17" s="156"/>
      <c r="AA17" s="156"/>
      <c r="AB17" s="156"/>
      <c r="AC17" s="156"/>
      <c r="AD17" s="156"/>
      <c r="AE17" s="156"/>
      <c r="AF17" s="156"/>
      <c r="AG17" s="156"/>
      <c r="AH17" s="156"/>
      <c r="AI17" s="156"/>
      <c r="AJ17" s="156"/>
      <c r="AK17" s="156"/>
      <c r="AL17" s="156"/>
      <c r="AM17" s="156"/>
      <c r="AN17" s="156"/>
      <c r="AO17" s="156"/>
      <c r="AP17" s="156"/>
      <c r="AQ17" s="156"/>
      <c r="AR17" s="931"/>
      <c r="AS17" s="931"/>
      <c r="AT17" s="931"/>
      <c r="AU17" s="931"/>
      <c r="AV17" s="931"/>
      <c r="AW17" s="931"/>
    </row>
    <row r="18" spans="1:49" ht="15.75">
      <c r="A18" s="29" t="s">
        <v>14</v>
      </c>
      <c r="B18" s="924"/>
      <c r="C18" s="657"/>
      <c r="D18" s="657"/>
      <c r="E18" s="657"/>
      <c r="F18" s="657"/>
      <c r="G18" s="657"/>
      <c r="H18" s="657"/>
      <c r="I18" s="924"/>
      <c r="J18" s="657"/>
      <c r="K18" s="924"/>
      <c r="L18" s="924"/>
      <c r="M18" s="1205"/>
      <c r="N18" s="657"/>
      <c r="O18" s="657"/>
      <c r="P18" s="657"/>
      <c r="Q18" s="657"/>
      <c r="R18" s="657"/>
      <c r="S18" s="657"/>
      <c r="T18" s="657"/>
      <c r="U18" s="924"/>
      <c r="V18" s="924"/>
      <c r="W18" s="924"/>
      <c r="X18" s="924"/>
      <c r="Y18" s="924"/>
      <c r="Z18" s="924"/>
      <c r="AA18" s="924"/>
      <c r="AB18" s="924"/>
      <c r="AC18" s="924"/>
      <c r="AD18" s="924"/>
      <c r="AE18" s="924"/>
      <c r="AF18" s="924"/>
      <c r="AG18" s="924"/>
      <c r="AH18" s="924"/>
      <c r="AI18" s="924"/>
      <c r="AJ18" s="924"/>
      <c r="AK18" s="924"/>
      <c r="AL18" s="924"/>
      <c r="AM18" s="924"/>
      <c r="AN18" s="924"/>
      <c r="AO18" s="924"/>
      <c r="AP18" s="924"/>
      <c r="AQ18" s="924"/>
      <c r="AR18" s="931"/>
      <c r="AS18" s="931"/>
      <c r="AT18" s="931"/>
      <c r="AU18" s="931"/>
      <c r="AV18" s="931"/>
      <c r="AW18" s="931"/>
    </row>
    <row r="19" spans="1:49">
      <c r="A19" s="820" t="s">
        <v>87</v>
      </c>
      <c r="B19" s="925"/>
      <c r="C19" s="657"/>
      <c r="D19" s="925"/>
      <c r="E19" s="657"/>
      <c r="F19" s="925"/>
      <c r="G19" s="657"/>
      <c r="H19" s="925"/>
      <c r="I19" s="924"/>
      <c r="J19" s="657"/>
      <c r="K19" s="924"/>
      <c r="L19" s="924"/>
      <c r="M19" s="1205"/>
      <c r="N19" s="657"/>
      <c r="O19" s="925"/>
      <c r="P19" s="657"/>
      <c r="Q19" s="925"/>
      <c r="R19" s="657"/>
      <c r="S19" s="925"/>
      <c r="T19" s="657"/>
      <c r="U19" s="924"/>
      <c r="V19" s="924"/>
      <c r="W19" s="924"/>
      <c r="X19" s="924"/>
      <c r="Y19" s="924"/>
      <c r="Z19" s="924"/>
      <c r="AA19" s="945"/>
      <c r="AB19" s="924"/>
      <c r="AC19" s="924"/>
      <c r="AD19" s="924"/>
      <c r="AE19" s="924"/>
      <c r="AF19" s="924"/>
      <c r="AG19" s="924"/>
      <c r="AH19" s="924"/>
      <c r="AI19" s="924"/>
      <c r="AJ19" s="924"/>
      <c r="AK19" s="924"/>
      <c r="AL19" s="924"/>
      <c r="AM19" s="924"/>
      <c r="AN19" s="924"/>
      <c r="AO19" s="924"/>
      <c r="AP19" s="924"/>
      <c r="AQ19" s="924"/>
      <c r="AR19" s="931"/>
      <c r="AS19" s="931"/>
      <c r="AT19" s="931"/>
      <c r="AU19" s="931"/>
      <c r="AV19" s="931"/>
      <c r="AW19" s="931"/>
    </row>
    <row r="20" spans="1:49">
      <c r="A20" s="820" t="s">
        <v>88</v>
      </c>
      <c r="B20" s="925" t="s">
        <v>15</v>
      </c>
      <c r="C20" s="2055">
        <v>2064</v>
      </c>
      <c r="D20" s="660"/>
      <c r="E20" s="2055">
        <v>2009</v>
      </c>
      <c r="F20" s="660"/>
      <c r="G20" s="658">
        <f>'Exhibit G State'!AD17</f>
        <v>2008.6</v>
      </c>
      <c r="H20" s="660"/>
      <c r="I20" s="971">
        <f>ROUND(SUM(G20)-SUM(C20),1)</f>
        <v>-55.4</v>
      </c>
      <c r="J20" s="658"/>
      <c r="K20" s="971">
        <f>G20-E20</f>
        <v>-0.40000000000009095</v>
      </c>
      <c r="L20" s="971"/>
      <c r="M20" s="1205"/>
      <c r="N20" s="2055">
        <v>0</v>
      </c>
      <c r="O20" s="893"/>
      <c r="P20" s="2055">
        <v>0</v>
      </c>
      <c r="Q20" s="660"/>
      <c r="R20" s="658">
        <v>0</v>
      </c>
      <c r="S20" s="660"/>
      <c r="T20" s="971">
        <f>ROUND(SUM(R20)-SUM(N20),1)</f>
        <v>0</v>
      </c>
      <c r="U20" s="924"/>
      <c r="V20" s="971">
        <f>R20-P20</f>
        <v>0</v>
      </c>
      <c r="W20" s="969"/>
      <c r="X20" s="972"/>
      <c r="Y20" s="969"/>
      <c r="Z20" s="970"/>
      <c r="AA20" s="969"/>
      <c r="AB20" s="971"/>
      <c r="AC20" s="924"/>
      <c r="AD20" s="924"/>
      <c r="AE20" s="924"/>
      <c r="AF20" s="924"/>
      <c r="AG20" s="924"/>
      <c r="AH20" s="924"/>
      <c r="AI20" s="924"/>
      <c r="AJ20" s="924"/>
      <c r="AK20" s="924"/>
      <c r="AL20" s="924"/>
      <c r="AM20" s="924"/>
      <c r="AN20" s="924"/>
      <c r="AO20" s="924"/>
      <c r="AP20" s="924"/>
      <c r="AQ20" s="924"/>
      <c r="AR20" s="931"/>
      <c r="AS20" s="931"/>
      <c r="AT20" s="931"/>
      <c r="AU20" s="931"/>
      <c r="AV20" s="931"/>
      <c r="AW20" s="931"/>
    </row>
    <row r="21" spans="1:49">
      <c r="A21" s="820" t="s">
        <v>89</v>
      </c>
      <c r="B21" s="924" t="s">
        <v>15</v>
      </c>
      <c r="C21" s="1122">
        <v>1459</v>
      </c>
      <c r="D21" s="1531"/>
      <c r="E21" s="1122">
        <v>1482</v>
      </c>
      <c r="F21" s="643"/>
      <c r="G21" s="643">
        <f>'Exhibit G State'!AD28</f>
        <v>1489</v>
      </c>
      <c r="H21" s="643"/>
      <c r="I21" s="1531">
        <f t="shared" ref="I21:I25" si="0">ROUND(SUM(G21)-SUM(C21),1)</f>
        <v>30</v>
      </c>
      <c r="J21" s="643"/>
      <c r="K21" s="943">
        <f>G21-E21</f>
        <v>7</v>
      </c>
      <c r="L21" s="943"/>
      <c r="M21" s="1205"/>
      <c r="N21" s="1122">
        <v>0</v>
      </c>
      <c r="O21" s="895"/>
      <c r="P21" s="1122">
        <v>0</v>
      </c>
      <c r="Q21" s="643"/>
      <c r="R21" s="643">
        <v>0</v>
      </c>
      <c r="S21" s="643"/>
      <c r="T21" s="1531">
        <f t="shared" ref="T21:T25" si="1">ROUND(SUM(R21)-SUM(N21),1)</f>
        <v>0</v>
      </c>
      <c r="U21" s="924"/>
      <c r="V21" s="943">
        <f t="shared" ref="V21:V25" si="2">R21-P21</f>
        <v>0</v>
      </c>
      <c r="W21" s="943"/>
      <c r="X21" s="972"/>
      <c r="Y21" s="943"/>
      <c r="Z21" s="943"/>
      <c r="AA21" s="943"/>
      <c r="AB21" s="943"/>
      <c r="AC21" s="943"/>
      <c r="AD21" s="943"/>
      <c r="AE21" s="924"/>
      <c r="AF21" s="924"/>
      <c r="AG21" s="924"/>
      <c r="AH21" s="924"/>
      <c r="AI21" s="924"/>
      <c r="AJ21" s="924"/>
      <c r="AK21" s="924"/>
      <c r="AL21" s="924"/>
      <c r="AM21" s="924"/>
      <c r="AN21" s="924"/>
      <c r="AO21" s="924"/>
      <c r="AP21" s="924"/>
      <c r="AQ21" s="924"/>
      <c r="AR21" s="931"/>
      <c r="AS21" s="931"/>
      <c r="AT21" s="931"/>
      <c r="AU21" s="931"/>
      <c r="AV21" s="931"/>
      <c r="AW21" s="931"/>
    </row>
    <row r="22" spans="1:49">
      <c r="A22" s="820" t="s">
        <v>90</v>
      </c>
      <c r="B22" s="925" t="s">
        <v>15</v>
      </c>
      <c r="C22" s="1122">
        <v>1392</v>
      </c>
      <c r="D22" s="681"/>
      <c r="E22" s="1122">
        <v>1298</v>
      </c>
      <c r="F22" s="681"/>
      <c r="G22" s="643">
        <f>'Exhibit G State'!AD35</f>
        <v>1355.1</v>
      </c>
      <c r="H22" s="681"/>
      <c r="I22" s="1531">
        <f t="shared" si="0"/>
        <v>-36.9</v>
      </c>
      <c r="J22" s="643"/>
      <c r="K22" s="943">
        <f t="shared" ref="K22:K25" si="3">G22-E22</f>
        <v>57.099999999999909</v>
      </c>
      <c r="L22" s="943"/>
      <c r="M22" s="1205"/>
      <c r="N22" s="1122">
        <v>0</v>
      </c>
      <c r="O22" s="684"/>
      <c r="P22" s="1122">
        <v>0</v>
      </c>
      <c r="Q22" s="681"/>
      <c r="R22" s="932">
        <v>0</v>
      </c>
      <c r="S22" s="681"/>
      <c r="T22" s="1531">
        <f t="shared" si="1"/>
        <v>0</v>
      </c>
      <c r="U22" s="924"/>
      <c r="V22" s="943">
        <f t="shared" si="2"/>
        <v>0</v>
      </c>
      <c r="W22" s="944"/>
      <c r="X22" s="972"/>
      <c r="Y22" s="944"/>
      <c r="Z22" s="943"/>
      <c r="AA22" s="944"/>
      <c r="AB22" s="943"/>
      <c r="AC22" s="944"/>
      <c r="AD22" s="943"/>
      <c r="AE22" s="924"/>
      <c r="AF22" s="945"/>
      <c r="AG22" s="924"/>
      <c r="AH22" s="945"/>
      <c r="AI22" s="924"/>
      <c r="AJ22" s="924"/>
      <c r="AK22" s="945"/>
      <c r="AL22" s="924"/>
      <c r="AM22" s="924"/>
      <c r="AN22" s="945"/>
      <c r="AO22" s="203"/>
      <c r="AP22" s="945"/>
      <c r="AQ22" s="924"/>
      <c r="AR22" s="931"/>
      <c r="AS22" s="931"/>
      <c r="AT22" s="931"/>
      <c r="AU22" s="931"/>
      <c r="AV22" s="931"/>
      <c r="AW22" s="931"/>
    </row>
    <row r="23" spans="1:49" ht="15" customHeight="1">
      <c r="A23" s="820" t="s">
        <v>20</v>
      </c>
      <c r="B23" s="924" t="s">
        <v>15</v>
      </c>
      <c r="C23" s="1122">
        <v>13332</v>
      </c>
      <c r="D23" s="942"/>
      <c r="E23" s="1122">
        <v>13757</v>
      </c>
      <c r="F23" s="942"/>
      <c r="G23" s="643">
        <f>'Exhibit G State'!AD80</f>
        <v>13684.3</v>
      </c>
      <c r="H23" s="643"/>
      <c r="I23" s="1531">
        <f t="shared" si="0"/>
        <v>352.3</v>
      </c>
      <c r="J23" s="643"/>
      <c r="K23" s="943">
        <f t="shared" si="3"/>
        <v>-72.700000000000728</v>
      </c>
      <c r="L23" s="943"/>
      <c r="M23" s="1205"/>
      <c r="N23" s="1122">
        <v>138</v>
      </c>
      <c r="O23" s="1974"/>
      <c r="P23" s="1122">
        <v>155</v>
      </c>
      <c r="Q23" s="942"/>
      <c r="R23" s="686">
        <f>'Exhibit G Federal'!AD52</f>
        <v>158.6</v>
      </c>
      <c r="S23" s="643"/>
      <c r="T23" s="1531">
        <f t="shared" si="1"/>
        <v>20.6</v>
      </c>
      <c r="U23" s="924"/>
      <c r="V23" s="943">
        <f t="shared" si="2"/>
        <v>3.5999999999999943</v>
      </c>
      <c r="W23" s="943"/>
      <c r="X23" s="972"/>
      <c r="Y23" s="943"/>
      <c r="Z23" s="943"/>
      <c r="AA23" s="943"/>
      <c r="AB23" s="943"/>
      <c r="AC23" s="943"/>
      <c r="AD23" s="943"/>
      <c r="AE23" s="924"/>
      <c r="AF23" s="924"/>
      <c r="AG23" s="924"/>
      <c r="AH23" s="924"/>
      <c r="AI23" s="924"/>
      <c r="AJ23" s="924"/>
      <c r="AK23" s="924"/>
      <c r="AL23" s="924"/>
      <c r="AM23" s="924"/>
      <c r="AN23" s="924"/>
      <c r="AO23" s="924"/>
      <c r="AP23" s="924"/>
      <c r="AQ23" s="924"/>
      <c r="AR23" s="931"/>
      <c r="AS23" s="931"/>
      <c r="AT23" s="931"/>
      <c r="AU23" s="931"/>
      <c r="AV23" s="931"/>
      <c r="AW23" s="931"/>
    </row>
    <row r="24" spans="1:49" ht="15" customHeight="1">
      <c r="A24" s="820" t="s">
        <v>21</v>
      </c>
      <c r="B24" s="924" t="s">
        <v>15</v>
      </c>
      <c r="C24" s="1122">
        <v>-24</v>
      </c>
      <c r="D24" s="1531"/>
      <c r="E24" s="1122">
        <v>-17</v>
      </c>
      <c r="F24" s="643"/>
      <c r="G24" s="686">
        <f>'Exhibit G State'!AD82</f>
        <v>7.2</v>
      </c>
      <c r="H24" s="643"/>
      <c r="I24" s="1531">
        <f t="shared" si="0"/>
        <v>31.2</v>
      </c>
      <c r="J24" s="643"/>
      <c r="K24" s="943">
        <f t="shared" si="3"/>
        <v>24.2</v>
      </c>
      <c r="L24" s="943"/>
      <c r="M24" s="1205"/>
      <c r="N24" s="1122">
        <v>55462</v>
      </c>
      <c r="O24" s="895"/>
      <c r="P24" s="1122">
        <v>66555</v>
      </c>
      <c r="Q24" s="643"/>
      <c r="R24" s="686">
        <f>'Exhibit G Federal'!AD54</f>
        <v>66357.399999999994</v>
      </c>
      <c r="S24" s="643"/>
      <c r="T24" s="1531">
        <f t="shared" si="1"/>
        <v>10895.4</v>
      </c>
      <c r="U24" s="924"/>
      <c r="V24" s="943">
        <f t="shared" si="2"/>
        <v>-197.60000000000582</v>
      </c>
      <c r="W24" s="943"/>
      <c r="X24" s="972"/>
      <c r="Y24" s="943"/>
      <c r="Z24" s="943"/>
      <c r="AA24" s="943"/>
      <c r="AB24" s="943"/>
      <c r="AC24" s="943"/>
      <c r="AD24" s="946"/>
      <c r="AE24" s="947"/>
      <c r="AF24" s="924"/>
      <c r="AG24" s="947"/>
      <c r="AH24" s="924"/>
      <c r="AI24" s="947"/>
      <c r="AJ24" s="948"/>
      <c r="AK24" s="924"/>
      <c r="AL24" s="924"/>
      <c r="AM24" s="924"/>
      <c r="AN24" s="924"/>
      <c r="AO24" s="924"/>
      <c r="AP24" s="924"/>
      <c r="AQ24" s="924"/>
      <c r="AR24" s="931"/>
      <c r="AS24" s="931"/>
      <c r="AT24" s="931"/>
      <c r="AU24" s="931"/>
      <c r="AV24" s="931"/>
      <c r="AW24" s="931"/>
    </row>
    <row r="25" spans="1:49">
      <c r="A25" s="820" t="s">
        <v>47</v>
      </c>
      <c r="B25" s="948" t="s">
        <v>15</v>
      </c>
      <c r="C25" s="1122">
        <v>2514</v>
      </c>
      <c r="D25" s="943"/>
      <c r="E25" s="1122">
        <v>2463</v>
      </c>
      <c r="F25" s="943"/>
      <c r="G25" s="1032">
        <f>'Exhibit G State'!AD111</f>
        <v>2458.6999999999998</v>
      </c>
      <c r="H25" s="643"/>
      <c r="I25" s="1531">
        <f t="shared" si="0"/>
        <v>-55.3</v>
      </c>
      <c r="J25" s="943"/>
      <c r="K25" s="943">
        <f t="shared" si="3"/>
        <v>-4.3000000000001819</v>
      </c>
      <c r="L25" s="943"/>
      <c r="M25" s="1206"/>
      <c r="N25" s="1122">
        <v>0</v>
      </c>
      <c r="O25" s="895"/>
      <c r="P25" s="1122">
        <v>0</v>
      </c>
      <c r="Q25" s="943"/>
      <c r="R25" s="1032">
        <f>+'Exhibit G Federal'!AD85</f>
        <v>0</v>
      </c>
      <c r="S25" s="643"/>
      <c r="T25" s="1531">
        <f t="shared" si="1"/>
        <v>0</v>
      </c>
      <c r="U25" s="948"/>
      <c r="V25" s="943">
        <f t="shared" si="2"/>
        <v>0</v>
      </c>
      <c r="W25" s="943"/>
      <c r="X25" s="972"/>
      <c r="Y25" s="943"/>
      <c r="Z25" s="944"/>
      <c r="AA25" s="943"/>
      <c r="AB25" s="943"/>
      <c r="AC25" s="943"/>
      <c r="AD25" s="946"/>
      <c r="AE25" s="947"/>
      <c r="AF25" s="924"/>
      <c r="AG25" s="947"/>
      <c r="AH25" s="924"/>
      <c r="AI25" s="947"/>
      <c r="AJ25" s="948"/>
      <c r="AK25" s="924"/>
      <c r="AL25" s="924"/>
      <c r="AM25" s="924"/>
      <c r="AN25" s="924"/>
      <c r="AO25" s="924"/>
      <c r="AP25" s="924"/>
      <c r="AQ25" s="924"/>
      <c r="AR25" s="931"/>
      <c r="AS25" s="931"/>
      <c r="AT25" s="931"/>
      <c r="AU25" s="931"/>
      <c r="AV25" s="931"/>
      <c r="AW25" s="931"/>
    </row>
    <row r="26" spans="1:49" ht="18" customHeight="1">
      <c r="A26" s="173" t="s">
        <v>108</v>
      </c>
      <c r="B26" s="151" t="s">
        <v>15</v>
      </c>
      <c r="C26" s="215">
        <f>ROUND(SUM(C20:C25),1)</f>
        <v>20737</v>
      </c>
      <c r="D26" s="922"/>
      <c r="E26" s="215">
        <f>ROUND(SUM(E20:E25),1)</f>
        <v>20992</v>
      </c>
      <c r="F26" s="922"/>
      <c r="G26" s="215">
        <f>ROUND(SUM(G20:G25),1)</f>
        <v>21002.9</v>
      </c>
      <c r="H26" s="922"/>
      <c r="I26" s="1541">
        <f>ROUND(SUM(I20:I25),1)</f>
        <v>265.89999999999998</v>
      </c>
      <c r="J26" s="76"/>
      <c r="K26" s="1541">
        <f>ROUND(SUM(K20:K25),1)</f>
        <v>10.9</v>
      </c>
      <c r="L26" s="76"/>
      <c r="M26" s="1205"/>
      <c r="N26" s="215">
        <f>ROUND(SUM(N20:N25),1)</f>
        <v>55600</v>
      </c>
      <c r="O26" s="922"/>
      <c r="P26" s="215">
        <f>ROUND(SUM(P20:P25),1)</f>
        <v>66710</v>
      </c>
      <c r="Q26" s="922"/>
      <c r="R26" s="294">
        <f>ROUND(SUM(R20:R25),1)</f>
        <v>66516</v>
      </c>
      <c r="S26" s="922"/>
      <c r="T26" s="294">
        <f>ROUND(SUM(T20:T25),1)</f>
        <v>10916</v>
      </c>
      <c r="U26" s="151"/>
      <c r="V26" s="1541">
        <f>ROUND(SUM(V20:V25),1)</f>
        <v>-194</v>
      </c>
      <c r="W26" s="76"/>
      <c r="X26" s="76"/>
      <c r="Y26" s="76"/>
      <c r="Z26" s="76"/>
      <c r="AA26" s="76"/>
      <c r="AB26" s="76"/>
      <c r="AC26" s="76"/>
      <c r="AD26" s="76"/>
      <c r="AE26" s="151"/>
      <c r="AF26" s="151"/>
      <c r="AG26" s="151"/>
      <c r="AH26" s="151"/>
      <c r="AI26" s="151"/>
      <c r="AJ26" s="151"/>
      <c r="AK26" s="151"/>
      <c r="AL26" s="151"/>
      <c r="AM26" s="151"/>
      <c r="AN26" s="151"/>
      <c r="AO26" s="151"/>
      <c r="AP26" s="151"/>
      <c r="AQ26" s="151"/>
      <c r="AR26" s="931"/>
      <c r="AS26" s="931"/>
      <c r="AT26" s="931"/>
      <c r="AU26" s="931"/>
      <c r="AV26" s="931"/>
      <c r="AW26" s="931"/>
    </row>
    <row r="27" spans="1:49">
      <c r="A27" s="690"/>
      <c r="B27" s="924"/>
      <c r="C27" s="688"/>
      <c r="D27" s="643"/>
      <c r="E27" s="688"/>
      <c r="F27" s="643"/>
      <c r="G27" s="688"/>
      <c r="H27" s="643"/>
      <c r="I27" s="943"/>
      <c r="J27" s="943"/>
      <c r="K27" s="943"/>
      <c r="L27" s="943"/>
      <c r="M27" s="1205"/>
      <c r="N27" s="688"/>
      <c r="O27" s="1531"/>
      <c r="P27" s="688"/>
      <c r="Q27" s="643"/>
      <c r="R27" s="688"/>
      <c r="S27" s="643"/>
      <c r="T27" s="943"/>
      <c r="U27" s="924"/>
      <c r="V27" s="943"/>
      <c r="W27" s="943"/>
      <c r="X27" s="943"/>
      <c r="Y27" s="943"/>
      <c r="Z27" s="943"/>
      <c r="AA27" s="943"/>
      <c r="AB27" s="943"/>
      <c r="AC27" s="943"/>
      <c r="AD27" s="943"/>
      <c r="AE27" s="924"/>
      <c r="AF27" s="924"/>
      <c r="AG27" s="924"/>
      <c r="AH27" s="924"/>
      <c r="AI27" s="924"/>
      <c r="AJ27" s="924"/>
      <c r="AK27" s="924"/>
      <c r="AL27" s="924"/>
      <c r="AM27" s="924"/>
      <c r="AN27" s="924"/>
      <c r="AO27" s="924"/>
      <c r="AP27" s="924"/>
      <c r="AQ27" s="924"/>
      <c r="AR27" s="931"/>
      <c r="AS27" s="931"/>
      <c r="AT27" s="931"/>
      <c r="AU27" s="931"/>
      <c r="AV27" s="931"/>
      <c r="AW27" s="931"/>
    </row>
    <row r="28" spans="1:49" ht="15.75">
      <c r="A28" s="29" t="s">
        <v>23</v>
      </c>
      <c r="B28" s="924"/>
      <c r="C28" s="643"/>
      <c r="D28" s="643"/>
      <c r="E28" s="1531"/>
      <c r="F28" s="643"/>
      <c r="G28" s="643"/>
      <c r="H28" s="643"/>
      <c r="I28" s="943"/>
      <c r="J28" s="943"/>
      <c r="K28" s="943"/>
      <c r="L28" s="943"/>
      <c r="M28" s="1205"/>
      <c r="N28" s="1531"/>
      <c r="O28" s="1531"/>
      <c r="P28" s="1531"/>
      <c r="Q28" s="643"/>
      <c r="R28" s="643"/>
      <c r="S28" s="643"/>
      <c r="T28" s="643"/>
      <c r="U28" s="924"/>
      <c r="V28" s="943"/>
      <c r="W28" s="943"/>
      <c r="X28" s="943"/>
      <c r="Y28" s="943"/>
      <c r="Z28" s="943"/>
      <c r="AA28" s="943"/>
      <c r="AB28" s="943"/>
      <c r="AC28" s="943"/>
      <c r="AD28" s="943"/>
      <c r="AE28" s="924"/>
      <c r="AF28" s="924"/>
      <c r="AG28" s="924"/>
      <c r="AH28" s="924"/>
      <c r="AI28" s="924"/>
      <c r="AJ28" s="924"/>
      <c r="AK28" s="924"/>
      <c r="AL28" s="924"/>
      <c r="AM28" s="924"/>
      <c r="AN28" s="924"/>
      <c r="AO28" s="924"/>
      <c r="AP28" s="924"/>
      <c r="AQ28" s="924"/>
      <c r="AR28" s="931"/>
      <c r="AS28" s="931"/>
      <c r="AT28" s="931"/>
      <c r="AU28" s="931"/>
      <c r="AV28" s="931"/>
      <c r="AW28" s="931"/>
    </row>
    <row r="29" spans="1:49">
      <c r="A29" s="820" t="s">
        <v>93</v>
      </c>
      <c r="B29" s="945" t="s">
        <v>15</v>
      </c>
      <c r="C29" s="1122">
        <v>13836</v>
      </c>
      <c r="D29" s="1531"/>
      <c r="E29" s="1122">
        <v>13778</v>
      </c>
      <c r="F29" s="643"/>
      <c r="G29" s="681">
        <f>'Exhibit G State'!AD98</f>
        <v>13799.1</v>
      </c>
      <c r="H29" s="643"/>
      <c r="I29" s="1531">
        <f t="shared" ref="I29:I34" si="4">ROUND(SUM(G29)-SUM(C29),1)</f>
        <v>-36.9</v>
      </c>
      <c r="J29" s="943"/>
      <c r="K29" s="943">
        <f t="shared" ref="K29:K34" si="5">G29-E29</f>
        <v>21.100000000000364</v>
      </c>
      <c r="L29" s="943"/>
      <c r="M29" s="1205"/>
      <c r="N29" s="1122">
        <v>49664</v>
      </c>
      <c r="O29" s="1531"/>
      <c r="P29" s="1122">
        <v>54384</v>
      </c>
      <c r="Q29" s="643"/>
      <c r="R29" s="681">
        <f>'Exhibit G Federal'!AD70</f>
        <v>54494</v>
      </c>
      <c r="S29" s="643"/>
      <c r="T29" s="1531">
        <f t="shared" ref="T29:T34" si="6">ROUND(SUM(R29)-SUM(N29),1)</f>
        <v>4830</v>
      </c>
      <c r="U29" s="924"/>
      <c r="V29" s="943">
        <f t="shared" ref="V29:V34" si="7">R29-P29</f>
        <v>110</v>
      </c>
      <c r="W29" s="943"/>
      <c r="X29" s="972"/>
      <c r="Y29" s="943"/>
      <c r="Z29" s="943"/>
      <c r="AA29" s="943"/>
      <c r="AB29" s="943"/>
      <c r="AC29" s="943"/>
      <c r="AD29" s="946"/>
      <c r="AE29" s="947"/>
      <c r="AF29" s="924"/>
      <c r="AG29" s="947"/>
      <c r="AH29" s="924"/>
      <c r="AI29" s="947"/>
      <c r="AJ29" s="948"/>
      <c r="AK29" s="924"/>
      <c r="AL29" s="924"/>
      <c r="AM29" s="924"/>
      <c r="AN29" s="924"/>
      <c r="AO29" s="924"/>
      <c r="AP29" s="924"/>
      <c r="AQ29" s="924"/>
      <c r="AR29" s="931"/>
      <c r="AS29" s="931"/>
      <c r="AT29" s="931"/>
      <c r="AU29" s="931"/>
      <c r="AV29" s="931"/>
      <c r="AW29" s="931"/>
    </row>
    <row r="30" spans="1:49">
      <c r="A30" s="820" t="s">
        <v>94</v>
      </c>
      <c r="B30" s="945" t="s">
        <v>15</v>
      </c>
      <c r="C30" s="1122">
        <v>6269</v>
      </c>
      <c r="D30" s="1531"/>
      <c r="E30" s="1122">
        <v>6345</v>
      </c>
      <c r="F30" s="643"/>
      <c r="G30" s="681">
        <f>'Exhibit G State'!AD100+'Exhibit G State'!AD101</f>
        <v>6289.9</v>
      </c>
      <c r="H30" s="643"/>
      <c r="I30" s="1531">
        <f t="shared" si="4"/>
        <v>20.9</v>
      </c>
      <c r="J30" s="943"/>
      <c r="K30" s="943">
        <f t="shared" si="5"/>
        <v>-55.100000000000364</v>
      </c>
      <c r="L30" s="943"/>
      <c r="M30" s="1205"/>
      <c r="N30" s="1122">
        <v>1746</v>
      </c>
      <c r="O30" s="1531"/>
      <c r="P30" s="1122">
        <v>4472</v>
      </c>
      <c r="Q30" s="643"/>
      <c r="R30" s="681">
        <f>'Exhibit G Federal'!AD72+'Exhibit G Federal'!AD73</f>
        <v>4595.6000000000004</v>
      </c>
      <c r="S30" s="643"/>
      <c r="T30" s="1531">
        <f t="shared" si="6"/>
        <v>2849.6</v>
      </c>
      <c r="U30" s="924"/>
      <c r="V30" s="943">
        <f t="shared" si="7"/>
        <v>123.60000000000036</v>
      </c>
      <c r="W30" s="943"/>
      <c r="X30" s="972"/>
      <c r="Y30" s="943"/>
      <c r="Z30" s="943"/>
      <c r="AA30" s="943"/>
      <c r="AB30" s="943"/>
      <c r="AC30" s="943"/>
      <c r="AD30" s="944"/>
      <c r="AE30" s="945"/>
      <c r="AF30" s="924"/>
      <c r="AG30" s="945"/>
      <c r="AH30" s="924"/>
      <c r="AI30" s="947"/>
      <c r="AJ30" s="924"/>
      <c r="AK30" s="924"/>
      <c r="AL30" s="947"/>
      <c r="AM30" s="947"/>
      <c r="AN30" s="924"/>
      <c r="AO30" s="947"/>
      <c r="AP30" s="924"/>
      <c r="AQ30" s="947"/>
      <c r="AR30" s="931"/>
      <c r="AS30" s="931"/>
      <c r="AT30" s="931"/>
      <c r="AU30" s="931"/>
      <c r="AV30" s="931"/>
      <c r="AW30" s="931"/>
    </row>
    <row r="31" spans="1:49">
      <c r="A31" s="820" t="s">
        <v>69</v>
      </c>
      <c r="B31" s="945" t="s">
        <v>15</v>
      </c>
      <c r="C31" s="1122">
        <v>888</v>
      </c>
      <c r="D31" s="1531"/>
      <c r="E31" s="1122">
        <v>768</v>
      </c>
      <c r="F31" s="643"/>
      <c r="G31" s="681">
        <f>'Exhibit G State'!AD102</f>
        <v>738.4</v>
      </c>
      <c r="H31" s="643"/>
      <c r="I31" s="1531">
        <f t="shared" si="4"/>
        <v>-149.6</v>
      </c>
      <c r="J31" s="943"/>
      <c r="K31" s="943">
        <f t="shared" si="5"/>
        <v>-29.600000000000023</v>
      </c>
      <c r="L31" s="943"/>
      <c r="M31" s="1205"/>
      <c r="N31" s="1122">
        <v>286</v>
      </c>
      <c r="O31" s="1531"/>
      <c r="P31" s="1122">
        <v>1243</v>
      </c>
      <c r="Q31" s="643"/>
      <c r="R31" s="681">
        <f>'Exhibit G Federal'!AD74</f>
        <v>1268.8999999999999</v>
      </c>
      <c r="S31" s="643"/>
      <c r="T31" s="1531">
        <f t="shared" si="6"/>
        <v>982.9</v>
      </c>
      <c r="U31" s="924"/>
      <c r="V31" s="943">
        <f t="shared" si="7"/>
        <v>25.899999999999864</v>
      </c>
      <c r="W31" s="943"/>
      <c r="X31" s="972"/>
      <c r="Y31" s="943"/>
      <c r="Z31" s="943"/>
      <c r="AA31" s="943"/>
      <c r="AB31" s="943"/>
      <c r="AC31" s="943"/>
      <c r="AD31" s="946"/>
      <c r="AE31" s="947"/>
      <c r="AF31" s="924"/>
      <c r="AG31" s="947"/>
      <c r="AH31" s="924"/>
      <c r="AI31" s="947"/>
      <c r="AJ31" s="948"/>
      <c r="AK31" s="924"/>
      <c r="AL31" s="947"/>
      <c r="AM31" s="947"/>
      <c r="AN31" s="924"/>
      <c r="AO31" s="947"/>
      <c r="AP31" s="924"/>
      <c r="AQ31" s="947"/>
      <c r="AR31" s="931"/>
      <c r="AS31" s="931"/>
      <c r="AT31" s="931"/>
      <c r="AU31" s="931"/>
      <c r="AV31" s="931"/>
      <c r="AW31" s="931"/>
    </row>
    <row r="32" spans="1:49">
      <c r="A32" s="820" t="s">
        <v>95</v>
      </c>
      <c r="B32" s="945"/>
      <c r="C32" s="1122">
        <v>0</v>
      </c>
      <c r="D32" s="1531"/>
      <c r="E32" s="1122">
        <v>0</v>
      </c>
      <c r="F32" s="1531"/>
      <c r="G32" s="681">
        <v>0</v>
      </c>
      <c r="H32" s="1531"/>
      <c r="I32" s="1531">
        <f>ROUND(SUM(G32)-SUM(C32),1)</f>
        <v>0</v>
      </c>
      <c r="J32" s="943"/>
      <c r="K32" s="943">
        <f>G32-E32</f>
        <v>0</v>
      </c>
      <c r="L32" s="943"/>
      <c r="M32" s="1205"/>
      <c r="N32" s="1122">
        <v>133</v>
      </c>
      <c r="O32" s="1531"/>
      <c r="P32" s="1122">
        <v>102</v>
      </c>
      <c r="Q32" s="1531"/>
      <c r="R32" s="681">
        <f>'Exhibit G Federal'!AD76</f>
        <v>102.2</v>
      </c>
      <c r="S32" s="1531"/>
      <c r="T32" s="1531">
        <f>ROUND(SUM(R32)-SUM(N32),1)</f>
        <v>-30.8</v>
      </c>
      <c r="U32" s="924"/>
      <c r="V32" s="943">
        <f>R32-P32</f>
        <v>0.20000000000000284</v>
      </c>
      <c r="W32" s="943"/>
      <c r="X32" s="972"/>
      <c r="Y32" s="943"/>
      <c r="Z32" s="943"/>
      <c r="AA32" s="943"/>
      <c r="AB32" s="943"/>
      <c r="AC32" s="943"/>
      <c r="AD32" s="946"/>
      <c r="AE32" s="947"/>
      <c r="AF32" s="924"/>
      <c r="AG32" s="947"/>
      <c r="AH32" s="924"/>
      <c r="AI32" s="947"/>
      <c r="AJ32" s="948"/>
      <c r="AK32" s="924"/>
      <c r="AL32" s="947"/>
      <c r="AM32" s="947"/>
      <c r="AN32" s="924"/>
      <c r="AO32" s="947"/>
      <c r="AP32" s="924"/>
      <c r="AQ32" s="947"/>
      <c r="AR32" s="931"/>
      <c r="AS32" s="931"/>
      <c r="AT32" s="931"/>
      <c r="AU32" s="931"/>
      <c r="AV32" s="931"/>
      <c r="AW32" s="931"/>
    </row>
    <row r="33" spans="1:49">
      <c r="A33" s="820" t="s">
        <v>42</v>
      </c>
      <c r="B33" s="948" t="s">
        <v>15</v>
      </c>
      <c r="C33" s="1122">
        <v>0</v>
      </c>
      <c r="D33" s="1531"/>
      <c r="E33" s="1122">
        <v>0</v>
      </c>
      <c r="F33" s="643"/>
      <c r="G33" s="659">
        <f>'Exhibit G State'!AD103</f>
        <v>0</v>
      </c>
      <c r="H33" s="643"/>
      <c r="I33" s="1531">
        <f t="shared" si="4"/>
        <v>0</v>
      </c>
      <c r="J33" s="943"/>
      <c r="K33" s="943">
        <f t="shared" si="5"/>
        <v>0</v>
      </c>
      <c r="L33" s="943"/>
      <c r="M33" s="1206"/>
      <c r="N33" s="1122">
        <v>0</v>
      </c>
      <c r="O33" s="1531"/>
      <c r="P33" s="1122">
        <v>2</v>
      </c>
      <c r="Q33" s="643"/>
      <c r="R33" s="681">
        <f>'Exhibit G Federal'!AD77</f>
        <v>2.2999999999999998</v>
      </c>
      <c r="S33" s="643"/>
      <c r="T33" s="1531">
        <f t="shared" si="6"/>
        <v>2.2999999999999998</v>
      </c>
      <c r="U33" s="948"/>
      <c r="V33" s="943">
        <f t="shared" si="7"/>
        <v>0.29999999999999982</v>
      </c>
      <c r="W33" s="943"/>
      <c r="X33" s="972"/>
      <c r="Y33" s="943"/>
      <c r="Z33" s="943"/>
      <c r="AA33" s="943"/>
      <c r="AB33" s="943"/>
      <c r="AC33" s="943"/>
      <c r="AD33" s="946"/>
      <c r="AE33" s="947"/>
      <c r="AF33" s="924"/>
      <c r="AG33" s="947"/>
      <c r="AH33" s="924"/>
      <c r="AI33" s="947"/>
      <c r="AJ33" s="948"/>
      <c r="AK33" s="924"/>
      <c r="AL33" s="924"/>
      <c r="AM33" s="924"/>
      <c r="AN33" s="924"/>
      <c r="AO33" s="924"/>
      <c r="AP33" s="924"/>
      <c r="AQ33" s="924"/>
      <c r="AR33" s="931"/>
      <c r="AS33" s="931"/>
      <c r="AT33" s="931"/>
      <c r="AU33" s="931"/>
      <c r="AV33" s="931"/>
      <c r="AW33" s="931"/>
    </row>
    <row r="34" spans="1:49">
      <c r="A34" s="820" t="s">
        <v>98</v>
      </c>
      <c r="B34" s="948" t="s">
        <v>15</v>
      </c>
      <c r="C34" s="1122">
        <v>189</v>
      </c>
      <c r="D34" s="1531"/>
      <c r="E34" s="1122">
        <v>281</v>
      </c>
      <c r="F34" s="643"/>
      <c r="G34" s="686">
        <f>-'Exhibit G State'!AD112</f>
        <v>271.60000000000002</v>
      </c>
      <c r="H34" s="643"/>
      <c r="I34" s="1531">
        <f t="shared" si="4"/>
        <v>82.6</v>
      </c>
      <c r="J34" s="943"/>
      <c r="K34" s="943">
        <f t="shared" si="5"/>
        <v>-9.3999999999999773</v>
      </c>
      <c r="L34" s="943"/>
      <c r="M34" s="1206"/>
      <c r="N34" s="1122">
        <v>1531</v>
      </c>
      <c r="O34" s="1531"/>
      <c r="P34" s="1122">
        <v>1926</v>
      </c>
      <c r="Q34" s="643"/>
      <c r="R34" s="686">
        <f>-'Exhibit G Federal'!AD86</f>
        <v>1975.1</v>
      </c>
      <c r="S34" s="643"/>
      <c r="T34" s="1531">
        <f t="shared" si="6"/>
        <v>444.1</v>
      </c>
      <c r="U34" s="948"/>
      <c r="V34" s="943">
        <f t="shared" si="7"/>
        <v>49.099999999999909</v>
      </c>
      <c r="W34" s="943"/>
      <c r="X34" s="972"/>
      <c r="Y34" s="943"/>
      <c r="Z34" s="944"/>
      <c r="AA34" s="943"/>
      <c r="AB34" s="943"/>
      <c r="AC34" s="943"/>
      <c r="AD34" s="946"/>
      <c r="AE34" s="947"/>
      <c r="AF34" s="924"/>
      <c r="AG34" s="947"/>
      <c r="AH34" s="924"/>
      <c r="AI34" s="947"/>
      <c r="AJ34" s="948"/>
      <c r="AK34" s="924"/>
      <c r="AL34" s="924"/>
      <c r="AM34" s="924"/>
      <c r="AN34" s="924"/>
      <c r="AO34" s="924"/>
      <c r="AP34" s="924"/>
      <c r="AQ34" s="924"/>
      <c r="AR34" s="931"/>
      <c r="AS34" s="931"/>
      <c r="AT34" s="931"/>
      <c r="AU34" s="931"/>
      <c r="AV34" s="931"/>
      <c r="AW34" s="931"/>
    </row>
    <row r="35" spans="1:49" ht="18" customHeight="1">
      <c r="A35" s="173" t="s">
        <v>117</v>
      </c>
      <c r="B35" s="151" t="s">
        <v>15</v>
      </c>
      <c r="C35" s="294">
        <f>ROUND(SUM(C29:C34),1)</f>
        <v>21182</v>
      </c>
      <c r="D35" s="922"/>
      <c r="E35" s="294">
        <f>ROUND(SUM(E29:E34),1)</f>
        <v>21172</v>
      </c>
      <c r="F35" s="922"/>
      <c r="G35" s="294">
        <f>ROUND(SUM(G29:G34),1)</f>
        <v>21099</v>
      </c>
      <c r="H35" s="922"/>
      <c r="I35" s="294">
        <f>ROUND(SUM(I29:I34),1)</f>
        <v>-83</v>
      </c>
      <c r="J35" s="76"/>
      <c r="K35" s="294">
        <f>ROUND(SUM(K29:K34),1)</f>
        <v>-73</v>
      </c>
      <c r="L35" s="76"/>
      <c r="M35" s="1209"/>
      <c r="N35" s="294">
        <f>ROUND(SUM(N29:N34),1)</f>
        <v>53360</v>
      </c>
      <c r="O35" s="922"/>
      <c r="P35" s="294">
        <f>ROUND(SUM(P29:P34),1)</f>
        <v>62129</v>
      </c>
      <c r="Q35" s="922"/>
      <c r="R35" s="294">
        <f>ROUND(SUM(R29:R34),1)</f>
        <v>62438.1</v>
      </c>
      <c r="S35" s="922"/>
      <c r="T35" s="294">
        <f>ROUND(SUM(T29:T34),1)</f>
        <v>9078.1</v>
      </c>
      <c r="U35" s="151"/>
      <c r="V35" s="294">
        <f>ROUND(SUM(V29:V34),1)</f>
        <v>309.10000000000002</v>
      </c>
      <c r="W35" s="76"/>
      <c r="X35" s="76"/>
      <c r="Y35" s="76"/>
      <c r="Z35" s="76"/>
      <c r="AA35" s="76"/>
      <c r="AB35" s="76"/>
      <c r="AC35" s="76"/>
      <c r="AD35" s="76"/>
      <c r="AE35" s="151"/>
      <c r="AF35" s="151"/>
      <c r="AG35" s="151"/>
      <c r="AH35" s="151"/>
      <c r="AI35" s="151"/>
      <c r="AJ35" s="151"/>
      <c r="AK35" s="151"/>
      <c r="AL35" s="151"/>
      <c r="AM35" s="151"/>
      <c r="AN35" s="151"/>
      <c r="AO35" s="151"/>
      <c r="AP35" s="151"/>
      <c r="AQ35" s="151"/>
      <c r="AR35" s="931"/>
      <c r="AS35" s="931"/>
      <c r="AT35" s="931"/>
      <c r="AU35" s="931"/>
      <c r="AV35" s="931"/>
      <c r="AW35" s="931"/>
    </row>
    <row r="36" spans="1:49">
      <c r="A36" s="690"/>
      <c r="B36" s="924"/>
      <c r="C36" s="688"/>
      <c r="D36" s="643"/>
      <c r="E36" s="688"/>
      <c r="F36" s="643"/>
      <c r="G36" s="688"/>
      <c r="H36" s="643"/>
      <c r="I36" s="943"/>
      <c r="J36" s="943"/>
      <c r="K36" s="943"/>
      <c r="L36" s="943"/>
      <c r="M36" s="1205"/>
      <c r="N36" s="688"/>
      <c r="O36" s="1531"/>
      <c r="P36" s="688"/>
      <c r="Q36" s="643"/>
      <c r="R36" s="688"/>
      <c r="S36" s="643"/>
      <c r="T36" s="943"/>
      <c r="U36" s="924"/>
      <c r="V36" s="943"/>
      <c r="W36" s="943"/>
      <c r="X36" s="943"/>
      <c r="Y36" s="943"/>
      <c r="Z36" s="943"/>
      <c r="AA36" s="943"/>
      <c r="AB36" s="943"/>
      <c r="AC36" s="943"/>
      <c r="AD36" s="943"/>
      <c r="AE36" s="924"/>
      <c r="AF36" s="924"/>
      <c r="AG36" s="924"/>
      <c r="AH36" s="924"/>
      <c r="AI36" s="924"/>
      <c r="AJ36" s="924"/>
      <c r="AK36" s="924"/>
      <c r="AL36" s="924"/>
      <c r="AM36" s="924"/>
      <c r="AN36" s="924"/>
      <c r="AO36" s="924"/>
      <c r="AP36" s="924"/>
      <c r="AQ36" s="924"/>
      <c r="AR36" s="931"/>
      <c r="AS36" s="931"/>
      <c r="AT36" s="931"/>
      <c r="AU36" s="931"/>
      <c r="AV36" s="931"/>
      <c r="AW36" s="931"/>
    </row>
    <row r="37" spans="1:49" ht="15.75">
      <c r="A37" s="29" t="s">
        <v>118</v>
      </c>
      <c r="B37" s="924"/>
      <c r="C37" s="643"/>
      <c r="D37" s="643"/>
      <c r="E37" s="1531"/>
      <c r="F37" s="643"/>
      <c r="G37" s="643"/>
      <c r="H37" s="643"/>
      <c r="I37" s="943"/>
      <c r="J37" s="943"/>
      <c r="K37" s="943"/>
      <c r="L37" s="943"/>
      <c r="M37" s="1205"/>
      <c r="N37" s="1531"/>
      <c r="O37" s="1531"/>
      <c r="P37" s="1531"/>
      <c r="Q37" s="643"/>
      <c r="R37" s="643"/>
      <c r="S37" s="643"/>
      <c r="T37" s="643"/>
      <c r="U37" s="924"/>
      <c r="V37" s="943"/>
      <c r="W37" s="943"/>
      <c r="X37" s="943"/>
      <c r="Y37" s="943"/>
      <c r="Z37" s="943"/>
      <c r="AA37" s="943"/>
      <c r="AB37" s="943"/>
      <c r="AC37" s="943"/>
      <c r="AD37" s="943"/>
      <c r="AE37" s="924"/>
      <c r="AF37" s="924"/>
      <c r="AG37" s="924"/>
      <c r="AH37" s="924"/>
      <c r="AI37" s="924"/>
      <c r="AJ37" s="924"/>
      <c r="AK37" s="924"/>
      <c r="AL37" s="924"/>
      <c r="AM37" s="924"/>
      <c r="AN37" s="924"/>
      <c r="AO37" s="924"/>
      <c r="AP37" s="924"/>
      <c r="AQ37" s="924"/>
      <c r="AR37" s="931"/>
      <c r="AS37" s="931"/>
      <c r="AT37" s="931"/>
      <c r="AU37" s="931"/>
      <c r="AV37" s="931"/>
      <c r="AW37" s="931"/>
    </row>
    <row r="38" spans="1:49" ht="15.75">
      <c r="A38" s="29" t="s">
        <v>119</v>
      </c>
      <c r="B38" s="924"/>
      <c r="C38" s="643"/>
      <c r="D38" s="643"/>
      <c r="E38" s="1531"/>
      <c r="F38" s="643"/>
      <c r="G38" s="643"/>
      <c r="H38" s="643"/>
      <c r="I38" s="943"/>
      <c r="J38" s="943"/>
      <c r="K38" s="943"/>
      <c r="L38" s="943"/>
      <c r="M38" s="1205"/>
      <c r="N38" s="1531"/>
      <c r="O38" s="1531"/>
      <c r="P38" s="1531"/>
      <c r="Q38" s="643"/>
      <c r="R38" s="643"/>
      <c r="S38" s="643"/>
      <c r="T38" s="643"/>
      <c r="U38" s="924"/>
      <c r="V38" s="943"/>
      <c r="W38" s="943"/>
      <c r="X38" s="943"/>
      <c r="Y38" s="943"/>
      <c r="Z38" s="943"/>
      <c r="AA38" s="943"/>
      <c r="AB38" s="943"/>
      <c r="AC38" s="943"/>
      <c r="AD38" s="943"/>
      <c r="AE38" s="924"/>
      <c r="AF38" s="924"/>
      <c r="AG38" s="924"/>
      <c r="AH38" s="924"/>
      <c r="AI38" s="924"/>
      <c r="AJ38" s="924"/>
      <c r="AK38" s="924"/>
      <c r="AL38" s="924"/>
      <c r="AM38" s="924"/>
      <c r="AN38" s="924"/>
      <c r="AO38" s="924"/>
      <c r="AP38" s="924"/>
      <c r="AQ38" s="924"/>
      <c r="AR38" s="931"/>
      <c r="AS38" s="931"/>
      <c r="AT38" s="931"/>
      <c r="AU38" s="931"/>
      <c r="AV38" s="931"/>
      <c r="AW38" s="931"/>
    </row>
    <row r="39" spans="1:49" ht="15.75">
      <c r="A39" s="173" t="s">
        <v>102</v>
      </c>
      <c r="B39" s="921" t="s">
        <v>15</v>
      </c>
      <c r="C39" s="76">
        <f>ROUND(SUM(C26)-SUM(C35),1)</f>
        <v>-445</v>
      </c>
      <c r="D39" s="84"/>
      <c r="E39" s="1532">
        <f>ROUND(SUM(E26)-SUM(E35),1)</f>
        <v>-180</v>
      </c>
      <c r="F39" s="84"/>
      <c r="G39" s="76">
        <f>ROUND(SUM(G26)-SUM(G35),1)</f>
        <v>-96.1</v>
      </c>
      <c r="H39" s="84"/>
      <c r="I39" s="76">
        <f>ROUND(SUM(I26)-SUM(I35),1)</f>
        <v>348.9</v>
      </c>
      <c r="J39" s="76"/>
      <c r="K39" s="1532">
        <f>ROUND(SUM(K26)-SUM(K35),1)</f>
        <v>83.9</v>
      </c>
      <c r="L39" s="76"/>
      <c r="M39" s="1207"/>
      <c r="N39" s="1532">
        <f>ROUND(SUM(N26)-SUM(N35),1)</f>
        <v>2240</v>
      </c>
      <c r="O39" s="84"/>
      <c r="P39" s="1532">
        <f>ROUND(SUM(P26)-SUM(P35),1)</f>
        <v>4581</v>
      </c>
      <c r="Q39" s="84"/>
      <c r="R39" s="76">
        <f>ROUND(SUM(R26)-SUM(R35),1)</f>
        <v>4077.9</v>
      </c>
      <c r="S39" s="84"/>
      <c r="T39" s="76">
        <f>ROUND(SUM(T26)-SUM(T35),1)</f>
        <v>1837.9</v>
      </c>
      <c r="U39" s="151"/>
      <c r="V39" s="1532">
        <f>ROUND(SUM(V26)-SUM(V35),1)</f>
        <v>-503.1</v>
      </c>
      <c r="W39" s="392"/>
      <c r="X39" s="76"/>
      <c r="Y39" s="392"/>
      <c r="Z39" s="76"/>
      <c r="AA39" s="392"/>
      <c r="AB39" s="76"/>
      <c r="AC39" s="392"/>
      <c r="AD39" s="76"/>
      <c r="AE39" s="151"/>
      <c r="AF39" s="174"/>
      <c r="AG39" s="151"/>
      <c r="AH39" s="174"/>
      <c r="AI39" s="151"/>
      <c r="AJ39" s="151"/>
      <c r="AK39" s="174"/>
      <c r="AL39" s="151"/>
      <c r="AM39" s="151"/>
      <c r="AN39" s="174"/>
      <c r="AO39" s="151"/>
      <c r="AP39" s="174"/>
      <c r="AQ39" s="151"/>
      <c r="AR39" s="931"/>
      <c r="AS39" s="931"/>
      <c r="AT39" s="931"/>
      <c r="AU39" s="931"/>
      <c r="AV39" s="931"/>
      <c r="AW39" s="931"/>
    </row>
    <row r="40" spans="1:49" ht="15" customHeight="1">
      <c r="C40" s="670"/>
      <c r="D40" s="932"/>
      <c r="E40" s="670"/>
      <c r="F40" s="932"/>
      <c r="G40" s="670"/>
      <c r="H40" s="932"/>
      <c r="I40" s="76"/>
      <c r="J40" s="76"/>
      <c r="K40" s="1532"/>
      <c r="L40" s="76"/>
      <c r="M40" s="1207"/>
      <c r="N40" s="670"/>
      <c r="O40" s="932"/>
      <c r="P40" s="670"/>
      <c r="Q40" s="932"/>
      <c r="R40" s="670"/>
      <c r="S40" s="932"/>
      <c r="T40" s="76"/>
      <c r="U40" s="151"/>
      <c r="V40" s="1532"/>
      <c r="W40" s="670"/>
      <c r="X40" s="670"/>
      <c r="Y40" s="670"/>
      <c r="Z40" s="670"/>
      <c r="AA40" s="670"/>
      <c r="AB40" s="670"/>
      <c r="AC40" s="670"/>
      <c r="AD40" s="670"/>
      <c r="AR40" s="931"/>
      <c r="AS40" s="931"/>
      <c r="AT40" s="931"/>
      <c r="AU40" s="931"/>
      <c r="AV40" s="931"/>
      <c r="AW40" s="931"/>
    </row>
    <row r="41" spans="1:49" ht="15.75">
      <c r="A41" s="173" t="str">
        <f>+'Exh D-Governmental  '!A49</f>
        <v>Fund Balances (Deficits) at April 1</v>
      </c>
      <c r="B41" s="622" t="s">
        <v>15</v>
      </c>
      <c r="C41" s="115">
        <v>5401</v>
      </c>
      <c r="D41" s="1651"/>
      <c r="E41" s="115">
        <v>5400</v>
      </c>
      <c r="F41" s="932"/>
      <c r="G41" s="115">
        <f>'Exhibit G State'!D13</f>
        <v>5400.7</v>
      </c>
      <c r="H41" s="1651"/>
      <c r="I41" s="922">
        <f>ROUND(SUM(G41)-SUM(C41),1)</f>
        <v>-0.3</v>
      </c>
      <c r="J41" s="81"/>
      <c r="K41" s="3562">
        <f>G41-E41</f>
        <v>0.6999999999998181</v>
      </c>
      <c r="L41" s="81"/>
      <c r="M41" s="1207"/>
      <c r="N41" s="115">
        <v>911</v>
      </c>
      <c r="O41" s="1651"/>
      <c r="P41" s="115">
        <v>911</v>
      </c>
      <c r="Q41" s="932"/>
      <c r="R41" s="115">
        <f>'Exhibit G Federal'!D13</f>
        <v>911.4</v>
      </c>
      <c r="S41" s="1651"/>
      <c r="T41" s="922">
        <f>ROUND(SUM(R41)-SUM(N41),1)</f>
        <v>0.4</v>
      </c>
      <c r="U41" s="151"/>
      <c r="V41" s="3562">
        <f>R41-P41</f>
        <v>0.39999999999997726</v>
      </c>
      <c r="W41" s="670"/>
      <c r="X41" s="76"/>
      <c r="Y41" s="670"/>
      <c r="Z41" s="76"/>
      <c r="AA41" s="670"/>
      <c r="AB41" s="81"/>
      <c r="AC41" s="670"/>
      <c r="AD41" s="670"/>
      <c r="AR41" s="931"/>
      <c r="AS41" s="931"/>
      <c r="AT41" s="931"/>
      <c r="AU41" s="931"/>
      <c r="AV41" s="931"/>
      <c r="AW41" s="931"/>
    </row>
    <row r="42" spans="1:49" ht="18" customHeight="1" thickBot="1">
      <c r="A42" s="1349" t="str">
        <f>+'Exh D-Governmental  '!A50</f>
        <v>Fund Balances (Deficits) at January 31, 2021</v>
      </c>
      <c r="B42" s="180" t="s">
        <v>15</v>
      </c>
      <c r="C42" s="98">
        <f>ROUND(SUM(C39:C41),1)</f>
        <v>4956</v>
      </c>
      <c r="D42" s="181"/>
      <c r="E42" s="98">
        <f>ROUND(SUM(E39:E41),1)</f>
        <v>5220</v>
      </c>
      <c r="F42" s="181"/>
      <c r="G42" s="98">
        <f>ROUND(SUM(G39:G41),1)</f>
        <v>5304.6</v>
      </c>
      <c r="H42" s="181"/>
      <c r="I42" s="98">
        <f>ROUND(SUM(I39:I41),1)</f>
        <v>348.6</v>
      </c>
      <c r="J42" s="219"/>
      <c r="K42" s="98">
        <f>ROUND(SUM(K39:K41),1)</f>
        <v>84.6</v>
      </c>
      <c r="L42" s="219"/>
      <c r="M42" s="1208"/>
      <c r="N42" s="98">
        <f>ROUND(SUM(N39:N41),1)</f>
        <v>3151</v>
      </c>
      <c r="O42" s="181"/>
      <c r="P42" s="98">
        <f>ROUND(SUM(P39:P41),1)</f>
        <v>5492</v>
      </c>
      <c r="Q42" s="181"/>
      <c r="R42" s="98">
        <f>ROUND(SUM(R39:R41),1)</f>
        <v>4989.3</v>
      </c>
      <c r="S42" s="181"/>
      <c r="T42" s="98">
        <f>ROUND(SUM(T39:T41),1)</f>
        <v>1838.3</v>
      </c>
      <c r="U42" s="151"/>
      <c r="V42" s="98">
        <f>ROUND(SUM(V39:V41),1)</f>
        <v>-502.7</v>
      </c>
      <c r="W42" s="975"/>
      <c r="X42" s="219"/>
      <c r="Y42" s="975"/>
      <c r="Z42" s="219"/>
      <c r="AA42" s="975"/>
      <c r="AB42" s="219"/>
      <c r="AR42" s="931"/>
      <c r="AS42" s="931"/>
      <c r="AT42" s="931"/>
      <c r="AU42" s="931"/>
      <c r="AV42" s="931"/>
      <c r="AW42" s="931"/>
    </row>
    <row r="43" spans="1:49" ht="15" customHeight="1" thickTop="1">
      <c r="A43" s="155"/>
      <c r="G43" s="622"/>
      <c r="J43" s="622"/>
      <c r="V43" s="622"/>
      <c r="W43" s="976"/>
      <c r="X43" s="689"/>
      <c r="Y43" s="976"/>
      <c r="Z43" s="976"/>
      <c r="AA43" s="976"/>
      <c r="AB43" s="976"/>
      <c r="AR43" s="931"/>
      <c r="AS43" s="931"/>
      <c r="AT43" s="931"/>
      <c r="AU43" s="931"/>
      <c r="AV43" s="931"/>
      <c r="AW43" s="931"/>
    </row>
    <row r="44" spans="1:49">
      <c r="A44" s="936" t="str">
        <f>'Exh D-Governmental  '!A52</f>
        <v>(*)    Source: 2020-21 Enacted Financial Plan dated April 25, 2020.</v>
      </c>
      <c r="AR44" s="931"/>
      <c r="AS44" s="931"/>
      <c r="AT44" s="931"/>
      <c r="AU44" s="931"/>
      <c r="AV44" s="931"/>
      <c r="AW44" s="931"/>
    </row>
    <row r="45" spans="1:49">
      <c r="A45" s="936" t="str">
        <f>'Exh D-Governmental  '!A53</f>
        <v>(**)   Source: 2021-22 Executive Budget dated January 19, 2021.</v>
      </c>
      <c r="B45" s="931"/>
      <c r="C45" s="949"/>
      <c r="D45" s="931"/>
      <c r="E45" s="931"/>
      <c r="F45" s="931"/>
      <c r="G45" s="931"/>
      <c r="H45" s="931"/>
      <c r="I45" s="931"/>
      <c r="J45" s="931"/>
      <c r="K45" s="931"/>
      <c r="L45" s="691"/>
      <c r="M45" s="691"/>
      <c r="N45" s="931"/>
      <c r="O45" s="931"/>
      <c r="P45" s="931"/>
      <c r="Q45" s="931"/>
      <c r="R45" s="931"/>
      <c r="S45" s="931"/>
      <c r="T45" s="931"/>
      <c r="U45" s="931"/>
      <c r="V45" s="691"/>
      <c r="W45" s="691"/>
      <c r="X45" s="691"/>
      <c r="Y45" s="691"/>
      <c r="Z45" s="691"/>
      <c r="AA45" s="691"/>
      <c r="AB45" s="691"/>
      <c r="AC45" s="931"/>
      <c r="AD45" s="931"/>
      <c r="AE45" s="931"/>
      <c r="AF45" s="931"/>
      <c r="AG45" s="931"/>
      <c r="AH45" s="931"/>
      <c r="AI45" s="931"/>
      <c r="AJ45" s="931"/>
      <c r="AK45" s="931"/>
      <c r="AL45" s="931"/>
      <c r="AM45" s="931"/>
      <c r="AN45" s="931"/>
      <c r="AO45" s="931"/>
      <c r="AP45" s="931"/>
      <c r="AQ45" s="931"/>
      <c r="AR45" s="931"/>
      <c r="AS45" s="931"/>
      <c r="AT45" s="931"/>
      <c r="AU45" s="931"/>
      <c r="AV45" s="931"/>
      <c r="AW45" s="931"/>
    </row>
    <row r="46" spans="1:49">
      <c r="A46" s="907"/>
    </row>
    <row r="47" spans="1:49">
      <c r="A47" s="204"/>
      <c r="B47" s="931"/>
      <c r="C47" s="931"/>
      <c r="D47" s="931"/>
      <c r="E47" s="931"/>
      <c r="F47" s="931"/>
      <c r="G47" s="931"/>
      <c r="H47" s="931"/>
      <c r="I47" s="931"/>
      <c r="J47" s="931"/>
      <c r="K47" s="931"/>
      <c r="L47" s="691"/>
      <c r="M47" s="691"/>
      <c r="N47" s="931"/>
      <c r="O47" s="931"/>
      <c r="P47" s="931"/>
      <c r="Q47" s="931"/>
      <c r="R47" s="931"/>
      <c r="S47" s="931"/>
      <c r="T47" s="931"/>
      <c r="U47" s="931"/>
      <c r="V47" s="691"/>
      <c r="W47" s="691"/>
      <c r="X47" s="691"/>
      <c r="Y47" s="691"/>
      <c r="Z47" s="691"/>
      <c r="AA47" s="691"/>
      <c r="AB47" s="691"/>
      <c r="AC47" s="931"/>
      <c r="AD47" s="931"/>
      <c r="AE47" s="931"/>
      <c r="AF47" s="931"/>
      <c r="AG47" s="931"/>
      <c r="AH47" s="931"/>
      <c r="AI47" s="931"/>
      <c r="AJ47" s="931"/>
      <c r="AK47" s="931"/>
      <c r="AL47" s="931"/>
      <c r="AM47" s="931"/>
      <c r="AN47" s="931"/>
      <c r="AO47" s="931"/>
      <c r="AP47" s="931"/>
      <c r="AQ47" s="931"/>
      <c r="AR47" s="931"/>
      <c r="AS47" s="931"/>
      <c r="AT47" s="931"/>
      <c r="AU47" s="931"/>
      <c r="AV47" s="931"/>
      <c r="AW47" s="931"/>
    </row>
    <row r="48" spans="1:49">
      <c r="A48" s="204"/>
      <c r="B48" s="931"/>
      <c r="C48" s="949"/>
      <c r="D48" s="931"/>
      <c r="E48" s="949"/>
      <c r="F48" s="931"/>
      <c r="G48" s="931"/>
      <c r="H48" s="931"/>
      <c r="I48" s="931"/>
      <c r="J48" s="931"/>
      <c r="K48" s="931"/>
      <c r="L48" s="691"/>
      <c r="M48" s="691"/>
      <c r="N48" s="931"/>
      <c r="O48" s="931"/>
      <c r="P48" s="931"/>
      <c r="Q48" s="931"/>
      <c r="R48" s="931"/>
      <c r="S48" s="931"/>
      <c r="T48" s="931"/>
      <c r="U48" s="931"/>
      <c r="V48" s="691"/>
      <c r="W48" s="691"/>
      <c r="X48" s="691"/>
      <c r="Y48" s="691"/>
      <c r="Z48" s="691"/>
      <c r="AA48" s="691"/>
      <c r="AB48" s="691"/>
      <c r="AC48" s="931"/>
      <c r="AD48" s="931"/>
      <c r="AE48" s="931"/>
      <c r="AF48" s="931"/>
      <c r="AG48" s="931"/>
      <c r="AH48" s="931"/>
      <c r="AI48" s="931"/>
      <c r="AJ48" s="931"/>
      <c r="AK48" s="931"/>
      <c r="AL48" s="931"/>
      <c r="AM48" s="931"/>
      <c r="AN48" s="931"/>
      <c r="AO48" s="931"/>
      <c r="AP48" s="931"/>
      <c r="AQ48" s="931"/>
      <c r="AR48" s="931"/>
      <c r="AS48" s="931"/>
      <c r="AT48" s="931"/>
      <c r="AU48" s="931"/>
      <c r="AV48" s="931"/>
      <c r="AW48" s="931"/>
    </row>
    <row r="49" spans="3:5">
      <c r="C49" s="976"/>
      <c r="E49" s="976"/>
    </row>
    <row r="50" spans="3:5">
      <c r="C50" s="976"/>
      <c r="E50" s="976"/>
    </row>
    <row r="51" spans="3:5">
      <c r="C51" s="976"/>
      <c r="E51" s="976"/>
    </row>
    <row r="52" spans="3:5">
      <c r="C52" s="976"/>
      <c r="E52" s="976"/>
    </row>
    <row r="53" spans="3:5">
      <c r="C53" s="976"/>
      <c r="E53" s="976"/>
    </row>
    <row r="54" spans="3:5">
      <c r="C54" s="976"/>
      <c r="E54" s="976"/>
    </row>
    <row r="55" spans="3:5">
      <c r="C55" s="976"/>
      <c r="E55" s="976"/>
    </row>
    <row r="56" spans="3:5">
      <c r="C56" s="976"/>
      <c r="E56" s="976"/>
    </row>
    <row r="57" spans="3:5">
      <c r="C57" s="976"/>
      <c r="E57" s="976"/>
    </row>
    <row r="58" spans="3:5">
      <c r="C58" s="976"/>
      <c r="E58" s="976"/>
    </row>
    <row r="59" spans="3:5">
      <c r="C59" s="976"/>
      <c r="E59" s="976"/>
    </row>
    <row r="60" spans="3:5">
      <c r="C60" s="976"/>
      <c r="E60" s="976"/>
    </row>
    <row r="61" spans="3:5">
      <c r="C61" s="976"/>
      <c r="E61" s="976"/>
    </row>
    <row r="62" spans="3:5">
      <c r="C62" s="976"/>
      <c r="E62" s="976"/>
    </row>
    <row r="63" spans="3:5">
      <c r="C63" s="976"/>
      <c r="E63" s="976"/>
    </row>
    <row r="64" spans="3:5">
      <c r="C64" s="976"/>
      <c r="E64" s="976"/>
    </row>
    <row r="65" spans="3:5">
      <c r="C65" s="976"/>
      <c r="E65" s="976"/>
    </row>
    <row r="66" spans="3:5">
      <c r="C66" s="976"/>
      <c r="E66" s="976"/>
    </row>
    <row r="67" spans="3:5">
      <c r="C67" s="976"/>
      <c r="E67" s="976"/>
    </row>
    <row r="68" spans="3:5">
      <c r="C68" s="976"/>
      <c r="E68" s="976"/>
    </row>
    <row r="69" spans="3:5">
      <c r="C69" s="976"/>
      <c r="E69" s="976"/>
    </row>
  </sheetData>
  <mergeCells count="3">
    <mergeCell ref="A5:E5"/>
    <mergeCell ref="C11:I11"/>
    <mergeCell ref="N11:T11"/>
  </mergeCells>
  <printOptions horizontalCentered="1"/>
  <pageMargins left="0.2" right="0.2" top="0.75" bottom="0.25" header="0.3" footer="0.3"/>
  <pageSetup scale="50" firstPageNumber="11" orientation="landscape" useFirstPageNumber="1" r:id="rId1"/>
  <headerFooter scaleWithDoc="0" alignWithMargins="0">
    <oddFooter>&amp;C&amp;8&amp;P</oddFooter>
  </headerFooter>
  <ignoredErrors>
    <ignoredError sqref="AH6:XFD6 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D47"/>
  <sheetViews>
    <sheetView showGridLines="0" workbookViewId="0"/>
  </sheetViews>
  <sheetFormatPr defaultColWidth="8.6640625" defaultRowHeight="15"/>
  <cols>
    <col min="1" max="1" width="47.109375" style="931" customWidth="1"/>
    <col min="2" max="2" width="2" style="622" customWidth="1"/>
    <col min="3" max="3" width="15.109375" style="425" customWidth="1"/>
    <col min="4" max="4" width="1.6640625" style="935" customWidth="1"/>
    <col min="5" max="5" width="15.109375" style="425" customWidth="1"/>
    <col min="6" max="6" width="2.6640625" style="935" customWidth="1"/>
    <col min="7" max="7" width="15.109375" style="935" customWidth="1"/>
    <col min="8" max="8" width="2" style="935" customWidth="1"/>
    <col min="9" max="9" width="15.109375" style="935" customWidth="1"/>
    <col min="10" max="10" width="2.109375" style="622" customWidth="1"/>
    <col min="11" max="11" width="15.109375" style="622" customWidth="1"/>
    <col min="12" max="12" width="11.44140625" style="622" customWidth="1"/>
    <col min="13" max="13" width="1.6640625" style="622" customWidth="1"/>
    <col min="14" max="14" width="11.6640625" style="622" customWidth="1"/>
    <col min="15" max="15" width="2.109375" style="622" customWidth="1"/>
    <col min="16" max="16" width="11.44140625" style="622" customWidth="1"/>
    <col min="17" max="17" width="0.5546875" style="622" customWidth="1"/>
    <col min="18" max="18" width="2.109375" style="622" customWidth="1"/>
    <col min="19" max="19" width="10.5546875" style="622" customWidth="1"/>
    <col min="20" max="20" width="11.109375" style="622" customWidth="1"/>
    <col min="21" max="21" width="2.109375" style="622" customWidth="1"/>
    <col min="22" max="22" width="11.109375" style="622" customWidth="1"/>
    <col min="23" max="23" width="2.109375" style="622" customWidth="1"/>
    <col min="24" max="24" width="12.44140625" style="622" customWidth="1"/>
    <col min="25" max="29" width="8.6640625" style="622"/>
    <col min="30" max="30" width="8.6640625" style="935"/>
    <col min="31" max="16384" width="8.6640625" style="931"/>
  </cols>
  <sheetData>
    <row r="1" spans="1:24">
      <c r="A1" s="937" t="s">
        <v>963</v>
      </c>
      <c r="B1" s="186"/>
      <c r="C1" s="419"/>
      <c r="D1" s="187"/>
      <c r="E1" s="419"/>
      <c r="F1" s="187"/>
      <c r="G1" s="187"/>
      <c r="H1" s="187"/>
      <c r="I1" s="187"/>
      <c r="J1" s="187"/>
      <c r="K1" s="186"/>
      <c r="L1" s="186"/>
      <c r="M1" s="186"/>
      <c r="N1" s="186"/>
      <c r="O1" s="186"/>
      <c r="P1" s="186"/>
      <c r="Q1" s="186"/>
      <c r="R1" s="186"/>
      <c r="S1" s="186"/>
      <c r="T1" s="186"/>
      <c r="U1" s="186"/>
      <c r="V1" s="186"/>
      <c r="W1" s="186"/>
      <c r="X1" s="186"/>
    </row>
    <row r="2" spans="1:24" ht="17.100000000000001" customHeight="1">
      <c r="A2" s="188"/>
      <c r="B2" s="189"/>
      <c r="C2" s="419"/>
      <c r="D2" s="187"/>
      <c r="E2" s="419"/>
      <c r="F2" s="187"/>
      <c r="G2" s="190"/>
      <c r="H2" s="187"/>
      <c r="I2" s="187"/>
      <c r="J2" s="187"/>
      <c r="K2" s="186"/>
      <c r="L2" s="186"/>
      <c r="M2" s="186"/>
      <c r="N2" s="186"/>
      <c r="O2" s="186"/>
      <c r="P2" s="186"/>
      <c r="Q2" s="186"/>
      <c r="R2" s="186"/>
      <c r="S2" s="186"/>
      <c r="T2" s="186"/>
      <c r="U2" s="186"/>
      <c r="V2" s="186"/>
      <c r="W2" s="186"/>
      <c r="X2" s="186"/>
    </row>
    <row r="3" spans="1:24" ht="17.25" customHeight="1">
      <c r="A3" s="191" t="s">
        <v>0</v>
      </c>
      <c r="B3" s="148"/>
      <c r="C3" s="422"/>
      <c r="D3" s="143"/>
      <c r="E3" s="422"/>
      <c r="F3" s="143"/>
      <c r="G3" s="143"/>
      <c r="H3" s="143"/>
      <c r="I3" s="822"/>
      <c r="J3" s="143"/>
      <c r="K3" s="822" t="s">
        <v>83</v>
      </c>
      <c r="L3" s="156"/>
      <c r="M3" s="156"/>
      <c r="N3" s="156"/>
      <c r="O3" s="156"/>
      <c r="P3" s="156"/>
      <c r="Q3" s="156"/>
      <c r="R3" s="156"/>
      <c r="S3" s="156"/>
      <c r="T3" s="156"/>
      <c r="U3" s="156"/>
      <c r="V3" s="156"/>
      <c r="W3" s="156"/>
      <c r="X3" s="192"/>
    </row>
    <row r="4" spans="1:24" ht="17.25" customHeight="1">
      <c r="A4" s="191" t="s">
        <v>82</v>
      </c>
      <c r="B4" s="148"/>
      <c r="C4" s="422"/>
      <c r="D4" s="143"/>
      <c r="E4" s="422"/>
      <c r="F4" s="143"/>
      <c r="G4" s="143"/>
      <c r="H4" s="143"/>
      <c r="I4" s="823"/>
      <c r="J4" s="143"/>
      <c r="K4" s="823"/>
      <c r="L4" s="156"/>
      <c r="M4" s="156"/>
      <c r="N4" s="156"/>
      <c r="O4" s="156"/>
      <c r="P4" s="156"/>
      <c r="Q4" s="156"/>
      <c r="R4" s="156"/>
      <c r="S4" s="156"/>
      <c r="T4" s="156"/>
      <c r="U4" s="156"/>
      <c r="V4" s="156"/>
      <c r="W4" s="156"/>
      <c r="X4" s="156"/>
    </row>
    <row r="5" spans="1:24" ht="17.25" customHeight="1">
      <c r="A5" s="3944" t="str">
        <f>'Exh D-Governmental  '!A5:E5</f>
        <v>FISCAL YEAR 2020-2021</v>
      </c>
      <c r="B5" s="3945"/>
      <c r="C5" s="3945"/>
      <c r="D5" s="3945"/>
      <c r="E5" s="3945"/>
      <c r="F5" s="143"/>
      <c r="G5" s="143"/>
      <c r="H5" s="143"/>
      <c r="I5" s="143"/>
      <c r="J5" s="143"/>
      <c r="K5" s="156"/>
      <c r="L5" s="156"/>
      <c r="M5" s="156"/>
      <c r="N5" s="156"/>
      <c r="O5" s="156"/>
      <c r="P5" s="156"/>
      <c r="Q5" s="156"/>
      <c r="R5" s="156"/>
      <c r="S5" s="156"/>
      <c r="T5" s="156"/>
      <c r="U5" s="156"/>
      <c r="V5" s="156"/>
      <c r="W5" s="156"/>
      <c r="X5" s="156"/>
    </row>
    <row r="6" spans="1:24" ht="17.25" customHeight="1">
      <c r="A6" s="1473" t="str">
        <f>'Exh D-Governmental  '!A6</f>
        <v xml:space="preserve">FOR TEN MONTHS ENDED JANUARY 31, 2021    </v>
      </c>
      <c r="B6" s="147"/>
      <c r="C6" s="422"/>
      <c r="D6" s="143"/>
      <c r="E6" s="422"/>
      <c r="F6" s="143"/>
      <c r="G6" s="143"/>
      <c r="H6" s="143"/>
      <c r="I6" s="143"/>
      <c r="J6" s="143"/>
      <c r="K6" s="156"/>
      <c r="L6" s="156"/>
      <c r="M6" s="156"/>
      <c r="N6" s="156"/>
      <c r="O6" s="156"/>
      <c r="P6" s="156"/>
      <c r="Q6" s="156"/>
      <c r="R6" s="156"/>
      <c r="S6" s="156"/>
      <c r="T6" s="156"/>
      <c r="U6" s="156"/>
      <c r="V6" s="156"/>
      <c r="W6" s="156"/>
      <c r="X6" s="156"/>
    </row>
    <row r="7" spans="1:24" ht="18">
      <c r="A7" s="191" t="s">
        <v>1364</v>
      </c>
      <c r="B7" s="148"/>
      <c r="C7" s="422"/>
      <c r="D7" s="143"/>
      <c r="E7" s="422"/>
      <c r="F7" s="143"/>
      <c r="G7" s="143"/>
      <c r="H7" s="143"/>
      <c r="I7" s="143"/>
      <c r="J7" s="143"/>
      <c r="K7" s="156"/>
      <c r="L7" s="156"/>
      <c r="M7" s="156"/>
      <c r="N7" s="156"/>
      <c r="O7" s="156"/>
      <c r="P7" s="156"/>
      <c r="Q7" s="156"/>
      <c r="R7" s="156"/>
      <c r="S7" s="156"/>
      <c r="T7" s="156"/>
      <c r="U7" s="156"/>
      <c r="V7" s="156"/>
      <c r="W7" s="156"/>
      <c r="X7" s="156"/>
    </row>
    <row r="8" spans="1:24" ht="15" customHeight="1">
      <c r="A8" s="193"/>
      <c r="B8" s="147"/>
      <c r="C8" s="422"/>
      <c r="D8" s="143"/>
      <c r="E8" s="422"/>
      <c r="F8" s="143"/>
      <c r="G8" s="143"/>
      <c r="H8" s="143"/>
      <c r="I8" s="143"/>
      <c r="J8" s="143"/>
      <c r="K8" s="156"/>
      <c r="L8" s="156"/>
      <c r="M8" s="156"/>
      <c r="N8" s="156"/>
      <c r="O8" s="156"/>
      <c r="P8" s="156"/>
      <c r="Q8" s="156"/>
      <c r="R8" s="156"/>
      <c r="S8" s="156"/>
      <c r="T8" s="156"/>
      <c r="U8" s="156"/>
      <c r="V8" s="156"/>
      <c r="W8" s="156"/>
      <c r="X8" s="156"/>
    </row>
    <row r="9" spans="1:24">
      <c r="A9" s="150"/>
      <c r="B9" s="156"/>
      <c r="C9" s="422"/>
      <c r="D9" s="143"/>
      <c r="E9" s="422"/>
      <c r="F9" s="143"/>
      <c r="G9" s="143"/>
      <c r="H9" s="143"/>
      <c r="I9" s="143"/>
      <c r="J9" s="143"/>
      <c r="K9" s="156"/>
      <c r="L9" s="156"/>
      <c r="M9" s="156"/>
      <c r="N9" s="156"/>
      <c r="O9" s="156"/>
      <c r="P9" s="156"/>
      <c r="Q9" s="156"/>
      <c r="R9" s="156"/>
      <c r="S9" s="156"/>
      <c r="T9" s="156"/>
      <c r="U9" s="156"/>
      <c r="V9" s="156"/>
      <c r="W9" s="156"/>
      <c r="X9" s="156"/>
    </row>
    <row r="10" spans="1:24">
      <c r="A10" s="150"/>
      <c r="B10" s="156"/>
      <c r="C10" s="421"/>
      <c r="D10" s="148"/>
      <c r="E10" s="421"/>
      <c r="F10" s="148"/>
      <c r="G10" s="148"/>
      <c r="H10" s="148"/>
      <c r="I10" s="148"/>
      <c r="J10" s="143"/>
      <c r="K10" s="156"/>
      <c r="L10" s="156"/>
      <c r="M10" s="156"/>
      <c r="N10" s="156"/>
      <c r="O10" s="156"/>
      <c r="P10" s="156"/>
      <c r="Q10" s="156"/>
      <c r="R10" s="156"/>
      <c r="S10" s="156"/>
      <c r="T10" s="156"/>
      <c r="U10" s="156"/>
      <c r="V10" s="156"/>
      <c r="W10" s="156"/>
      <c r="X10" s="156"/>
    </row>
    <row r="11" spans="1:24" ht="15.75">
      <c r="A11" s="690"/>
      <c r="C11" s="3946" t="s">
        <v>1129</v>
      </c>
      <c r="D11" s="3946"/>
      <c r="E11" s="3946"/>
      <c r="F11" s="3946"/>
      <c r="G11" s="3946"/>
      <c r="H11" s="3946"/>
      <c r="I11" s="3946"/>
      <c r="J11" s="1194"/>
      <c r="K11" s="1195"/>
      <c r="L11" s="194"/>
      <c r="M11" s="194"/>
      <c r="N11" s="194"/>
      <c r="O11" s="194"/>
      <c r="P11" s="194"/>
      <c r="Q11" s="194"/>
      <c r="R11" s="151"/>
      <c r="S11" s="194"/>
      <c r="T11" s="195"/>
      <c r="U11" s="194"/>
      <c r="V11" s="194"/>
      <c r="W11" s="194"/>
      <c r="X11" s="194"/>
    </row>
    <row r="12" spans="1:24" ht="15.75">
      <c r="A12" s="690"/>
      <c r="C12" s="426"/>
      <c r="D12" s="196"/>
      <c r="E12" s="426"/>
      <c r="F12" s="196"/>
      <c r="G12" s="197"/>
      <c r="H12" s="196"/>
      <c r="I12" s="196" t="s">
        <v>84</v>
      </c>
      <c r="J12" s="151"/>
      <c r="K12" s="196" t="s">
        <v>84</v>
      </c>
      <c r="L12" s="194"/>
      <c r="M12" s="194"/>
      <c r="N12" s="194"/>
      <c r="O12" s="194"/>
      <c r="P12" s="194"/>
      <c r="Q12" s="194"/>
      <c r="R12" s="151"/>
      <c r="S12" s="194"/>
      <c r="T12" s="195"/>
      <c r="U12" s="194"/>
      <c r="V12" s="194"/>
      <c r="W12" s="194"/>
      <c r="X12" s="194"/>
    </row>
    <row r="13" spans="1:24" ht="15.75">
      <c r="A13" s="690"/>
      <c r="B13" s="151"/>
      <c r="C13" s="424"/>
      <c r="D13" s="198"/>
      <c r="E13" s="424"/>
      <c r="F13" s="198"/>
      <c r="G13" s="198"/>
      <c r="H13" s="198"/>
      <c r="I13" s="199" t="s">
        <v>874</v>
      </c>
      <c r="J13" s="151"/>
      <c r="K13" s="199" t="s">
        <v>874</v>
      </c>
      <c r="L13" s="151"/>
      <c r="M13" s="151"/>
      <c r="N13" s="151"/>
      <c r="O13" s="151"/>
      <c r="P13" s="200"/>
      <c r="Q13" s="201"/>
      <c r="R13" s="151"/>
      <c r="S13" s="151"/>
      <c r="T13" s="151"/>
      <c r="U13" s="151"/>
      <c r="V13" s="151"/>
      <c r="W13" s="151"/>
      <c r="X13" s="200"/>
    </row>
    <row r="14" spans="1:24" ht="15.75">
      <c r="A14" s="690"/>
      <c r="B14" s="202"/>
      <c r="C14" s="154" t="s">
        <v>1075</v>
      </c>
      <c r="D14" s="152"/>
      <c r="E14" s="153" t="s">
        <v>1076</v>
      </c>
      <c r="F14" s="152"/>
      <c r="G14" s="152"/>
      <c r="H14" s="152"/>
      <c r="I14" s="153" t="s">
        <v>85</v>
      </c>
      <c r="J14" s="151"/>
      <c r="K14" s="153" t="s">
        <v>85</v>
      </c>
      <c r="L14" s="201"/>
      <c r="M14" s="151"/>
      <c r="N14" s="151"/>
      <c r="O14" s="151"/>
      <c r="P14" s="200"/>
      <c r="Q14" s="201"/>
      <c r="R14" s="151"/>
      <c r="S14" s="200"/>
      <c r="T14" s="201"/>
      <c r="U14" s="151"/>
      <c r="V14" s="151"/>
      <c r="W14" s="151"/>
      <c r="X14" s="200"/>
    </row>
    <row r="15" spans="1:24" ht="15.75">
      <c r="A15" s="690"/>
      <c r="B15" s="202"/>
      <c r="C15" s="153" t="s">
        <v>1112</v>
      </c>
      <c r="D15" s="152"/>
      <c r="E15" s="153" t="s">
        <v>1112</v>
      </c>
      <c r="F15" s="152"/>
      <c r="G15" s="152"/>
      <c r="H15" s="152"/>
      <c r="I15" s="153" t="s">
        <v>1075</v>
      </c>
      <c r="J15" s="151"/>
      <c r="K15" s="153" t="s">
        <v>1076</v>
      </c>
      <c r="L15" s="201"/>
      <c r="M15" s="151"/>
      <c r="N15" s="151"/>
      <c r="O15" s="151"/>
      <c r="P15" s="200"/>
      <c r="Q15" s="201"/>
      <c r="R15" s="151"/>
      <c r="S15" s="200"/>
      <c r="T15" s="201"/>
      <c r="U15" s="151"/>
      <c r="V15" s="151"/>
      <c r="W15" s="151"/>
      <c r="X15" s="200"/>
    </row>
    <row r="16" spans="1:24" ht="15.75">
      <c r="A16" s="690"/>
      <c r="B16" s="201"/>
      <c r="C16" s="153" t="s">
        <v>1113</v>
      </c>
      <c r="D16" s="152"/>
      <c r="E16" s="153" t="s">
        <v>1504</v>
      </c>
      <c r="F16" s="152"/>
      <c r="G16" s="154" t="s">
        <v>84</v>
      </c>
      <c r="H16" s="152"/>
      <c r="I16" s="153" t="s">
        <v>86</v>
      </c>
      <c r="J16" s="151"/>
      <c r="K16" s="153" t="s">
        <v>86</v>
      </c>
      <c r="L16" s="201"/>
      <c r="M16" s="151"/>
      <c r="N16" s="200"/>
      <c r="O16" s="151"/>
      <c r="P16" s="200"/>
      <c r="Q16" s="201"/>
      <c r="R16" s="151"/>
      <c r="S16" s="201"/>
      <c r="T16" s="201"/>
      <c r="U16" s="151"/>
      <c r="V16" s="200"/>
      <c r="W16" s="151"/>
      <c r="X16" s="200"/>
    </row>
    <row r="17" spans="1:24">
      <c r="A17" s="155"/>
      <c r="B17" s="156"/>
      <c r="C17" s="157"/>
      <c r="D17" s="143"/>
      <c r="E17" s="157"/>
      <c r="F17" s="143"/>
      <c r="G17" s="157"/>
      <c r="H17" s="143"/>
      <c r="I17" s="157"/>
      <c r="J17" s="156"/>
      <c r="K17" s="157"/>
      <c r="L17" s="156"/>
      <c r="M17" s="156"/>
      <c r="N17" s="156"/>
      <c r="O17" s="156"/>
      <c r="P17" s="156"/>
      <c r="Q17" s="156"/>
      <c r="R17" s="156"/>
      <c r="S17" s="156"/>
      <c r="T17" s="156"/>
      <c r="U17" s="156"/>
      <c r="V17" s="156"/>
      <c r="W17" s="156"/>
      <c r="X17" s="156"/>
    </row>
    <row r="18" spans="1:24" ht="15.75">
      <c r="A18" s="29" t="s">
        <v>14</v>
      </c>
      <c r="B18" s="924"/>
      <c r="C18" s="657"/>
      <c r="D18" s="657"/>
      <c r="E18" s="657"/>
      <c r="F18" s="657"/>
      <c r="G18" s="657"/>
      <c r="H18" s="657"/>
      <c r="I18" s="657"/>
      <c r="J18" s="924"/>
      <c r="K18" s="657"/>
      <c r="L18" s="924"/>
      <c r="M18" s="924"/>
      <c r="N18" s="924"/>
      <c r="O18" s="924"/>
      <c r="P18" s="924"/>
      <c r="Q18" s="924"/>
      <c r="R18" s="924"/>
      <c r="S18" s="924"/>
      <c r="T18" s="924"/>
      <c r="U18" s="924"/>
      <c r="V18" s="924"/>
      <c r="W18" s="924"/>
      <c r="X18" s="924"/>
    </row>
    <row r="19" spans="1:24">
      <c r="A19" s="820" t="s">
        <v>87</v>
      </c>
      <c r="B19" s="925"/>
      <c r="C19" s="657"/>
      <c r="D19" s="657"/>
      <c r="E19" s="657"/>
      <c r="F19" s="657"/>
      <c r="G19" s="657"/>
      <c r="H19" s="925"/>
      <c r="I19" s="657"/>
      <c r="J19" s="924"/>
      <c r="K19" s="657"/>
      <c r="L19" s="924"/>
      <c r="M19" s="924"/>
      <c r="N19" s="924"/>
      <c r="O19" s="924"/>
      <c r="P19" s="924"/>
      <c r="Q19" s="924"/>
      <c r="R19" s="924"/>
      <c r="S19" s="924"/>
      <c r="T19" s="924"/>
      <c r="U19" s="924"/>
      <c r="V19" s="924"/>
      <c r="W19" s="924"/>
      <c r="X19" s="924"/>
    </row>
    <row r="20" spans="1:24">
      <c r="A20" s="820" t="s">
        <v>88</v>
      </c>
      <c r="B20" s="925" t="s">
        <v>15</v>
      </c>
      <c r="C20" s="2055">
        <v>21276</v>
      </c>
      <c r="D20" s="660"/>
      <c r="E20" s="2055">
        <v>22415</v>
      </c>
      <c r="F20" s="660"/>
      <c r="G20" s="1012">
        <f>+'Exhibit H'!AA16</f>
        <v>23125.599999999999</v>
      </c>
      <c r="H20" s="660"/>
      <c r="I20" s="658">
        <f>G20-C20</f>
        <v>1849.5999999999985</v>
      </c>
      <c r="J20" s="924"/>
      <c r="K20" s="658">
        <f>G20-E20</f>
        <v>710.59999999999854</v>
      </c>
      <c r="L20" s="971"/>
      <c r="M20" s="924"/>
      <c r="N20" s="924"/>
      <c r="O20" s="924"/>
      <c r="P20" s="924"/>
      <c r="Q20" s="924"/>
      <c r="R20" s="924"/>
      <c r="S20" s="924"/>
      <c r="T20" s="924"/>
      <c r="U20" s="924"/>
      <c r="V20" s="924"/>
      <c r="W20" s="924"/>
      <c r="X20" s="924"/>
    </row>
    <row r="21" spans="1:24">
      <c r="A21" s="820" t="s">
        <v>89</v>
      </c>
      <c r="B21" s="924" t="s">
        <v>15</v>
      </c>
      <c r="C21" s="1122">
        <v>5225</v>
      </c>
      <c r="D21" s="1531"/>
      <c r="E21" s="1122">
        <v>5494</v>
      </c>
      <c r="F21" s="643"/>
      <c r="G21" s="895">
        <f>+'Exhibit H'!AA20</f>
        <v>5510.1</v>
      </c>
      <c r="H21" s="643"/>
      <c r="I21" s="643">
        <f>G21-C21</f>
        <v>285.10000000000036</v>
      </c>
      <c r="J21" s="943"/>
      <c r="K21" s="1531">
        <f t="shared" ref="K21:K24" si="0">G21-E21</f>
        <v>16.100000000000364</v>
      </c>
      <c r="L21" s="971"/>
      <c r="M21" s="924"/>
      <c r="N21" s="924"/>
      <c r="O21" s="924"/>
      <c r="P21" s="924"/>
      <c r="Q21" s="924"/>
      <c r="R21" s="924"/>
      <c r="S21" s="924"/>
      <c r="T21" s="924"/>
      <c r="U21" s="924"/>
      <c r="V21" s="924"/>
      <c r="W21" s="924"/>
      <c r="X21" s="924"/>
    </row>
    <row r="22" spans="1:24">
      <c r="A22" s="820" t="s">
        <v>91</v>
      </c>
      <c r="B22" s="924" t="s">
        <v>15</v>
      </c>
      <c r="C22" s="1122">
        <v>670</v>
      </c>
      <c r="D22" s="1531"/>
      <c r="E22" s="1122">
        <v>642</v>
      </c>
      <c r="F22" s="643"/>
      <c r="G22" s="895">
        <f>+'Exhibit H'!AA24</f>
        <v>675.4</v>
      </c>
      <c r="H22" s="643"/>
      <c r="I22" s="643">
        <f t="shared" ref="I22:I25" si="1">G22-C22</f>
        <v>5.3999999999999773</v>
      </c>
      <c r="J22" s="943"/>
      <c r="K22" s="1531">
        <f t="shared" si="0"/>
        <v>33.399999999999977</v>
      </c>
      <c r="L22" s="971"/>
      <c r="M22" s="924"/>
      <c r="N22" s="924"/>
      <c r="O22" s="924"/>
      <c r="P22" s="924"/>
      <c r="Q22" s="924"/>
      <c r="R22" s="924"/>
      <c r="S22" s="924"/>
      <c r="T22" s="924"/>
      <c r="U22" s="924"/>
      <c r="V22" s="924"/>
      <c r="W22" s="924"/>
      <c r="X22" s="924"/>
    </row>
    <row r="23" spans="1:24" ht="15" customHeight="1">
      <c r="A23" s="820" t="s">
        <v>20</v>
      </c>
      <c r="B23" s="924" t="s">
        <v>15</v>
      </c>
      <c r="C23" s="1122">
        <v>317</v>
      </c>
      <c r="D23" s="1531"/>
      <c r="E23" s="1122">
        <v>338</v>
      </c>
      <c r="F23" s="643"/>
      <c r="G23" s="895">
        <f>+'Exhibit H'!AA47</f>
        <v>344.1</v>
      </c>
      <c r="H23" s="643"/>
      <c r="I23" s="643">
        <f t="shared" si="1"/>
        <v>27.100000000000023</v>
      </c>
      <c r="J23" s="943"/>
      <c r="K23" s="1531">
        <f t="shared" si="0"/>
        <v>6.1000000000000227</v>
      </c>
      <c r="L23" s="971"/>
      <c r="M23" s="924"/>
      <c r="N23" s="924"/>
      <c r="O23" s="924"/>
      <c r="P23" s="924"/>
      <c r="Q23" s="924"/>
      <c r="R23" s="924"/>
      <c r="S23" s="924"/>
      <c r="T23" s="924"/>
      <c r="U23" s="924"/>
      <c r="V23" s="924"/>
      <c r="W23" s="924"/>
      <c r="X23" s="924"/>
    </row>
    <row r="24" spans="1:24" ht="15" customHeight="1">
      <c r="A24" s="820" t="s">
        <v>21</v>
      </c>
      <c r="B24" s="924" t="s">
        <v>15</v>
      </c>
      <c r="C24" s="1122">
        <v>36</v>
      </c>
      <c r="D24" s="1531"/>
      <c r="E24" s="1122">
        <v>37</v>
      </c>
      <c r="F24" s="643"/>
      <c r="G24" s="895">
        <f>+'Exhibit H'!AA49</f>
        <v>36.9</v>
      </c>
      <c r="H24" s="643"/>
      <c r="I24" s="643">
        <f t="shared" si="1"/>
        <v>0.89999999999999858</v>
      </c>
      <c r="J24" s="943"/>
      <c r="K24" s="1531">
        <f t="shared" si="0"/>
        <v>-0.10000000000000142</v>
      </c>
      <c r="L24" s="971"/>
      <c r="M24" s="924"/>
      <c r="N24" s="947"/>
      <c r="O24" s="924"/>
      <c r="P24" s="947"/>
      <c r="Q24" s="948"/>
      <c r="R24" s="924"/>
      <c r="S24" s="924"/>
      <c r="T24" s="924"/>
      <c r="U24" s="924"/>
      <c r="V24" s="924"/>
      <c r="W24" s="924"/>
      <c r="X24" s="924"/>
    </row>
    <row r="25" spans="1:24">
      <c r="A25" s="820" t="s">
        <v>47</v>
      </c>
      <c r="B25" s="948" t="s">
        <v>15</v>
      </c>
      <c r="C25" s="1122">
        <v>3228</v>
      </c>
      <c r="D25" s="1531"/>
      <c r="E25" s="1122">
        <v>1926</v>
      </c>
      <c r="F25" s="643"/>
      <c r="G25" s="1483">
        <f>+'Exhibit H'!AA66</f>
        <v>1968.7</v>
      </c>
      <c r="H25" s="643"/>
      <c r="I25" s="643">
        <f t="shared" si="1"/>
        <v>-1259.3</v>
      </c>
      <c r="J25" s="943"/>
      <c r="K25" s="1531">
        <f>G25-E25</f>
        <v>42.700000000000045</v>
      </c>
      <c r="L25" s="971"/>
      <c r="M25" s="924"/>
      <c r="N25" s="947"/>
      <c r="O25" s="924"/>
      <c r="P25" s="947"/>
      <c r="Q25" s="948"/>
      <c r="R25" s="924"/>
      <c r="S25" s="924"/>
      <c r="T25" s="924"/>
      <c r="U25" s="924"/>
      <c r="V25" s="924"/>
      <c r="W25" s="924"/>
      <c r="X25" s="924"/>
    </row>
    <row r="26" spans="1:24" ht="18" customHeight="1">
      <c r="A26" s="963" t="s">
        <v>108</v>
      </c>
      <c r="B26" s="151" t="s">
        <v>15</v>
      </c>
      <c r="C26" s="215">
        <f>ROUND(SUM(C20:C25),1)</f>
        <v>30752</v>
      </c>
      <c r="D26" s="112"/>
      <c r="E26" s="215">
        <f>ROUND(SUM(E20:E25),1)</f>
        <v>30852</v>
      </c>
      <c r="F26" s="922"/>
      <c r="G26" s="1484">
        <f>ROUND(SUM(G20:G25),1)</f>
        <v>31660.799999999999</v>
      </c>
      <c r="H26" s="922"/>
      <c r="I26" s="215">
        <f>ROUND(SUM(I20:I25),1)</f>
        <v>908.8</v>
      </c>
      <c r="J26" s="76"/>
      <c r="K26" s="215">
        <f>ROUND(SUM(K20:K25),1)</f>
        <v>808.8</v>
      </c>
      <c r="L26" s="971"/>
      <c r="M26" s="151"/>
      <c r="N26" s="151"/>
      <c r="O26" s="151"/>
      <c r="P26" s="151"/>
      <c r="Q26" s="151"/>
      <c r="R26" s="151"/>
      <c r="S26" s="151"/>
      <c r="T26" s="151"/>
      <c r="U26" s="151"/>
      <c r="V26" s="151"/>
      <c r="W26" s="151"/>
      <c r="X26" s="151"/>
    </row>
    <row r="27" spans="1:24">
      <c r="A27" s="690"/>
      <c r="B27" s="924"/>
      <c r="C27" s="688"/>
      <c r="D27" s="895"/>
      <c r="E27" s="688"/>
      <c r="F27" s="643"/>
      <c r="G27" s="1042"/>
      <c r="H27" s="643"/>
      <c r="I27" s="688"/>
      <c r="J27" s="943"/>
      <c r="K27" s="688"/>
      <c r="L27" s="971"/>
      <c r="M27" s="924"/>
      <c r="N27" s="924"/>
      <c r="O27" s="924"/>
      <c r="P27" s="924"/>
      <c r="Q27" s="924"/>
      <c r="R27" s="924"/>
      <c r="S27" s="924"/>
      <c r="T27" s="924"/>
      <c r="U27" s="924"/>
      <c r="V27" s="924"/>
      <c r="W27" s="924"/>
      <c r="X27" s="924"/>
    </row>
    <row r="28" spans="1:24" ht="15.75">
      <c r="A28" s="29" t="s">
        <v>23</v>
      </c>
      <c r="B28" s="924"/>
      <c r="C28" s="643"/>
      <c r="D28" s="895"/>
      <c r="E28" s="1531"/>
      <c r="F28" s="643"/>
      <c r="G28" s="895"/>
      <c r="H28" s="643"/>
      <c r="I28" s="643"/>
      <c r="J28" s="943"/>
      <c r="K28" s="643"/>
      <c r="L28" s="971"/>
      <c r="M28" s="924"/>
      <c r="N28" s="924"/>
      <c r="O28" s="924"/>
      <c r="P28" s="924"/>
      <c r="Q28" s="924"/>
      <c r="R28" s="924"/>
      <c r="S28" s="924"/>
      <c r="T28" s="924"/>
      <c r="U28" s="924"/>
      <c r="V28" s="924"/>
      <c r="W28" s="924"/>
      <c r="X28" s="924"/>
    </row>
    <row r="29" spans="1:24">
      <c r="A29" s="820" t="s">
        <v>94</v>
      </c>
      <c r="B29" s="945" t="s">
        <v>15</v>
      </c>
      <c r="C29" s="1122">
        <v>22</v>
      </c>
      <c r="D29" s="1531"/>
      <c r="E29" s="1122">
        <v>24</v>
      </c>
      <c r="F29" s="643"/>
      <c r="G29" s="684">
        <f>+'Exhibit H'!AA55</f>
        <v>24</v>
      </c>
      <c r="H29" s="643"/>
      <c r="I29" s="1531">
        <f t="shared" ref="I29:I31" si="2">G29-C29</f>
        <v>2</v>
      </c>
      <c r="J29" s="943"/>
      <c r="K29" s="1531">
        <f t="shared" ref="K29:K31" si="3">G29-E29</f>
        <v>0</v>
      </c>
      <c r="L29" s="971"/>
      <c r="M29" s="924"/>
      <c r="N29" s="945"/>
      <c r="O29" s="924"/>
      <c r="P29" s="947"/>
      <c r="Q29" s="924"/>
      <c r="R29" s="924"/>
      <c r="S29" s="947"/>
      <c r="T29" s="947"/>
      <c r="U29" s="924"/>
      <c r="V29" s="947"/>
      <c r="W29" s="924"/>
      <c r="X29" s="947"/>
    </row>
    <row r="30" spans="1:24" ht="14.25" customHeight="1">
      <c r="A30" s="820" t="s">
        <v>95</v>
      </c>
      <c r="B30" s="948" t="s">
        <v>15</v>
      </c>
      <c r="C30" s="1122">
        <v>1609</v>
      </c>
      <c r="D30" s="1531"/>
      <c r="E30" s="1122">
        <v>2590</v>
      </c>
      <c r="F30" s="643"/>
      <c r="G30" s="1122">
        <f>+'Exhibit H'!AA57</f>
        <v>2589.6</v>
      </c>
      <c r="H30" s="643"/>
      <c r="I30" s="1531">
        <f t="shared" si="2"/>
        <v>980.59999999999991</v>
      </c>
      <c r="J30" s="943"/>
      <c r="K30" s="1531">
        <f t="shared" si="3"/>
        <v>-0.40000000000009095</v>
      </c>
      <c r="L30" s="971"/>
      <c r="M30" s="924"/>
      <c r="N30" s="945"/>
      <c r="O30" s="924"/>
      <c r="P30" s="924"/>
      <c r="Q30" s="924"/>
      <c r="R30" s="924"/>
      <c r="S30" s="947"/>
      <c r="T30" s="947"/>
      <c r="U30" s="924"/>
      <c r="V30" s="947"/>
      <c r="W30" s="924"/>
      <c r="X30" s="947"/>
    </row>
    <row r="31" spans="1:24">
      <c r="A31" s="820" t="s">
        <v>98</v>
      </c>
      <c r="B31" s="948" t="s">
        <v>15</v>
      </c>
      <c r="C31" s="1122">
        <v>20380</v>
      </c>
      <c r="D31" s="1531"/>
      <c r="E31" s="1122">
        <v>21402</v>
      </c>
      <c r="F31" s="643"/>
      <c r="G31" s="684">
        <f>-'Exhibit H'!AA67</f>
        <v>21901.4</v>
      </c>
      <c r="H31" s="643"/>
      <c r="I31" s="1531">
        <f t="shared" si="2"/>
        <v>1521.4000000000015</v>
      </c>
      <c r="J31" s="943"/>
      <c r="K31" s="1531">
        <f t="shared" si="3"/>
        <v>499.40000000000146</v>
      </c>
      <c r="L31" s="971"/>
      <c r="M31" s="924"/>
      <c r="N31" s="947"/>
      <c r="O31" s="924"/>
      <c r="P31" s="947"/>
      <c r="Q31" s="948"/>
      <c r="R31" s="924"/>
      <c r="S31" s="924"/>
      <c r="T31" s="924"/>
      <c r="U31" s="924"/>
      <c r="V31" s="924"/>
      <c r="W31" s="924"/>
      <c r="X31" s="924"/>
    </row>
    <row r="32" spans="1:24" ht="18" customHeight="1">
      <c r="A32" s="963" t="s">
        <v>117</v>
      </c>
      <c r="B32" s="151" t="s">
        <v>15</v>
      </c>
      <c r="C32" s="215">
        <f>ROUND(SUM(C29:C31),1)</f>
        <v>22011</v>
      </c>
      <c r="D32" s="112"/>
      <c r="E32" s="215">
        <f>ROUND(SUM(E29:E31),1)</f>
        <v>24016</v>
      </c>
      <c r="F32" s="922"/>
      <c r="G32" s="1484">
        <f>ROUND(SUM(G29:G31),1)</f>
        <v>24515</v>
      </c>
      <c r="H32" s="922"/>
      <c r="I32" s="215">
        <f>ROUND(SUM(I29:I31),1)</f>
        <v>2504</v>
      </c>
      <c r="J32" s="76"/>
      <c r="K32" s="215">
        <f>ROUND(SUM(K29:K31),1)</f>
        <v>499</v>
      </c>
      <c r="L32" s="971"/>
      <c r="M32" s="151"/>
      <c r="N32" s="151"/>
      <c r="O32" s="151"/>
      <c r="P32" s="151"/>
      <c r="Q32" s="151"/>
      <c r="R32" s="151"/>
      <c r="S32" s="151"/>
      <c r="T32" s="151"/>
      <c r="U32" s="151"/>
      <c r="V32" s="151"/>
      <c r="W32" s="151"/>
      <c r="X32" s="151"/>
    </row>
    <row r="33" spans="1:24">
      <c r="A33" s="690"/>
      <c r="B33" s="924"/>
      <c r="C33" s="688"/>
      <c r="D33" s="895"/>
      <c r="E33" s="688"/>
      <c r="F33" s="643"/>
      <c r="G33" s="1042"/>
      <c r="H33" s="643"/>
      <c r="I33" s="688"/>
      <c r="J33" s="943"/>
      <c r="K33" s="688"/>
      <c r="L33" s="971"/>
      <c r="M33" s="924"/>
      <c r="N33" s="924"/>
      <c r="O33" s="924"/>
      <c r="P33" s="924"/>
      <c r="Q33" s="924"/>
      <c r="R33" s="924"/>
      <c r="S33" s="924"/>
      <c r="T33" s="924"/>
      <c r="U33" s="924"/>
      <c r="V33" s="924"/>
      <c r="W33" s="924"/>
      <c r="X33" s="924"/>
    </row>
    <row r="34" spans="1:24" ht="15.75">
      <c r="A34" s="29" t="s">
        <v>118</v>
      </c>
      <c r="B34" s="924"/>
      <c r="C34" s="643"/>
      <c r="D34" s="895"/>
      <c r="E34" s="1531"/>
      <c r="F34" s="643"/>
      <c r="G34" s="895"/>
      <c r="H34" s="643"/>
      <c r="I34" s="643"/>
      <c r="J34" s="943"/>
      <c r="K34" s="643"/>
      <c r="L34" s="971"/>
      <c r="M34" s="924"/>
      <c r="N34" s="924"/>
      <c r="O34" s="924"/>
      <c r="P34" s="924"/>
      <c r="Q34" s="924"/>
      <c r="R34" s="924"/>
      <c r="S34" s="924"/>
      <c r="T34" s="924"/>
      <c r="U34" s="924"/>
      <c r="V34" s="924"/>
      <c r="W34" s="924"/>
      <c r="X34" s="924"/>
    </row>
    <row r="35" spans="1:24" ht="15.75">
      <c r="A35" s="29" t="s">
        <v>119</v>
      </c>
      <c r="B35" s="924"/>
      <c r="C35" s="643"/>
      <c r="D35" s="895"/>
      <c r="E35" s="1531"/>
      <c r="F35" s="643"/>
      <c r="G35" s="895"/>
      <c r="H35" s="643"/>
      <c r="I35" s="643"/>
      <c r="J35" s="943"/>
      <c r="K35" s="643"/>
      <c r="L35" s="971"/>
      <c r="M35" s="924"/>
      <c r="N35" s="924"/>
      <c r="O35" s="924"/>
      <c r="P35" s="924"/>
      <c r="Q35" s="924"/>
      <c r="R35" s="924"/>
      <c r="S35" s="924"/>
      <c r="T35" s="924"/>
      <c r="U35" s="924"/>
      <c r="V35" s="924"/>
      <c r="W35" s="924"/>
      <c r="X35" s="924"/>
    </row>
    <row r="36" spans="1:24" ht="15.75">
      <c r="A36" s="963" t="s">
        <v>102</v>
      </c>
      <c r="B36" s="962" t="s">
        <v>15</v>
      </c>
      <c r="C36" s="76">
        <f>C26-C32</f>
        <v>8741</v>
      </c>
      <c r="D36" s="1105"/>
      <c r="E36" s="1532">
        <f>E26-E32</f>
        <v>6836</v>
      </c>
      <c r="F36" s="84"/>
      <c r="G36" s="115">
        <f>ROUND(SUM(G26)-SUM(G32),1)</f>
        <v>7145.8</v>
      </c>
      <c r="H36" s="84"/>
      <c r="I36" s="76">
        <f>ROUND(SUM(I26)-SUM(I32),1)</f>
        <v>-1595.2</v>
      </c>
      <c r="J36" s="392"/>
      <c r="K36" s="76">
        <f>ROUND(SUM(K26)-SUM(K32),1)</f>
        <v>309.8</v>
      </c>
      <c r="L36" s="971"/>
      <c r="M36" s="174"/>
      <c r="N36" s="151"/>
      <c r="O36" s="174"/>
      <c r="P36" s="151"/>
      <c r="Q36" s="151"/>
      <c r="R36" s="174"/>
      <c r="S36" s="151"/>
      <c r="T36" s="151"/>
      <c r="U36" s="174"/>
      <c r="V36" s="151"/>
      <c r="W36" s="174"/>
      <c r="X36" s="151"/>
    </row>
    <row r="37" spans="1:24" ht="15" customHeight="1">
      <c r="C37" s="670"/>
      <c r="D37" s="1651"/>
      <c r="E37" s="670"/>
      <c r="F37" s="932"/>
      <c r="G37" s="1485"/>
      <c r="H37" s="932"/>
      <c r="I37" s="670"/>
      <c r="J37" s="670"/>
      <c r="K37" s="670"/>
      <c r="L37" s="971"/>
    </row>
    <row r="38" spans="1:24" ht="15.75">
      <c r="A38" s="978" t="str">
        <f>'Exh D-Governmental  '!A49</f>
        <v>Fund Balances (Deficits) at April 1</v>
      </c>
      <c r="B38" s="622" t="s">
        <v>15</v>
      </c>
      <c r="C38" s="115">
        <v>63</v>
      </c>
      <c r="D38" s="1651"/>
      <c r="E38" s="115">
        <v>63</v>
      </c>
      <c r="F38" s="932"/>
      <c r="G38" s="115">
        <f>'Exhibit H'!AA12</f>
        <v>63.4</v>
      </c>
      <c r="H38" s="932"/>
      <c r="I38" s="81">
        <f>G38-C38</f>
        <v>0.39999999999999858</v>
      </c>
      <c r="J38" s="670"/>
      <c r="K38" s="922">
        <f>G38-E38</f>
        <v>0.39999999999999858</v>
      </c>
      <c r="L38" s="971"/>
    </row>
    <row r="39" spans="1:24" ht="18" customHeight="1" thickBot="1">
      <c r="A39" s="1380" t="str">
        <f>+'Exh D-Governmental  '!A50</f>
        <v>Fund Balances (Deficits) at January 31, 2021</v>
      </c>
      <c r="B39" s="180" t="s">
        <v>15</v>
      </c>
      <c r="C39" s="98">
        <f>ROUND(SUM(C36:C38),1)</f>
        <v>8804</v>
      </c>
      <c r="D39" s="181"/>
      <c r="E39" s="98">
        <f>ROUND(SUM(E36:E38),1)</f>
        <v>6899</v>
      </c>
      <c r="F39" s="181"/>
      <c r="G39" s="1486">
        <f>ROUND(SUM(G36:G38),1)</f>
        <v>7209.2</v>
      </c>
      <c r="H39" s="181"/>
      <c r="I39" s="98">
        <f>ROUND(SUM(I36:I38),1)</f>
        <v>-1594.8</v>
      </c>
      <c r="K39" s="98">
        <f>ROUND(SUM(K36:K38),1)</f>
        <v>310.2</v>
      </c>
      <c r="L39" s="971"/>
    </row>
    <row r="40" spans="1:24" ht="15" customHeight="1" thickTop="1">
      <c r="A40" s="155"/>
      <c r="C40" s="689"/>
      <c r="D40" s="949"/>
      <c r="E40" s="689"/>
      <c r="F40" s="949"/>
      <c r="G40" s="949"/>
      <c r="H40" s="949"/>
      <c r="I40" s="949"/>
      <c r="K40" s="949"/>
    </row>
    <row r="41" spans="1:24">
      <c r="A41" s="936" t="str">
        <f>'Exh D-Governmental  '!A52</f>
        <v>(*)    Source: 2020-21 Enacted Financial Plan dated April 25, 2020.</v>
      </c>
    </row>
    <row r="42" spans="1:24">
      <c r="A42" s="936" t="str">
        <f>'Exh D-Governmental  '!A53</f>
        <v>(**)   Source: 2021-22 Executive Budget dated January 19, 2021.</v>
      </c>
    </row>
    <row r="43" spans="1:24">
      <c r="A43" s="950"/>
    </row>
    <row r="44" spans="1:24">
      <c r="A44" s="950"/>
    </row>
    <row r="46" spans="1:24">
      <c r="A46" s="204"/>
    </row>
    <row r="47" spans="1:24">
      <c r="A47" s="204"/>
    </row>
  </sheetData>
  <mergeCells count="2">
    <mergeCell ref="C11:I11"/>
    <mergeCell ref="A5:E5"/>
  </mergeCells>
  <printOptions horizontalCentered="1"/>
  <pageMargins left="0.75" right="0.75" top="0.75" bottom="0.75" header="0.5" footer="0.25"/>
  <pageSetup scale="76" firstPageNumber="12" orientation="landscape" useFirstPageNumber="1" r:id="rId1"/>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9"/>
  <sheetViews>
    <sheetView showGridLines="0" zoomScale="90" workbookViewId="0"/>
  </sheetViews>
  <sheetFormatPr defaultColWidth="8.6640625" defaultRowHeight="15"/>
  <cols>
    <col min="1" max="1" width="54" style="931" customWidth="1"/>
    <col min="2" max="2" width="2.109375" style="935" customWidth="1"/>
    <col min="3" max="3" width="18.109375" style="425" bestFit="1" customWidth="1"/>
    <col min="4" max="4" width="0.6640625" style="935" customWidth="1"/>
    <col min="5" max="5" width="15.44140625" style="425" customWidth="1"/>
    <col min="6" max="6" width="0.6640625" style="935" customWidth="1"/>
    <col min="7" max="7" width="14" style="935" customWidth="1"/>
    <col min="8" max="8" width="1.44140625" style="935" customWidth="1"/>
    <col min="9" max="9" width="15" style="935" customWidth="1"/>
    <col min="10" max="10" width="1.5546875" style="935" customWidth="1"/>
    <col min="11" max="11" width="15" style="935" customWidth="1"/>
    <col min="12" max="12" width="1" style="935" customWidth="1"/>
    <col min="13" max="13" width="15.109375" style="951" customWidth="1"/>
    <col min="14" max="14" width="1" style="935" customWidth="1"/>
    <col min="15" max="15" width="14" style="935" customWidth="1"/>
    <col min="16" max="19" width="8.6640625" style="935"/>
    <col min="20" max="16384" width="8.6640625" style="931"/>
  </cols>
  <sheetData>
    <row r="1" spans="1:34">
      <c r="A1" s="644" t="s">
        <v>963</v>
      </c>
    </row>
    <row r="2" spans="1:34" ht="16.5">
      <c r="A2" s="185"/>
      <c r="B2" s="187"/>
      <c r="C2" s="419"/>
      <c r="D2" s="187"/>
      <c r="E2" s="419"/>
      <c r="F2" s="187"/>
      <c r="G2" s="187"/>
      <c r="H2" s="187"/>
      <c r="I2" s="187"/>
      <c r="J2" s="187"/>
      <c r="K2" s="187"/>
      <c r="L2" s="187"/>
      <c r="M2" s="1640"/>
    </row>
    <row r="3" spans="1:34" ht="17.25" customHeight="1">
      <c r="A3" s="191" t="s">
        <v>0</v>
      </c>
      <c r="B3" s="148"/>
      <c r="C3" s="421"/>
      <c r="D3" s="143"/>
      <c r="E3" s="422"/>
      <c r="F3" s="143"/>
      <c r="G3" s="143"/>
      <c r="H3" s="143"/>
      <c r="I3" s="143"/>
      <c r="J3" s="143"/>
      <c r="K3" s="143"/>
      <c r="L3" s="143"/>
      <c r="M3" s="822"/>
      <c r="O3" s="822" t="s">
        <v>83</v>
      </c>
    </row>
    <row r="4" spans="1:34" ht="17.25" customHeight="1">
      <c r="A4" s="191" t="s">
        <v>82</v>
      </c>
      <c r="B4" s="148"/>
      <c r="C4" s="421"/>
      <c r="D4" s="143"/>
      <c r="E4" s="422"/>
      <c r="F4" s="143"/>
      <c r="G4" s="143"/>
      <c r="H4" s="143"/>
      <c r="I4" s="143"/>
      <c r="J4" s="143"/>
      <c r="K4" s="143"/>
      <c r="L4" s="143"/>
      <c r="M4" s="823"/>
      <c r="O4" s="823"/>
    </row>
    <row r="5" spans="1:34" ht="17.25" customHeight="1">
      <c r="A5" s="3944" t="str">
        <f>'Exh D-Governmental  '!A5:E5</f>
        <v>FISCAL YEAR 2020-2021</v>
      </c>
      <c r="B5" s="3945"/>
      <c r="C5" s="3945"/>
      <c r="D5" s="3945"/>
      <c r="E5" s="3945"/>
      <c r="F5" s="143"/>
      <c r="G5" s="143"/>
      <c r="H5" s="143"/>
      <c r="I5" s="143"/>
      <c r="J5" s="143"/>
      <c r="K5" s="143"/>
      <c r="L5" s="143"/>
      <c r="M5" s="148"/>
    </row>
    <row r="6" spans="1:34" ht="17.25" customHeight="1">
      <c r="A6" s="1474" t="str">
        <f>+'Exh D-Governmental  '!A6</f>
        <v xml:space="preserve">FOR TEN MONTHS ENDED JANUARY 31, 2021    </v>
      </c>
      <c r="B6" s="147"/>
      <c r="C6" s="421"/>
      <c r="D6" s="143"/>
      <c r="E6" s="422"/>
      <c r="F6" s="143"/>
      <c r="G6" s="143"/>
      <c r="H6" s="143"/>
      <c r="I6" s="143"/>
      <c r="J6" s="143"/>
      <c r="K6" s="143"/>
      <c r="L6" s="143"/>
      <c r="M6" s="148"/>
      <c r="N6" s="143"/>
      <c r="O6" s="156"/>
      <c r="P6" s="156"/>
      <c r="Q6" s="156"/>
      <c r="R6" s="156"/>
      <c r="S6" s="156"/>
      <c r="T6" s="156"/>
      <c r="U6" s="156"/>
      <c r="V6" s="156"/>
      <c r="W6" s="156"/>
      <c r="X6" s="156"/>
      <c r="Y6" s="156"/>
      <c r="Z6" s="156"/>
      <c r="AA6" s="156"/>
      <c r="AB6" s="156"/>
      <c r="AC6" s="622"/>
      <c r="AD6" s="622"/>
      <c r="AE6" s="622"/>
      <c r="AF6" s="622"/>
      <c r="AG6" s="622"/>
      <c r="AH6" s="935"/>
    </row>
    <row r="7" spans="1:34" ht="18">
      <c r="A7" s="191" t="s">
        <v>1364</v>
      </c>
      <c r="B7" s="148"/>
      <c r="C7" s="421"/>
      <c r="D7" s="143"/>
      <c r="E7" s="422"/>
      <c r="F7" s="143"/>
      <c r="G7" s="143"/>
      <c r="H7" s="143"/>
      <c r="I7" s="143"/>
      <c r="J7" s="143"/>
      <c r="K7" s="143"/>
      <c r="L7" s="143"/>
      <c r="M7" s="148"/>
    </row>
    <row r="8" spans="1:34" ht="18">
      <c r="A8" s="193"/>
      <c r="B8" s="148"/>
      <c r="C8" s="964"/>
      <c r="D8" s="156"/>
      <c r="E8" s="422"/>
      <c r="F8" s="143"/>
      <c r="G8" s="143"/>
      <c r="H8" s="143"/>
      <c r="I8" s="143"/>
      <c r="J8" s="143"/>
      <c r="K8" s="143"/>
      <c r="L8" s="143"/>
      <c r="M8" s="148"/>
    </row>
    <row r="9" spans="1:34">
      <c r="A9" s="150"/>
      <c r="B9" s="143"/>
      <c r="C9" s="1184"/>
      <c r="D9" s="156"/>
      <c r="E9" s="422"/>
      <c r="F9" s="143"/>
      <c r="G9" s="143"/>
      <c r="H9" s="143"/>
      <c r="I9" s="143"/>
      <c r="J9" s="143"/>
      <c r="K9" s="143"/>
      <c r="L9" s="143"/>
      <c r="M9" s="148"/>
    </row>
    <row r="10" spans="1:34">
      <c r="A10" s="150"/>
      <c r="B10" s="143"/>
      <c r="C10" s="964"/>
      <c r="D10" s="147"/>
      <c r="E10" s="421"/>
      <c r="F10" s="148"/>
      <c r="G10" s="148"/>
      <c r="H10" s="148"/>
      <c r="I10" s="148"/>
      <c r="J10" s="148"/>
      <c r="K10" s="148"/>
      <c r="L10" s="148"/>
      <c r="M10" s="148"/>
      <c r="N10" s="951"/>
    </row>
    <row r="11" spans="1:34" ht="15.75">
      <c r="A11" s="690"/>
      <c r="B11" s="151"/>
      <c r="C11" s="1179"/>
      <c r="D11" s="1190"/>
      <c r="E11" s="1179"/>
      <c r="F11" s="1188"/>
      <c r="G11" s="1198"/>
      <c r="H11" s="1188"/>
      <c r="I11" s="1417" t="s">
        <v>1130</v>
      </c>
      <c r="J11" s="1638"/>
      <c r="K11" s="1638"/>
      <c r="L11" s="1638"/>
      <c r="M11" s="1188"/>
      <c r="N11" s="1191"/>
      <c r="O11" s="1176"/>
    </row>
    <row r="12" spans="1:34" ht="15.75">
      <c r="A12" s="690"/>
      <c r="B12" s="151"/>
      <c r="C12" s="152"/>
      <c r="D12" s="152"/>
      <c r="E12" s="152"/>
      <c r="F12" s="152"/>
      <c r="G12" s="152"/>
      <c r="H12" s="152"/>
      <c r="I12" s="152"/>
      <c r="J12" s="152"/>
      <c r="K12" s="152"/>
      <c r="L12" s="152"/>
      <c r="M12" s="199" t="s">
        <v>84</v>
      </c>
      <c r="N12" s="153"/>
      <c r="O12" s="153" t="s">
        <v>84</v>
      </c>
    </row>
    <row r="13" spans="1:34" ht="15.75">
      <c r="A13" s="690"/>
      <c r="B13" s="151"/>
      <c r="C13" s="152"/>
      <c r="D13" s="152"/>
      <c r="E13" s="152"/>
      <c r="F13" s="152"/>
      <c r="G13" s="152"/>
      <c r="H13" s="152"/>
      <c r="I13" s="152"/>
      <c r="J13" s="152"/>
      <c r="K13" s="152"/>
      <c r="L13" s="152"/>
      <c r="M13" s="199" t="s">
        <v>874</v>
      </c>
      <c r="N13" s="153"/>
      <c r="O13" s="153" t="s">
        <v>874</v>
      </c>
    </row>
    <row r="14" spans="1:34" ht="15.75">
      <c r="A14" s="690"/>
      <c r="B14" s="151"/>
      <c r="C14" s="154" t="s">
        <v>1075</v>
      </c>
      <c r="D14" s="152"/>
      <c r="E14" s="153" t="s">
        <v>1076</v>
      </c>
      <c r="F14" s="152"/>
      <c r="G14" s="152"/>
      <c r="H14" s="152"/>
      <c r="I14" s="152"/>
      <c r="J14" s="152"/>
      <c r="K14" s="152"/>
      <c r="L14" s="152"/>
      <c r="M14" s="199" t="s">
        <v>85</v>
      </c>
      <c r="N14" s="153"/>
      <c r="O14" s="153" t="s">
        <v>85</v>
      </c>
    </row>
    <row r="15" spans="1:34" ht="15.75" customHeight="1">
      <c r="A15" s="690"/>
      <c r="B15" s="151"/>
      <c r="C15" s="153" t="s">
        <v>1112</v>
      </c>
      <c r="D15" s="152"/>
      <c r="E15" s="153" t="s">
        <v>1112</v>
      </c>
      <c r="F15" s="152"/>
      <c r="G15" s="152"/>
      <c r="H15" s="152"/>
      <c r="I15" s="152"/>
      <c r="J15" s="152"/>
      <c r="K15" s="152"/>
      <c r="L15" s="152"/>
      <c r="M15" s="199" t="s">
        <v>1075</v>
      </c>
      <c r="N15" s="153"/>
      <c r="O15" s="153" t="s">
        <v>1076</v>
      </c>
    </row>
    <row r="16" spans="1:34" ht="15.75">
      <c r="A16" s="690"/>
      <c r="B16" s="151"/>
      <c r="C16" s="153" t="s">
        <v>1113</v>
      </c>
      <c r="D16" s="152"/>
      <c r="E16" s="153" t="s">
        <v>1504</v>
      </c>
      <c r="F16" s="152"/>
      <c r="G16" s="154" t="s">
        <v>84</v>
      </c>
      <c r="H16" s="152"/>
      <c r="I16" s="1211" t="s">
        <v>1249</v>
      </c>
      <c r="J16" s="152"/>
      <c r="K16" s="1211" t="s">
        <v>800</v>
      </c>
      <c r="L16" s="152"/>
      <c r="M16" s="199" t="s">
        <v>86</v>
      </c>
      <c r="N16" s="153"/>
      <c r="O16" s="153" t="s">
        <v>86</v>
      </c>
    </row>
    <row r="17" spans="1:34">
      <c r="A17" s="155"/>
      <c r="B17" s="156"/>
      <c r="C17" s="157"/>
      <c r="D17" s="156"/>
      <c r="E17" s="157"/>
      <c r="F17" s="143"/>
      <c r="G17" s="157"/>
      <c r="H17" s="143"/>
      <c r="I17" s="143"/>
      <c r="J17" s="143"/>
      <c r="K17" s="143"/>
      <c r="L17" s="143"/>
      <c r="M17" s="1641"/>
      <c r="O17" s="157"/>
    </row>
    <row r="18" spans="1:34" ht="15.75">
      <c r="A18" s="29" t="s">
        <v>14</v>
      </c>
      <c r="B18" s="924"/>
      <c r="C18" s="657"/>
      <c r="D18" s="924"/>
      <c r="E18" s="657"/>
      <c r="F18" s="657"/>
      <c r="G18" s="657" t="s">
        <v>15</v>
      </c>
      <c r="H18" s="657"/>
      <c r="I18" s="657"/>
      <c r="J18" s="657"/>
      <c r="K18" s="657"/>
      <c r="L18" s="657"/>
      <c r="M18" s="1642"/>
      <c r="O18" s="657"/>
    </row>
    <row r="19" spans="1:34">
      <c r="A19" s="820" t="s">
        <v>87</v>
      </c>
      <c r="B19" s="925" t="s">
        <v>15</v>
      </c>
      <c r="C19" s="658"/>
      <c r="D19" s="971"/>
      <c r="E19" s="658"/>
      <c r="F19" s="658"/>
      <c r="G19" s="953"/>
      <c r="H19" s="660"/>
      <c r="I19" s="660"/>
      <c r="J19" s="660"/>
      <c r="K19" s="660"/>
      <c r="L19" s="660"/>
      <c r="M19" s="894"/>
      <c r="N19" s="924"/>
      <c r="O19" s="658"/>
      <c r="P19" s="924"/>
      <c r="Q19" s="924"/>
      <c r="R19" s="924"/>
      <c r="S19" s="924"/>
      <c r="T19" s="924"/>
      <c r="U19" s="924"/>
      <c r="V19" s="924"/>
      <c r="W19" s="924"/>
      <c r="X19" s="924"/>
      <c r="Y19" s="924"/>
      <c r="Z19" s="924"/>
      <c r="AA19" s="924"/>
      <c r="AB19" s="924"/>
      <c r="AC19" s="622"/>
      <c r="AD19" s="622"/>
      <c r="AE19" s="622"/>
      <c r="AF19" s="622"/>
      <c r="AG19" s="622"/>
      <c r="AH19" s="935"/>
    </row>
    <row r="20" spans="1:34">
      <c r="A20" s="820" t="s">
        <v>89</v>
      </c>
      <c r="B20" s="924" t="s">
        <v>15</v>
      </c>
      <c r="C20" s="941">
        <f>'Exh D Captl Projects State Fed'!C20+'Exh D Captl Projects State Fed'!M20</f>
        <v>458</v>
      </c>
      <c r="D20" s="943"/>
      <c r="E20" s="941">
        <f>'Exh D Captl Projects State Fed'!E20+'Exh D Captl Projects State Fed'!O20</f>
        <v>441</v>
      </c>
      <c r="F20" s="659"/>
      <c r="G20" s="941">
        <f>+'Exh D Captl Projects State Fed'!G20</f>
        <v>438.4</v>
      </c>
      <c r="H20" s="659"/>
      <c r="I20" s="941">
        <v>0</v>
      </c>
      <c r="J20" s="659"/>
      <c r="K20" s="1646">
        <f>+G20+I20</f>
        <v>438.4</v>
      </c>
      <c r="L20" s="659"/>
      <c r="M20" s="894">
        <f>ROUND(SUM(K20)-SUM(C20),1)</f>
        <v>-19.600000000000001</v>
      </c>
      <c r="N20" s="924"/>
      <c r="O20" s="894">
        <f>ROUND(SUM(K20)-SUM(E20),1)</f>
        <v>-2.6</v>
      </c>
      <c r="P20" s="924"/>
      <c r="Q20" s="924"/>
      <c r="R20" s="924"/>
      <c r="S20" s="924"/>
      <c r="T20" s="924"/>
      <c r="U20" s="924"/>
      <c r="V20" s="924"/>
      <c r="W20" s="924"/>
      <c r="X20" s="924"/>
      <c r="Y20" s="924"/>
      <c r="Z20" s="924"/>
      <c r="AA20" s="924"/>
      <c r="AB20" s="924"/>
      <c r="AC20" s="622"/>
      <c r="AD20" s="622"/>
      <c r="AE20" s="622"/>
      <c r="AF20" s="622"/>
      <c r="AG20" s="622"/>
      <c r="AH20" s="935"/>
    </row>
    <row r="21" spans="1:34">
      <c r="A21" s="820" t="s">
        <v>90</v>
      </c>
      <c r="B21" s="925" t="s">
        <v>15</v>
      </c>
      <c r="C21" s="686">
        <f>'Exh D Captl Projects State Fed'!C21+'Exh D Captl Projects State Fed'!M21</f>
        <v>478</v>
      </c>
      <c r="D21" s="943"/>
      <c r="E21" s="686">
        <f>'Exh D Captl Projects State Fed'!E21+'Exh D Captl Projects State Fed'!O21</f>
        <v>461</v>
      </c>
      <c r="F21" s="659"/>
      <c r="G21" s="686">
        <f>+'Exh D Captl Projects State Fed'!G21</f>
        <v>452.8</v>
      </c>
      <c r="H21" s="659"/>
      <c r="I21" s="659">
        <v>0</v>
      </c>
      <c r="J21" s="659"/>
      <c r="K21" s="3104">
        <f t="shared" ref="K21:K26" si="0">+G21+I21</f>
        <v>452.8</v>
      </c>
      <c r="L21" s="659"/>
      <c r="M21" s="895">
        <f t="shared" ref="M21:M26" si="1">ROUND(SUM(K21)-SUM(C21),1)</f>
        <v>-25.2</v>
      </c>
      <c r="N21" s="945"/>
      <c r="O21" s="895">
        <f t="shared" ref="O21:O26" si="2">K21-E21</f>
        <v>-8.1999999999999886</v>
      </c>
      <c r="P21" s="924"/>
      <c r="Q21" s="945"/>
      <c r="R21" s="924"/>
      <c r="S21" s="945"/>
      <c r="T21" s="924"/>
      <c r="U21" s="924"/>
      <c r="V21" s="945"/>
      <c r="W21" s="924"/>
      <c r="X21" s="924"/>
      <c r="Y21" s="945"/>
      <c r="Z21" s="203"/>
      <c r="AA21" s="945"/>
      <c r="AB21" s="924"/>
      <c r="AC21" s="622"/>
      <c r="AD21" s="622"/>
      <c r="AE21" s="622"/>
      <c r="AF21" s="622"/>
      <c r="AG21" s="622"/>
      <c r="AH21" s="935"/>
    </row>
    <row r="22" spans="1:34">
      <c r="A22" s="820" t="s">
        <v>91</v>
      </c>
      <c r="B22" s="924" t="s">
        <v>15</v>
      </c>
      <c r="C22" s="686">
        <f>'Exh D Captl Projects State Fed'!C22+'Exh D Captl Projects State Fed'!M22</f>
        <v>96</v>
      </c>
      <c r="D22" s="943"/>
      <c r="E22" s="686">
        <f>'Exh D Captl Projects State Fed'!E22+'Exh D Captl Projects State Fed'!O22</f>
        <v>95</v>
      </c>
      <c r="F22" s="659"/>
      <c r="G22" s="686">
        <f>+'Exh D Captl Projects State Fed'!G22</f>
        <v>95.3</v>
      </c>
      <c r="H22" s="659"/>
      <c r="I22" s="659">
        <v>0</v>
      </c>
      <c r="J22" s="659"/>
      <c r="K22" s="1647">
        <f>+G22+I22</f>
        <v>95.3</v>
      </c>
      <c r="L22" s="659"/>
      <c r="M22" s="895">
        <f t="shared" si="1"/>
        <v>-0.7</v>
      </c>
      <c r="N22" s="924"/>
      <c r="O22" s="895">
        <f t="shared" si="2"/>
        <v>0.29999999999999716</v>
      </c>
      <c r="P22" s="924"/>
      <c r="Q22" s="924"/>
      <c r="R22" s="924"/>
      <c r="S22" s="924"/>
      <c r="T22" s="924"/>
      <c r="U22" s="924"/>
      <c r="V22" s="924"/>
      <c r="W22" s="924"/>
      <c r="X22" s="924"/>
      <c r="Y22" s="924"/>
      <c r="Z22" s="924"/>
      <c r="AA22" s="924"/>
      <c r="AB22" s="924"/>
      <c r="AC22" s="622"/>
      <c r="AD22" s="622"/>
      <c r="AE22" s="622"/>
      <c r="AF22" s="622"/>
      <c r="AG22" s="622"/>
      <c r="AH22" s="935"/>
    </row>
    <row r="23" spans="1:34">
      <c r="A23" s="820" t="s">
        <v>20</v>
      </c>
      <c r="B23" s="924" t="s">
        <v>15</v>
      </c>
      <c r="C23" s="686">
        <f>'Exh D Captl Projects State Fed'!C23+'Exh D Captl Projects State Fed'!M23</f>
        <v>6466</v>
      </c>
      <c r="D23" s="943"/>
      <c r="E23" s="686">
        <f>'Exh D Captl Projects State Fed'!E23+'Exh D Captl Projects State Fed'!O23</f>
        <v>5006</v>
      </c>
      <c r="F23" s="643"/>
      <c r="G23" s="643">
        <f>+'Exh D Captl Projects State Fed'!G23+'Exh D Captl Projects State Fed'!Q23</f>
        <v>4838.8</v>
      </c>
      <c r="H23" s="643"/>
      <c r="I23" s="1531">
        <v>0</v>
      </c>
      <c r="J23" s="1531"/>
      <c r="K23" s="1647">
        <f t="shared" si="0"/>
        <v>4838.8</v>
      </c>
      <c r="L23" s="1531"/>
      <c r="M23" s="895">
        <f t="shared" si="1"/>
        <v>-1627.2</v>
      </c>
      <c r="O23" s="895">
        <f t="shared" si="2"/>
        <v>-167.19999999999982</v>
      </c>
    </row>
    <row r="24" spans="1:34">
      <c r="A24" s="820" t="s">
        <v>21</v>
      </c>
      <c r="B24" s="924" t="s">
        <v>15</v>
      </c>
      <c r="C24" s="686">
        <f>'Exh D Captl Projects State Fed'!C24+'Exh D Captl Projects State Fed'!M24</f>
        <v>1765</v>
      </c>
      <c r="D24" s="943"/>
      <c r="E24" s="686">
        <f>'Exh D Captl Projects State Fed'!E24+'Exh D Captl Projects State Fed'!O24</f>
        <v>1716</v>
      </c>
      <c r="F24" s="643"/>
      <c r="G24" s="643">
        <f>+'Exh D Captl Projects State Fed'!G24+'Exh D Captl Projects State Fed'!Q24</f>
        <v>1673</v>
      </c>
      <c r="H24" s="643"/>
      <c r="I24" s="1531">
        <v>0</v>
      </c>
      <c r="J24" s="1531"/>
      <c r="K24" s="1647">
        <f t="shared" si="0"/>
        <v>1673</v>
      </c>
      <c r="L24" s="1531"/>
      <c r="M24" s="895">
        <f t="shared" si="1"/>
        <v>-92</v>
      </c>
      <c r="O24" s="895">
        <f t="shared" si="2"/>
        <v>-43</v>
      </c>
    </row>
    <row r="25" spans="1:34">
      <c r="A25" s="820" t="s">
        <v>97</v>
      </c>
      <c r="B25" s="924" t="s">
        <v>15</v>
      </c>
      <c r="C25" s="686">
        <f>'Exh D Captl Projects State Fed'!C25+'Exh D Captl Projects State Fed'!M25</f>
        <v>0</v>
      </c>
      <c r="D25" s="1189"/>
      <c r="E25" s="686">
        <f>'Exh D Captl Projects State Fed'!E25+'Exh D Captl Projects State Fed'!O25</f>
        <v>0</v>
      </c>
      <c r="F25" s="643"/>
      <c r="G25" s="659">
        <f>+'Exh D Captl Projects State Fed'!G25+'Exh D Captl Projects State Fed'!Q25</f>
        <v>0</v>
      </c>
      <c r="H25" s="643"/>
      <c r="I25" s="1531">
        <v>0</v>
      </c>
      <c r="J25" s="1531"/>
      <c r="K25" s="659">
        <f t="shared" si="0"/>
        <v>0</v>
      </c>
      <c r="L25" s="1531"/>
      <c r="M25" s="895">
        <f t="shared" si="1"/>
        <v>0</v>
      </c>
      <c r="O25" s="895">
        <f t="shared" si="2"/>
        <v>0</v>
      </c>
    </row>
    <row r="26" spans="1:34">
      <c r="A26" s="820" t="s">
        <v>47</v>
      </c>
      <c r="B26" s="924" t="s">
        <v>15</v>
      </c>
      <c r="C26" s="686">
        <f>'Exh D Captl Projects State Fed'!C26+'Exh D Captl Projects State Fed'!M26</f>
        <v>2133</v>
      </c>
      <c r="D26" s="943"/>
      <c r="E26" s="686">
        <f>'Exh D Captl Projects State Fed'!E26+'Exh D Captl Projects State Fed'!O26</f>
        <v>2886</v>
      </c>
      <c r="F26" s="643"/>
      <c r="G26" s="681">
        <f>+'Exh D Captl Projects State Fed'!G26+'Exh D Captl Projects State Fed'!Q26</f>
        <v>2698.8</v>
      </c>
      <c r="H26" s="643"/>
      <c r="I26" s="895">
        <f>'Exhibit I'!AC93</f>
        <v>0</v>
      </c>
      <c r="J26" s="1531"/>
      <c r="K26" s="1647">
        <f t="shared" si="0"/>
        <v>2698.8</v>
      </c>
      <c r="L26" s="1531"/>
      <c r="M26" s="895">
        <f t="shared" si="1"/>
        <v>565.79999999999995</v>
      </c>
      <c r="O26" s="895">
        <f t="shared" si="2"/>
        <v>-187.19999999999982</v>
      </c>
    </row>
    <row r="27" spans="1:34" ht="18" customHeight="1">
      <c r="A27" s="1121" t="s">
        <v>108</v>
      </c>
      <c r="B27" s="151" t="s">
        <v>15</v>
      </c>
      <c r="C27" s="1874">
        <f>ROUND(SUM(C20:C26),1)</f>
        <v>11396</v>
      </c>
      <c r="D27" s="1532"/>
      <c r="E27" s="1874">
        <f>ROUND(SUM(E20:E26),1)</f>
        <v>10605</v>
      </c>
      <c r="F27" s="922"/>
      <c r="G27" s="215">
        <f>ROUND(SUM(G20:G26),1)</f>
        <v>10197.1</v>
      </c>
      <c r="H27" s="922"/>
      <c r="I27" s="1541">
        <f>ROUND(SUM(I20:I26),1)</f>
        <v>0</v>
      </c>
      <c r="J27" s="922"/>
      <c r="K27" s="1541">
        <f>ROUND(SUM(K20:K26),1)</f>
        <v>10197.1</v>
      </c>
      <c r="L27" s="922"/>
      <c r="M27" s="1484">
        <f>ROUND(SUM(M20:M26),1)</f>
        <v>-1198.9000000000001</v>
      </c>
      <c r="O27" s="215">
        <f>ROUND(SUM(O20:O26),1)</f>
        <v>-407.9</v>
      </c>
    </row>
    <row r="28" spans="1:34">
      <c r="A28" s="690"/>
      <c r="B28" s="924" t="s">
        <v>15</v>
      </c>
      <c r="C28" s="1872"/>
      <c r="D28" s="943"/>
      <c r="E28" s="1872"/>
      <c r="F28" s="643"/>
      <c r="G28" s="688"/>
      <c r="H28" s="643"/>
      <c r="I28" s="1531"/>
      <c r="J28" s="1531"/>
      <c r="K28" s="1531"/>
      <c r="L28" s="1531"/>
      <c r="M28" s="1042" t="s">
        <v>15</v>
      </c>
      <c r="O28" s="688" t="s">
        <v>15</v>
      </c>
    </row>
    <row r="29" spans="1:34" ht="15.75">
      <c r="A29" s="29" t="s">
        <v>23</v>
      </c>
      <c r="B29" s="924" t="s">
        <v>15</v>
      </c>
      <c r="C29" s="1531"/>
      <c r="D29" s="943"/>
      <c r="E29" s="1531"/>
      <c r="F29" s="643"/>
      <c r="G29" s="643"/>
      <c r="H29" s="643"/>
      <c r="I29" s="1531"/>
      <c r="J29" s="1531"/>
      <c r="K29" s="1531"/>
      <c r="L29" s="1531"/>
      <c r="M29" s="895"/>
      <c r="O29" s="643"/>
    </row>
    <row r="30" spans="1:34">
      <c r="A30" s="820" t="s">
        <v>93</v>
      </c>
      <c r="B30" s="924" t="s">
        <v>15</v>
      </c>
      <c r="C30" s="686">
        <f>'Exh D Captl Projects State Fed'!C30+'Exh D Captl Projects State Fed'!M30</f>
        <v>3994</v>
      </c>
      <c r="D30" s="943"/>
      <c r="E30" s="686">
        <f>'Exh D Captl Projects State Fed'!E30+'Exh D Captl Projects State Fed'!O30</f>
        <v>4360</v>
      </c>
      <c r="F30" s="643"/>
      <c r="G30" s="643">
        <f>+'Exh D Captl Projects State Fed'!G30+'Exh D Captl Projects State Fed'!Q30</f>
        <v>4223.1000000000004</v>
      </c>
      <c r="H30" s="643"/>
      <c r="I30" s="1531">
        <v>0</v>
      </c>
      <c r="J30" s="1531"/>
      <c r="K30" s="1647">
        <f>+G30+I30</f>
        <v>4223.1000000000004</v>
      </c>
      <c r="L30" s="1531"/>
      <c r="M30" s="895">
        <f>ROUND(SUM(K30)-SUM(C30),1)</f>
        <v>229.1</v>
      </c>
      <c r="O30" s="895">
        <f t="shared" ref="O30:O32" si="3">K30-E30</f>
        <v>-136.89999999999964</v>
      </c>
    </row>
    <row r="31" spans="1:34">
      <c r="A31" s="820" t="s">
        <v>42</v>
      </c>
      <c r="B31" s="924" t="s">
        <v>15</v>
      </c>
      <c r="C31" s="686">
        <f>'Exh D Captl Projects State Fed'!C31+'Exh D Captl Projects State Fed'!M31</f>
        <v>8067</v>
      </c>
      <c r="D31" s="1189"/>
      <c r="E31" s="686">
        <f>'Exh D Captl Projects State Fed'!E31+'Exh D Captl Projects State Fed'!O31</f>
        <v>6270</v>
      </c>
      <c r="F31" s="643"/>
      <c r="G31" s="643">
        <f>+'Exh D Captl Projects State Fed'!G31+'Exh D Captl Projects State Fed'!Q31</f>
        <v>5838.5</v>
      </c>
      <c r="H31" s="643"/>
      <c r="I31" s="1531">
        <v>0</v>
      </c>
      <c r="J31" s="1531"/>
      <c r="K31" s="1647">
        <f>+G31+I31</f>
        <v>5838.5</v>
      </c>
      <c r="L31" s="1531"/>
      <c r="M31" s="895">
        <f>ROUND(SUM(K31)-SUM(C31),1)</f>
        <v>-2228.5</v>
      </c>
      <c r="O31" s="895">
        <f t="shared" si="3"/>
        <v>-431.5</v>
      </c>
    </row>
    <row r="32" spans="1:34">
      <c r="A32" s="820" t="s">
        <v>98</v>
      </c>
      <c r="B32" s="924" t="s">
        <v>15</v>
      </c>
      <c r="C32" s="686">
        <f>'Exh D Captl Projects State Fed'!C32+'Exh D Captl Projects State Fed'!M32</f>
        <v>329</v>
      </c>
      <c r="D32" s="943"/>
      <c r="E32" s="686">
        <f>'Exh D Captl Projects State Fed'!E32+'Exh D Captl Projects State Fed'!O32</f>
        <v>364</v>
      </c>
      <c r="F32" s="643"/>
      <c r="G32" s="643">
        <f>+'Exh D Captl Projects State Fed'!G32+'Exh D Captl Projects State Fed'!Q32</f>
        <v>364.5</v>
      </c>
      <c r="H32" s="643"/>
      <c r="I32" s="895">
        <f>-'Exhibit I'!AC94</f>
        <v>0</v>
      </c>
      <c r="J32" s="1531"/>
      <c r="K32" s="1647">
        <f>+G32+I32</f>
        <v>364.5</v>
      </c>
      <c r="L32" s="1531"/>
      <c r="M32" s="895">
        <f>ROUND(SUM(K32)-SUM(C32),1)</f>
        <v>35.5</v>
      </c>
      <c r="O32" s="895">
        <f t="shared" si="3"/>
        <v>0.5</v>
      </c>
    </row>
    <row r="33" spans="1:34" ht="18" customHeight="1">
      <c r="A33" s="1121" t="s">
        <v>117</v>
      </c>
      <c r="B33" s="151" t="s">
        <v>15</v>
      </c>
      <c r="C33" s="1874">
        <f>ROUND(SUM(C30:C32),1)</f>
        <v>12390</v>
      </c>
      <c r="D33" s="1532"/>
      <c r="E33" s="1874">
        <f>ROUND(SUM(E30:E32),1)</f>
        <v>10994</v>
      </c>
      <c r="F33" s="922"/>
      <c r="G33" s="215">
        <f>ROUND(SUM(G30:G32),1)</f>
        <v>10426.1</v>
      </c>
      <c r="H33" s="922"/>
      <c r="I33" s="1541">
        <f>ROUND(SUM(I30:I32),1)</f>
        <v>0</v>
      </c>
      <c r="J33" s="922"/>
      <c r="K33" s="1541">
        <f>ROUND(SUM(K30:K32),1)</f>
        <v>10426.1</v>
      </c>
      <c r="L33" s="922"/>
      <c r="M33" s="1484">
        <f>ROUND(SUM(M30:M32),1)</f>
        <v>-1963.9</v>
      </c>
      <c r="O33" s="215">
        <f>ROUND(SUM(O30:O32),1)</f>
        <v>-567.9</v>
      </c>
    </row>
    <row r="34" spans="1:34">
      <c r="A34" s="690"/>
      <c r="B34" s="924" t="s">
        <v>15</v>
      </c>
      <c r="C34" s="1872"/>
      <c r="D34" s="943"/>
      <c r="E34" s="1872"/>
      <c r="F34" s="643"/>
      <c r="G34" s="688"/>
      <c r="H34" s="643"/>
      <c r="I34" s="1531"/>
      <c r="J34" s="1531"/>
      <c r="K34" s="1531"/>
      <c r="L34" s="1531"/>
      <c r="M34" s="1042"/>
      <c r="O34" s="688"/>
    </row>
    <row r="35" spans="1:34" ht="15.75">
      <c r="A35" s="29" t="s">
        <v>100</v>
      </c>
      <c r="B35" s="924"/>
      <c r="C35" s="1531"/>
      <c r="D35" s="943"/>
      <c r="E35" s="1531"/>
      <c r="F35" s="643"/>
      <c r="G35" s="643"/>
      <c r="H35" s="643"/>
      <c r="I35" s="1531"/>
      <c r="J35" s="1531"/>
      <c r="K35" s="1531"/>
      <c r="L35" s="1531"/>
      <c r="M35" s="895"/>
      <c r="O35" s="643"/>
    </row>
    <row r="36" spans="1:34" ht="15.75">
      <c r="A36" s="29" t="s">
        <v>101</v>
      </c>
      <c r="B36" s="924"/>
      <c r="C36" s="1531"/>
      <c r="D36" s="943"/>
      <c r="E36" s="1531"/>
      <c r="F36" s="643"/>
      <c r="G36" s="643"/>
      <c r="H36" s="643"/>
      <c r="I36" s="1531"/>
      <c r="J36" s="1531"/>
      <c r="K36" s="1531"/>
      <c r="L36" s="1531"/>
      <c r="M36" s="895"/>
      <c r="O36" s="643"/>
    </row>
    <row r="37" spans="1:34" ht="15.75">
      <c r="A37" s="1121" t="s">
        <v>102</v>
      </c>
      <c r="B37" s="174" t="s">
        <v>15</v>
      </c>
      <c r="C37" s="1532">
        <f>ROUND(SUM(C27)-SUM(C33),1)</f>
        <v>-994</v>
      </c>
      <c r="D37" s="1532"/>
      <c r="E37" s="1532">
        <f>ROUND(SUM(E27)-SUM(E33),1)</f>
        <v>-389</v>
      </c>
      <c r="F37" s="84"/>
      <c r="G37" s="76">
        <f>ROUND(SUM(G27)-SUM(G33),1)</f>
        <v>-229</v>
      </c>
      <c r="H37" s="84"/>
      <c r="I37" s="84">
        <v>0</v>
      </c>
      <c r="J37" s="84"/>
      <c r="K37" s="1532">
        <f>ROUND(SUM(K27)-SUM(K33),1)</f>
        <v>-229</v>
      </c>
      <c r="L37" s="84"/>
      <c r="M37" s="115">
        <f>ROUND(SUM(M27)-SUM(M33),1)</f>
        <v>765</v>
      </c>
      <c r="N37" s="622"/>
      <c r="O37" s="76">
        <f>ROUND(SUM(O27)-SUM(O33),1)</f>
        <v>160</v>
      </c>
    </row>
    <row r="38" spans="1:34" ht="15.75">
      <c r="B38" s="622"/>
      <c r="C38" s="670"/>
      <c r="D38" s="1532"/>
      <c r="E38" s="670"/>
      <c r="F38" s="932"/>
      <c r="G38" s="670"/>
      <c r="H38" s="932"/>
      <c r="I38" s="932"/>
      <c r="J38" s="932"/>
      <c r="K38" s="670"/>
      <c r="L38" s="932"/>
      <c r="M38" s="1485"/>
      <c r="O38" s="670"/>
    </row>
    <row r="39" spans="1:34" ht="15.75">
      <c r="A39" s="1121" t="str">
        <f>+'Exh D-Governmental  '!A49</f>
        <v>Fund Balances (Deficits) at April 1</v>
      </c>
      <c r="B39" s="934" t="s">
        <v>15</v>
      </c>
      <c r="C39" s="1878">
        <f>'Exh D Captl Projects State Fed'!C39+'Exh D Captl Projects State Fed'!M39</f>
        <v>-1035</v>
      </c>
      <c r="D39" s="1532"/>
      <c r="E39" s="1878">
        <f>'Exh D Captl Projects State Fed'!C39+'Exh D Captl Projects State Fed'!M39</f>
        <v>-1035</v>
      </c>
      <c r="F39" s="932"/>
      <c r="G39" s="76">
        <f>'Exhibit I'!E15</f>
        <v>-1034.9000000000001</v>
      </c>
      <c r="H39" s="932"/>
      <c r="I39" s="3070">
        <v>0</v>
      </c>
      <c r="J39" s="932"/>
      <c r="K39" s="1880">
        <f>+G39+I39</f>
        <v>-1034.9000000000001</v>
      </c>
      <c r="L39" s="932"/>
      <c r="M39" s="1643">
        <f>ROUND(SUM(K39-C39),1)</f>
        <v>0.1</v>
      </c>
      <c r="N39" s="622"/>
      <c r="O39" s="1643">
        <f>K39-E39</f>
        <v>9.9999999999909051E-2</v>
      </c>
      <c r="P39" s="622"/>
      <c r="Q39" s="622"/>
      <c r="R39" s="622"/>
      <c r="S39" s="622"/>
      <c r="T39" s="622"/>
      <c r="U39" s="622"/>
      <c r="V39" s="622"/>
      <c r="W39" s="622"/>
      <c r="X39" s="622"/>
      <c r="Y39" s="622"/>
      <c r="Z39" s="622"/>
      <c r="AA39" s="622"/>
      <c r="AB39" s="622"/>
      <c r="AC39" s="622"/>
      <c r="AD39" s="622"/>
      <c r="AE39" s="622"/>
      <c r="AF39" s="622"/>
      <c r="AG39" s="622"/>
      <c r="AH39" s="935"/>
    </row>
    <row r="40" spans="1:34" ht="16.5" thickBot="1">
      <c r="A40" s="1379" t="str">
        <f>+'Exh D-Governmental  '!A50</f>
        <v>Fund Balances (Deficits) at January 31, 2021</v>
      </c>
      <c r="B40" s="180" t="s">
        <v>15</v>
      </c>
      <c r="C40" s="98">
        <f>ROUND(SUM(C37:C39),1)</f>
        <v>-2029</v>
      </c>
      <c r="D40" s="219"/>
      <c r="E40" s="98">
        <f>ROUND(SUM(E37:E39),1)</f>
        <v>-1424</v>
      </c>
      <c r="F40" s="181"/>
      <c r="G40" s="98">
        <f>ROUND(SUM(G37:G39),1)</f>
        <v>-1263.9000000000001</v>
      </c>
      <c r="H40" s="181"/>
      <c r="I40" s="98">
        <f>ROUND(SUM(I37:I39),1)</f>
        <v>0</v>
      </c>
      <c r="J40" s="181"/>
      <c r="K40" s="98">
        <f>ROUND(SUM(K37:K39),1)</f>
        <v>-1263.9000000000001</v>
      </c>
      <c r="L40" s="181"/>
      <c r="M40" s="1486">
        <f>ROUND(SUM(M37:M39),1)</f>
        <v>765.1</v>
      </c>
      <c r="N40" s="622"/>
      <c r="O40" s="98">
        <f>ROUND(SUM(O37:O39),1)</f>
        <v>160.1</v>
      </c>
      <c r="P40" s="622"/>
      <c r="Q40" s="622"/>
      <c r="R40" s="622"/>
      <c r="S40" s="622"/>
      <c r="T40" s="622"/>
      <c r="U40" s="622"/>
      <c r="V40" s="622"/>
      <c r="W40" s="622"/>
      <c r="X40" s="622"/>
      <c r="Y40" s="622"/>
      <c r="Z40" s="622"/>
      <c r="AA40" s="622"/>
      <c r="AB40" s="622"/>
      <c r="AC40" s="622"/>
      <c r="AD40" s="622"/>
      <c r="AE40" s="622"/>
      <c r="AF40" s="622"/>
      <c r="AG40" s="622"/>
      <c r="AH40" s="935"/>
    </row>
    <row r="41" spans="1:34" ht="15.75" thickTop="1">
      <c r="B41" s="622"/>
      <c r="C41" s="622"/>
      <c r="D41" s="622"/>
      <c r="E41" s="622"/>
      <c r="G41" s="958"/>
    </row>
    <row r="42" spans="1:34">
      <c r="A42" s="2136" t="str">
        <f>'Exh D-Governmental  '!A52</f>
        <v>(*)    Source: 2020-21 Enacted Financial Plan dated April 25, 2020.</v>
      </c>
      <c r="B42" s="622"/>
      <c r="D42" s="622"/>
    </row>
    <row r="43" spans="1:34" s="993" customFormat="1">
      <c r="A43" s="2136" t="str">
        <f>'Exh D-Governmental  '!A53</f>
        <v>(**)   Source: 2021-22 Executive Budget dated January 19, 2021.</v>
      </c>
      <c r="B43" s="1941"/>
      <c r="C43" s="426"/>
      <c r="D43" s="1941"/>
      <c r="E43" s="426"/>
      <c r="F43" s="951"/>
      <c r="G43" s="1644"/>
      <c r="H43" s="1642"/>
      <c r="I43" s="1642"/>
      <c r="J43" s="1642"/>
      <c r="K43" s="1642"/>
      <c r="L43" s="1642"/>
      <c r="M43" s="1644"/>
      <c r="N43" s="1642"/>
      <c r="O43" s="3601"/>
      <c r="P43" s="951"/>
      <c r="Q43" s="951"/>
      <c r="R43" s="951"/>
      <c r="S43" s="951"/>
    </row>
    <row r="44" spans="1:34">
      <c r="A44" s="1499"/>
      <c r="B44" s="622"/>
      <c r="D44" s="622"/>
    </row>
    <row r="45" spans="1:34">
      <c r="A45" s="1499"/>
      <c r="B45" s="622"/>
      <c r="D45" s="622"/>
    </row>
    <row r="46" spans="1:34">
      <c r="A46" s="1051"/>
      <c r="B46" s="622"/>
      <c r="D46" s="622"/>
    </row>
    <row r="47" spans="1:34">
      <c r="A47" s="183"/>
      <c r="B47" s="622"/>
      <c r="D47" s="622"/>
    </row>
    <row r="48" spans="1:34">
      <c r="B48" s="622"/>
      <c r="D48" s="622"/>
    </row>
    <row r="49" spans="2:2">
      <c r="B49" s="622"/>
    </row>
  </sheetData>
  <mergeCells count="1">
    <mergeCell ref="A5:E5"/>
  </mergeCells>
  <printOptions horizontalCentered="1"/>
  <pageMargins left="0.7" right="0.7" top="0.75" bottom="0.75" header="0.3" footer="0.3"/>
  <pageSetup scale="60" firstPageNumber="13" orientation="landscape" useFirstPageNumber="1" r:id="rId1"/>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V52"/>
  <sheetViews>
    <sheetView showGridLines="0" zoomScale="90" workbookViewId="0"/>
  </sheetViews>
  <sheetFormatPr defaultColWidth="8.6640625" defaultRowHeight="15"/>
  <cols>
    <col min="1" max="1" width="51.6640625" style="931" customWidth="1"/>
    <col min="2" max="2" width="2.109375" style="935" customWidth="1"/>
    <col min="3" max="3" width="15.6640625" style="425" customWidth="1"/>
    <col min="4" max="4" width="1.109375" style="935" customWidth="1"/>
    <col min="5" max="5" width="15.6640625" style="425" customWidth="1"/>
    <col min="6" max="6" width="1.109375" style="935" customWidth="1"/>
    <col min="7" max="7" width="15.6640625" style="935" customWidth="1"/>
    <col min="8" max="8" width="0.6640625" style="935" customWidth="1"/>
    <col min="9" max="9" width="19.44140625" style="935" customWidth="1"/>
    <col min="10" max="10" width="1.109375" style="622" customWidth="1"/>
    <col min="11" max="11" width="19.44140625" style="935" customWidth="1"/>
    <col min="12" max="12" width="1.109375" style="935" customWidth="1"/>
    <col min="13" max="13" width="15.6640625" style="622" customWidth="1"/>
    <col min="14" max="14" width="1.109375" style="622" customWidth="1"/>
    <col min="15" max="15" width="15.6640625" style="622" customWidth="1"/>
    <col min="16" max="16" width="1.109375" style="622" customWidth="1"/>
    <col min="17" max="17" width="15.6640625" style="622" customWidth="1"/>
    <col min="18" max="18" width="1.109375" style="622" customWidth="1"/>
    <col min="19" max="19" width="15.6640625" style="622" customWidth="1"/>
    <col min="20" max="20" width="1.6640625" style="622" customWidth="1"/>
    <col min="21" max="21" width="15.6640625" style="425" customWidth="1"/>
    <col min="22" max="22" width="0.6640625" style="622" customWidth="1"/>
    <col min="23" max="23" width="15.6640625" style="425" customWidth="1"/>
    <col min="24" max="24" width="1.109375" style="622" customWidth="1"/>
    <col min="25" max="25" width="15.6640625" style="622" customWidth="1"/>
    <col min="26" max="26" width="1" style="622" customWidth="1"/>
    <col min="27" max="27" width="15.6640625" style="622" customWidth="1"/>
    <col min="28" max="28" width="3.6640625" style="935" bestFit="1" customWidth="1"/>
    <col min="29" max="33" width="8.6640625" style="935"/>
    <col min="34" max="16384" width="8.6640625" style="931"/>
  </cols>
  <sheetData>
    <row r="1" spans="1:48">
      <c r="A1" s="937" t="s">
        <v>963</v>
      </c>
    </row>
    <row r="2" spans="1:48" ht="16.5">
      <c r="A2" s="185"/>
      <c r="B2" s="187"/>
      <c r="C2" s="419"/>
      <c r="D2" s="187"/>
      <c r="E2" s="419"/>
      <c r="F2" s="187"/>
      <c r="G2" s="187"/>
      <c r="H2" s="187"/>
      <c r="I2" s="187"/>
      <c r="J2" s="186"/>
      <c r="K2" s="187"/>
      <c r="L2" s="187"/>
      <c r="M2" s="186"/>
      <c r="N2" s="186"/>
      <c r="O2" s="186"/>
      <c r="P2" s="186"/>
      <c r="Q2" s="186"/>
      <c r="R2" s="186"/>
      <c r="S2" s="186"/>
      <c r="T2" s="186"/>
      <c r="U2" s="1182"/>
      <c r="V2" s="186"/>
      <c r="W2" s="1182"/>
      <c r="X2" s="186"/>
      <c r="Y2" s="186"/>
      <c r="Z2" s="186"/>
      <c r="AA2" s="186"/>
    </row>
    <row r="3" spans="1:48" ht="17.25" customHeight="1">
      <c r="A3" s="191" t="s">
        <v>0</v>
      </c>
      <c r="B3" s="148"/>
      <c r="C3" s="421"/>
      <c r="D3" s="143"/>
      <c r="E3" s="421"/>
      <c r="F3" s="143"/>
      <c r="G3" s="143"/>
      <c r="H3" s="143"/>
      <c r="I3" s="143"/>
      <c r="J3" s="156"/>
      <c r="K3" s="143"/>
      <c r="L3" s="143"/>
      <c r="M3" s="156"/>
      <c r="N3" s="156"/>
      <c r="O3" s="156"/>
      <c r="P3" s="156"/>
      <c r="Q3" s="156"/>
      <c r="R3" s="156"/>
      <c r="S3" s="822"/>
      <c r="T3" s="156"/>
      <c r="U3" s="822" t="s">
        <v>83</v>
      </c>
      <c r="V3" s="156"/>
      <c r="W3" s="1184"/>
      <c r="X3" s="156"/>
      <c r="Y3" s="156"/>
      <c r="Z3" s="156"/>
      <c r="AA3" s="1185"/>
    </row>
    <row r="4" spans="1:48" ht="17.25" customHeight="1">
      <c r="A4" s="191" t="s">
        <v>1188</v>
      </c>
      <c r="B4" s="148"/>
      <c r="C4" s="421"/>
      <c r="D4" s="143"/>
      <c r="E4" s="421"/>
      <c r="F4" s="143"/>
      <c r="G4" s="143"/>
      <c r="H4" s="143"/>
      <c r="I4" s="143"/>
      <c r="J4" s="156"/>
      <c r="K4" s="143"/>
      <c r="L4" s="143"/>
      <c r="M4" s="156"/>
      <c r="N4" s="156"/>
      <c r="O4" s="156"/>
      <c r="P4" s="156"/>
      <c r="Q4" s="156"/>
      <c r="R4" s="156"/>
      <c r="S4" s="823"/>
      <c r="T4" s="156"/>
      <c r="U4" s="823"/>
      <c r="V4" s="156"/>
      <c r="W4" s="1184"/>
      <c r="X4" s="156"/>
      <c r="Y4" s="156"/>
      <c r="Z4" s="156"/>
      <c r="AA4" s="1186"/>
    </row>
    <row r="5" spans="1:48" ht="17.25" customHeight="1">
      <c r="A5" s="3944" t="str">
        <f>'Exh D-Governmental  '!A5:E5</f>
        <v>FISCAL YEAR 2020-2021</v>
      </c>
      <c r="B5" s="3945"/>
      <c r="C5" s="3945"/>
      <c r="D5" s="3945"/>
      <c r="E5" s="3945"/>
      <c r="F5" s="143"/>
      <c r="G5" s="143"/>
      <c r="H5" s="143"/>
      <c r="I5" s="143"/>
      <c r="J5" s="156"/>
      <c r="K5" s="143"/>
      <c r="L5" s="143"/>
      <c r="M5" s="156"/>
      <c r="N5" s="156"/>
      <c r="O5" s="156"/>
      <c r="P5" s="156"/>
      <c r="Q5" s="156"/>
      <c r="R5" s="156"/>
      <c r="S5" s="156"/>
      <c r="T5" s="156"/>
      <c r="U5" s="1184"/>
      <c r="V5" s="156"/>
      <c r="W5" s="1184"/>
      <c r="X5" s="156"/>
      <c r="Y5" s="156"/>
      <c r="Z5" s="156"/>
      <c r="AA5" s="156"/>
    </row>
    <row r="6" spans="1:48" ht="17.25" customHeight="1">
      <c r="A6" s="1474" t="str">
        <f>'Exh D-Governmental  '!A6</f>
        <v xml:space="preserve">FOR TEN MONTHS ENDED JANUARY 31, 2021    </v>
      </c>
      <c r="B6" s="147"/>
      <c r="C6" s="421"/>
      <c r="D6" s="143"/>
      <c r="E6" s="421"/>
      <c r="F6" s="143"/>
      <c r="G6" s="143"/>
      <c r="H6" s="143"/>
      <c r="I6" s="143"/>
      <c r="J6" s="156"/>
      <c r="K6" s="143"/>
      <c r="L6" s="143"/>
      <c r="M6" s="156"/>
      <c r="N6" s="156"/>
      <c r="O6" s="156"/>
      <c r="P6" s="156"/>
      <c r="Q6" s="156"/>
      <c r="R6" s="156"/>
      <c r="S6" s="156"/>
      <c r="T6" s="156"/>
      <c r="U6" s="1184"/>
      <c r="V6" s="156"/>
      <c r="W6" s="1184"/>
      <c r="X6" s="156"/>
      <c r="Y6" s="156"/>
      <c r="Z6" s="156"/>
      <c r="AA6" s="156"/>
      <c r="AB6" s="143"/>
      <c r="AC6" s="156"/>
      <c r="AD6" s="156"/>
      <c r="AE6" s="156"/>
      <c r="AF6" s="156"/>
      <c r="AG6" s="156"/>
      <c r="AH6" s="156"/>
      <c r="AI6" s="156"/>
      <c r="AJ6" s="156"/>
      <c r="AK6" s="156"/>
      <c r="AL6" s="156"/>
      <c r="AM6" s="156"/>
      <c r="AN6" s="156"/>
      <c r="AO6" s="156"/>
      <c r="AP6" s="156"/>
      <c r="AQ6" s="622"/>
      <c r="AR6" s="622"/>
      <c r="AS6" s="622"/>
      <c r="AT6" s="622"/>
      <c r="AU6" s="622"/>
      <c r="AV6" s="935"/>
    </row>
    <row r="7" spans="1:48" ht="18">
      <c r="A7" s="191" t="s">
        <v>1364</v>
      </c>
      <c r="B7" s="148"/>
      <c r="C7" s="421"/>
      <c r="D7" s="143"/>
      <c r="E7" s="421"/>
      <c r="F7" s="143"/>
      <c r="G7" s="143"/>
      <c r="H7" s="143"/>
      <c r="I7" s="143"/>
      <c r="J7" s="156"/>
      <c r="K7" s="143"/>
      <c r="L7" s="143"/>
      <c r="M7" s="156"/>
      <c r="N7" s="156"/>
      <c r="O7" s="156"/>
      <c r="P7" s="156"/>
      <c r="Q7" s="156"/>
      <c r="R7" s="156"/>
      <c r="S7" s="156"/>
      <c r="T7" s="156"/>
      <c r="U7" s="1184"/>
      <c r="V7" s="156"/>
      <c r="W7" s="1184"/>
      <c r="X7" s="156"/>
      <c r="Y7" s="156"/>
      <c r="Z7" s="156"/>
      <c r="AA7" s="156"/>
    </row>
    <row r="8" spans="1:48" ht="18">
      <c r="A8" s="193"/>
      <c r="B8" s="148"/>
      <c r="C8" s="421"/>
      <c r="D8" s="143"/>
      <c r="E8" s="421"/>
      <c r="F8" s="143"/>
      <c r="G8" s="143"/>
      <c r="H8" s="143"/>
      <c r="I8" s="143"/>
      <c r="J8" s="156"/>
      <c r="K8" s="143"/>
      <c r="L8" s="143"/>
      <c r="M8" s="156"/>
      <c r="N8" s="156"/>
      <c r="O8" s="156"/>
      <c r="P8" s="156"/>
      <c r="Q8" s="156"/>
      <c r="R8" s="156"/>
      <c r="S8" s="156"/>
      <c r="T8" s="156"/>
      <c r="U8" s="1184"/>
      <c r="V8" s="156"/>
      <c r="W8" s="1184"/>
      <c r="X8" s="156"/>
      <c r="Y8" s="156"/>
      <c r="Z8" s="156"/>
      <c r="AA8" s="156"/>
    </row>
    <row r="9" spans="1:48">
      <c r="A9" s="150"/>
      <c r="B9" s="143"/>
      <c r="C9" s="422"/>
      <c r="D9" s="143"/>
      <c r="E9" s="422"/>
      <c r="F9" s="143"/>
      <c r="G9" s="143"/>
      <c r="H9" s="143"/>
      <c r="I9" s="143"/>
      <c r="J9" s="156"/>
      <c r="K9" s="143"/>
      <c r="L9" s="143"/>
      <c r="M9" s="156"/>
      <c r="N9" s="156"/>
      <c r="O9" s="156"/>
      <c r="P9" s="156"/>
      <c r="Q9" s="156"/>
      <c r="R9" s="156"/>
      <c r="S9" s="156"/>
      <c r="T9" s="156"/>
      <c r="U9" s="1184"/>
      <c r="V9" s="156"/>
      <c r="W9" s="1184"/>
      <c r="X9" s="156"/>
      <c r="Y9" s="156"/>
      <c r="Z9" s="156"/>
      <c r="AA9" s="156"/>
    </row>
    <row r="10" spans="1:48">
      <c r="A10" s="150"/>
      <c r="B10" s="143"/>
      <c r="C10" s="421"/>
      <c r="D10" s="148"/>
      <c r="E10" s="421"/>
      <c r="F10" s="148"/>
      <c r="G10" s="148"/>
      <c r="H10" s="148"/>
      <c r="I10" s="148"/>
      <c r="J10" s="147"/>
      <c r="K10" s="148"/>
      <c r="L10" s="148"/>
      <c r="M10" s="421"/>
      <c r="N10" s="148"/>
      <c r="O10" s="421"/>
      <c r="P10" s="148"/>
      <c r="Q10" s="148"/>
      <c r="R10" s="148"/>
      <c r="S10" s="148"/>
      <c r="T10" s="147"/>
      <c r="U10" s="964"/>
      <c r="V10" s="147"/>
      <c r="W10" s="964"/>
      <c r="X10" s="147"/>
      <c r="Y10" s="147"/>
      <c r="Z10" s="147"/>
      <c r="AA10" s="147"/>
      <c r="AB10" s="951"/>
    </row>
    <row r="11" spans="1:48" ht="15.75">
      <c r="A11" s="690"/>
      <c r="B11" s="151"/>
      <c r="C11" s="3946" t="s">
        <v>1131</v>
      </c>
      <c r="D11" s="3946"/>
      <c r="E11" s="3946"/>
      <c r="F11" s="3946"/>
      <c r="G11" s="3946"/>
      <c r="H11" s="3946"/>
      <c r="I11" s="3946"/>
      <c r="J11" s="1178"/>
      <c r="K11" s="1178"/>
      <c r="L11" s="205"/>
      <c r="M11" s="3946" t="s">
        <v>1132</v>
      </c>
      <c r="N11" s="3946"/>
      <c r="O11" s="3946"/>
      <c r="P11" s="3946"/>
      <c r="Q11" s="3946"/>
      <c r="R11" s="3946"/>
      <c r="S11" s="3946"/>
      <c r="T11" s="1191"/>
      <c r="U11" s="1417"/>
      <c r="V11" s="1417"/>
      <c r="W11" s="196"/>
      <c r="X11" s="196"/>
      <c r="Y11" s="196"/>
      <c r="Z11" s="196"/>
      <c r="AA11" s="196"/>
      <c r="AB11" s="951"/>
    </row>
    <row r="12" spans="1:48" ht="15.75">
      <c r="A12" s="690"/>
      <c r="B12" s="151"/>
      <c r="C12" s="427"/>
      <c r="D12" s="152"/>
      <c r="E12" s="427"/>
      <c r="F12" s="152"/>
      <c r="G12" s="152"/>
      <c r="H12" s="152"/>
      <c r="I12" s="206" t="s">
        <v>84</v>
      </c>
      <c r="J12" s="206"/>
      <c r="K12" s="206" t="s">
        <v>84</v>
      </c>
      <c r="L12" s="938"/>
      <c r="M12" s="427"/>
      <c r="N12" s="152"/>
      <c r="O12" s="427"/>
      <c r="P12" s="152"/>
      <c r="Q12" s="152"/>
      <c r="R12" s="152"/>
      <c r="S12" s="206" t="s">
        <v>84</v>
      </c>
      <c r="T12" s="151"/>
      <c r="U12" s="206" t="s">
        <v>84</v>
      </c>
      <c r="V12" s="151"/>
      <c r="W12" s="980"/>
      <c r="X12" s="151"/>
      <c r="Y12" s="151"/>
      <c r="Z12" s="151"/>
      <c r="AA12" s="206"/>
    </row>
    <row r="13" spans="1:48" ht="15.75">
      <c r="A13" s="690"/>
      <c r="B13" s="151"/>
      <c r="C13" s="427"/>
      <c r="D13" s="152"/>
      <c r="E13" s="427"/>
      <c r="F13" s="152"/>
      <c r="G13" s="152"/>
      <c r="H13" s="152"/>
      <c r="I13" s="153" t="s">
        <v>874</v>
      </c>
      <c r="J13" s="201"/>
      <c r="K13" s="153" t="s">
        <v>874</v>
      </c>
      <c r="L13" s="938"/>
      <c r="M13" s="427"/>
      <c r="N13" s="152"/>
      <c r="O13" s="427"/>
      <c r="P13" s="152"/>
      <c r="Q13" s="152"/>
      <c r="R13" s="152"/>
      <c r="S13" s="153" t="s">
        <v>874</v>
      </c>
      <c r="T13" s="151"/>
      <c r="U13" s="153" t="s">
        <v>874</v>
      </c>
      <c r="V13" s="151"/>
      <c r="W13" s="980"/>
      <c r="X13" s="151"/>
      <c r="Y13" s="151"/>
      <c r="Z13" s="151"/>
      <c r="AA13" s="201"/>
    </row>
    <row r="14" spans="1:48" ht="15.75" customHeight="1">
      <c r="A14" s="690"/>
      <c r="B14" s="151"/>
      <c r="C14" s="154" t="s">
        <v>1075</v>
      </c>
      <c r="D14" s="931"/>
      <c r="E14" s="154" t="s">
        <v>1076</v>
      </c>
      <c r="F14" s="152"/>
      <c r="G14" s="152"/>
      <c r="H14" s="152"/>
      <c r="I14" s="153" t="s">
        <v>85</v>
      </c>
      <c r="J14" s="201"/>
      <c r="K14" s="153" t="s">
        <v>85</v>
      </c>
      <c r="L14" s="938"/>
      <c r="M14" s="154" t="s">
        <v>1075</v>
      </c>
      <c r="N14" s="931"/>
      <c r="O14" s="154" t="s">
        <v>1076</v>
      </c>
      <c r="P14" s="152"/>
      <c r="Q14" s="152"/>
      <c r="R14" s="152"/>
      <c r="S14" s="153" t="s">
        <v>85</v>
      </c>
      <c r="T14" s="202"/>
      <c r="U14" s="153" t="s">
        <v>85</v>
      </c>
      <c r="V14" s="691"/>
      <c r="W14" s="200"/>
      <c r="X14" s="151"/>
      <c r="Y14" s="151"/>
      <c r="Z14" s="151"/>
      <c r="AA14" s="201"/>
    </row>
    <row r="15" spans="1:48" ht="15.75" customHeight="1">
      <c r="A15" s="690"/>
      <c r="B15" s="151"/>
      <c r="C15" s="153" t="s">
        <v>1112</v>
      </c>
      <c r="D15" s="152"/>
      <c r="E15" s="153" t="s">
        <v>1112</v>
      </c>
      <c r="F15" s="152"/>
      <c r="G15" s="152"/>
      <c r="H15" s="152"/>
      <c r="I15" s="153" t="s">
        <v>1075</v>
      </c>
      <c r="J15" s="200"/>
      <c r="K15" s="154" t="s">
        <v>1076</v>
      </c>
      <c r="L15" s="981"/>
      <c r="M15" s="153" t="s">
        <v>1112</v>
      </c>
      <c r="N15" s="152"/>
      <c r="O15" s="153" t="s">
        <v>1112</v>
      </c>
      <c r="P15" s="152"/>
      <c r="Q15" s="152"/>
      <c r="R15" s="152"/>
      <c r="S15" s="153" t="s">
        <v>1075</v>
      </c>
      <c r="T15" s="202"/>
      <c r="U15" s="154" t="s">
        <v>1076</v>
      </c>
      <c r="V15" s="151"/>
      <c r="W15" s="201"/>
      <c r="X15" s="151"/>
      <c r="Y15" s="151"/>
      <c r="Z15" s="151"/>
      <c r="AA15" s="200"/>
    </row>
    <row r="16" spans="1:48" ht="15.75">
      <c r="A16" s="690"/>
      <c r="B16" s="151"/>
      <c r="C16" s="153" t="s">
        <v>1113</v>
      </c>
      <c r="D16" s="152"/>
      <c r="E16" s="153" t="s">
        <v>1504</v>
      </c>
      <c r="F16" s="152"/>
      <c r="G16" s="154" t="s">
        <v>84</v>
      </c>
      <c r="H16" s="152"/>
      <c r="I16" s="153" t="s">
        <v>86</v>
      </c>
      <c r="J16" s="201"/>
      <c r="K16" s="153" t="s">
        <v>86</v>
      </c>
      <c r="L16" s="938"/>
      <c r="M16" s="153" t="s">
        <v>1113</v>
      </c>
      <c r="N16" s="152"/>
      <c r="O16" s="153" t="s">
        <v>1504</v>
      </c>
      <c r="P16" s="152"/>
      <c r="Q16" s="154" t="s">
        <v>84</v>
      </c>
      <c r="R16" s="152"/>
      <c r="S16" s="153" t="s">
        <v>86</v>
      </c>
      <c r="T16" s="201"/>
      <c r="U16" s="153" t="s">
        <v>86</v>
      </c>
      <c r="V16" s="151"/>
      <c r="W16" s="201"/>
      <c r="X16" s="151"/>
      <c r="Y16" s="200"/>
      <c r="Z16" s="151"/>
      <c r="AA16" s="201"/>
    </row>
    <row r="17" spans="1:48">
      <c r="A17" s="155"/>
      <c r="B17" s="156"/>
      <c r="C17" s="157"/>
      <c r="D17" s="143"/>
      <c r="E17" s="157"/>
      <c r="F17" s="143"/>
      <c r="G17" s="157"/>
      <c r="H17" s="143"/>
      <c r="I17" s="157"/>
      <c r="J17" s="156"/>
      <c r="K17" s="157"/>
      <c r="L17" s="939"/>
      <c r="M17" s="157"/>
      <c r="N17" s="143"/>
      <c r="O17" s="157"/>
      <c r="P17" s="143"/>
      <c r="Q17" s="157"/>
      <c r="R17" s="143"/>
      <c r="S17" s="157"/>
      <c r="T17" s="156"/>
      <c r="U17" s="157"/>
      <c r="V17" s="156"/>
      <c r="W17" s="156"/>
      <c r="X17" s="156"/>
      <c r="Y17" s="156"/>
      <c r="Z17" s="156"/>
      <c r="AA17" s="156"/>
    </row>
    <row r="18" spans="1:48" ht="15.75">
      <c r="A18" s="29" t="s">
        <v>14</v>
      </c>
      <c r="B18" s="924"/>
      <c r="C18" s="657"/>
      <c r="D18" s="657"/>
      <c r="E18" s="657"/>
      <c r="F18" s="657"/>
      <c r="G18" s="815" t="s">
        <v>15</v>
      </c>
      <c r="H18" s="657"/>
      <c r="I18" s="657"/>
      <c r="J18" s="924"/>
      <c r="K18" s="657"/>
      <c r="L18" s="940"/>
      <c r="M18" s="657"/>
      <c r="N18" s="657"/>
      <c r="O18" s="657"/>
      <c r="P18" s="657"/>
      <c r="Q18" s="657" t="s">
        <v>15</v>
      </c>
      <c r="R18" s="657"/>
      <c r="S18" s="657"/>
      <c r="T18" s="924"/>
      <c r="U18" s="657"/>
      <c r="V18" s="924"/>
      <c r="W18" s="924"/>
      <c r="X18" s="924"/>
      <c r="Y18" s="924"/>
      <c r="Z18" s="924"/>
      <c r="AA18" s="924"/>
    </row>
    <row r="19" spans="1:48">
      <c r="A19" s="820" t="s">
        <v>87</v>
      </c>
      <c r="B19" s="925" t="s">
        <v>15</v>
      </c>
      <c r="C19" s="658"/>
      <c r="D19" s="660"/>
      <c r="E19" s="658"/>
      <c r="F19" s="660"/>
      <c r="G19" s="658"/>
      <c r="H19" s="660"/>
      <c r="I19" s="658"/>
      <c r="J19" s="971"/>
      <c r="K19" s="658"/>
      <c r="L19" s="952"/>
      <c r="M19" s="658"/>
      <c r="N19" s="658"/>
      <c r="O19" s="658"/>
      <c r="P19" s="658"/>
      <c r="Q19" s="953"/>
      <c r="R19" s="660"/>
      <c r="S19" s="658"/>
      <c r="T19" s="660"/>
      <c r="U19" s="658"/>
      <c r="V19" s="971"/>
      <c r="W19" s="971"/>
      <c r="X19" s="971"/>
      <c r="Y19" s="1192"/>
      <c r="Z19" s="969"/>
      <c r="AA19" s="971"/>
      <c r="AB19" s="924"/>
      <c r="AC19" s="924"/>
      <c r="AD19" s="924"/>
      <c r="AE19" s="924"/>
      <c r="AF19" s="924"/>
      <c r="AG19" s="924"/>
      <c r="AH19" s="924"/>
      <c r="AI19" s="924"/>
      <c r="AJ19" s="924"/>
      <c r="AK19" s="924"/>
      <c r="AL19" s="924"/>
      <c r="AM19" s="924"/>
      <c r="AN19" s="924"/>
      <c r="AO19" s="924"/>
      <c r="AP19" s="924"/>
      <c r="AQ19" s="622"/>
      <c r="AR19" s="622"/>
      <c r="AS19" s="622"/>
      <c r="AT19" s="622"/>
      <c r="AU19" s="622"/>
      <c r="AV19" s="935"/>
    </row>
    <row r="20" spans="1:48">
      <c r="A20" s="820" t="s">
        <v>89</v>
      </c>
      <c r="B20" s="924" t="s">
        <v>15</v>
      </c>
      <c r="C20" s="2055">
        <v>458</v>
      </c>
      <c r="D20" s="658"/>
      <c r="E20" s="2055">
        <v>441</v>
      </c>
      <c r="F20" s="658"/>
      <c r="G20" s="941">
        <f>+'Exhibit I State'!AD22</f>
        <v>438.4</v>
      </c>
      <c r="H20" s="658"/>
      <c r="I20" s="658">
        <f t="shared" ref="I20:I26" si="0">ROUND(SUM(G20)-SUM(C20),1)</f>
        <v>-19.600000000000001</v>
      </c>
      <c r="J20" s="971"/>
      <c r="K20" s="658">
        <f>G20-E20</f>
        <v>-2.6000000000000227</v>
      </c>
      <c r="L20" s="952"/>
      <c r="M20" s="2055">
        <v>0</v>
      </c>
      <c r="N20" s="2055"/>
      <c r="O20" s="2055">
        <v>0</v>
      </c>
      <c r="P20" s="661"/>
      <c r="Q20" s="941">
        <v>0</v>
      </c>
      <c r="R20" s="661"/>
      <c r="S20" s="658">
        <f t="shared" ref="S20:S26" si="1">ROUND(SUM(Q20)-SUM(M20),1)</f>
        <v>0</v>
      </c>
      <c r="T20" s="971"/>
      <c r="U20" s="658">
        <f>Q20-O20</f>
        <v>0</v>
      </c>
      <c r="V20" s="1193"/>
      <c r="W20" s="970"/>
      <c r="X20" s="1193"/>
      <c r="Y20" s="970"/>
      <c r="Z20" s="1193"/>
      <c r="AA20" s="971"/>
      <c r="AB20" s="924"/>
      <c r="AC20" s="924"/>
      <c r="AD20" s="924"/>
      <c r="AE20" s="924"/>
      <c r="AF20" s="924"/>
      <c r="AG20" s="924"/>
      <c r="AH20" s="924"/>
      <c r="AI20" s="924"/>
      <c r="AJ20" s="924"/>
      <c r="AK20" s="924"/>
      <c r="AL20" s="924"/>
      <c r="AM20" s="924"/>
      <c r="AN20" s="924"/>
      <c r="AO20" s="924"/>
      <c r="AP20" s="924"/>
      <c r="AQ20" s="622"/>
      <c r="AR20" s="622"/>
      <c r="AS20" s="622"/>
      <c r="AT20" s="622"/>
      <c r="AU20" s="622"/>
      <c r="AV20" s="935"/>
    </row>
    <row r="21" spans="1:48">
      <c r="A21" s="820" t="s">
        <v>90</v>
      </c>
      <c r="B21" s="925" t="s">
        <v>15</v>
      </c>
      <c r="C21" s="1122">
        <v>478</v>
      </c>
      <c r="D21" s="681"/>
      <c r="E21" s="1122">
        <v>461</v>
      </c>
      <c r="F21" s="681"/>
      <c r="G21" s="686">
        <f>+'Exhibit I State'!AD27</f>
        <v>452.8</v>
      </c>
      <c r="H21" s="681"/>
      <c r="I21" s="643">
        <f t="shared" si="0"/>
        <v>-25.2</v>
      </c>
      <c r="J21" s="943"/>
      <c r="K21" s="1531">
        <f t="shared" ref="K21:K26" si="2">G21-E21</f>
        <v>-8.1999999999999886</v>
      </c>
      <c r="L21" s="954"/>
      <c r="M21" s="1122">
        <v>0</v>
      </c>
      <c r="N21" s="1122"/>
      <c r="O21" s="1122">
        <v>0</v>
      </c>
      <c r="P21" s="659"/>
      <c r="Q21" s="686">
        <v>0</v>
      </c>
      <c r="R21" s="659"/>
      <c r="S21" s="643">
        <f t="shared" si="1"/>
        <v>0</v>
      </c>
      <c r="T21" s="681"/>
      <c r="U21" s="1531">
        <f t="shared" ref="U21:U26" si="3">Q21-O21</f>
        <v>0</v>
      </c>
      <c r="V21" s="946"/>
      <c r="W21" s="974"/>
      <c r="X21" s="946"/>
      <c r="Y21" s="974"/>
      <c r="Z21" s="946"/>
      <c r="AA21" s="943"/>
      <c r="AB21" s="945"/>
      <c r="AC21" s="924"/>
      <c r="AD21" s="924"/>
      <c r="AE21" s="945"/>
      <c r="AF21" s="924"/>
      <c r="AG21" s="945"/>
      <c r="AH21" s="924"/>
      <c r="AI21" s="924"/>
      <c r="AJ21" s="945"/>
      <c r="AK21" s="924"/>
      <c r="AL21" s="924"/>
      <c r="AM21" s="945"/>
      <c r="AN21" s="203"/>
      <c r="AO21" s="945"/>
      <c r="AP21" s="924"/>
      <c r="AQ21" s="622"/>
      <c r="AR21" s="622"/>
      <c r="AS21" s="622"/>
      <c r="AT21" s="622"/>
      <c r="AU21" s="622"/>
      <c r="AV21" s="935"/>
    </row>
    <row r="22" spans="1:48">
      <c r="A22" s="820" t="s">
        <v>91</v>
      </c>
      <c r="B22" s="924" t="s">
        <v>15</v>
      </c>
      <c r="C22" s="1122">
        <v>96</v>
      </c>
      <c r="D22" s="1531"/>
      <c r="E22" s="1122">
        <v>95</v>
      </c>
      <c r="F22" s="643"/>
      <c r="G22" s="686">
        <f>+'Exhibit I State'!AD30</f>
        <v>95.3</v>
      </c>
      <c r="H22" s="643"/>
      <c r="I22" s="643">
        <f t="shared" si="0"/>
        <v>-0.7</v>
      </c>
      <c r="J22" s="943"/>
      <c r="K22" s="1531">
        <f t="shared" si="2"/>
        <v>0.29999999999999716</v>
      </c>
      <c r="L22" s="954"/>
      <c r="M22" s="1122">
        <v>0</v>
      </c>
      <c r="N22" s="1122"/>
      <c r="O22" s="1122">
        <v>0</v>
      </c>
      <c r="P22" s="659"/>
      <c r="Q22" s="686">
        <v>0</v>
      </c>
      <c r="R22" s="659"/>
      <c r="S22" s="643">
        <f t="shared" si="1"/>
        <v>0</v>
      </c>
      <c r="T22" s="943"/>
      <c r="U22" s="1531">
        <f t="shared" si="3"/>
        <v>0</v>
      </c>
      <c r="V22" s="946"/>
      <c r="W22" s="974"/>
      <c r="X22" s="946"/>
      <c r="Y22" s="974"/>
      <c r="Z22" s="946"/>
      <c r="AA22" s="943"/>
      <c r="AB22" s="924"/>
      <c r="AC22" s="924"/>
      <c r="AD22" s="924"/>
      <c r="AE22" s="924"/>
      <c r="AF22" s="924"/>
      <c r="AG22" s="924"/>
      <c r="AH22" s="924"/>
      <c r="AI22" s="924"/>
      <c r="AJ22" s="924"/>
      <c r="AK22" s="924"/>
      <c r="AL22" s="924"/>
      <c r="AM22" s="924"/>
      <c r="AN22" s="924"/>
      <c r="AO22" s="924"/>
      <c r="AP22" s="924"/>
      <c r="AQ22" s="622"/>
      <c r="AR22" s="622"/>
      <c r="AS22" s="622"/>
      <c r="AT22" s="622"/>
      <c r="AU22" s="622"/>
      <c r="AV22" s="935"/>
    </row>
    <row r="23" spans="1:48">
      <c r="A23" s="820" t="s">
        <v>20</v>
      </c>
      <c r="B23" s="924" t="s">
        <v>15</v>
      </c>
      <c r="C23" s="1122">
        <v>6466</v>
      </c>
      <c r="D23" s="1531"/>
      <c r="E23" s="1122">
        <v>5005</v>
      </c>
      <c r="F23" s="643"/>
      <c r="G23" s="686">
        <f>+'Exhibit I State'!AD60</f>
        <v>4838</v>
      </c>
      <c r="H23" s="643"/>
      <c r="I23" s="643">
        <f t="shared" si="0"/>
        <v>-1628</v>
      </c>
      <c r="J23" s="943"/>
      <c r="K23" s="1531">
        <f t="shared" si="2"/>
        <v>-167</v>
      </c>
      <c r="L23" s="954"/>
      <c r="M23" s="1122">
        <v>0</v>
      </c>
      <c r="N23" s="1531"/>
      <c r="O23" s="1122">
        <v>1</v>
      </c>
      <c r="P23" s="643"/>
      <c r="Q23" s="643">
        <f>+'Exhibit I Federal'!AD42</f>
        <v>0.8</v>
      </c>
      <c r="R23" s="643"/>
      <c r="S23" s="643">
        <f t="shared" si="1"/>
        <v>0.8</v>
      </c>
      <c r="T23" s="943"/>
      <c r="U23" s="1531">
        <f t="shared" si="3"/>
        <v>-0.19999999999999996</v>
      </c>
      <c r="V23" s="943"/>
      <c r="W23" s="974"/>
      <c r="X23" s="943"/>
      <c r="Y23" s="974"/>
      <c r="Z23" s="943"/>
      <c r="AA23" s="943"/>
    </row>
    <row r="24" spans="1:48">
      <c r="A24" s="820" t="s">
        <v>21</v>
      </c>
      <c r="B24" s="924" t="s">
        <v>15</v>
      </c>
      <c r="C24" s="1122">
        <v>2</v>
      </c>
      <c r="D24" s="1531"/>
      <c r="E24" s="1122">
        <v>2</v>
      </c>
      <c r="F24" s="643"/>
      <c r="G24" s="686">
        <f>+'Exhibit I State'!AD62</f>
        <v>2.1</v>
      </c>
      <c r="H24" s="643"/>
      <c r="I24" s="643">
        <f t="shared" si="0"/>
        <v>0.1</v>
      </c>
      <c r="J24" s="943"/>
      <c r="K24" s="1531">
        <f t="shared" si="2"/>
        <v>0.10000000000000009</v>
      </c>
      <c r="L24" s="954"/>
      <c r="M24" s="1122">
        <v>1763</v>
      </c>
      <c r="N24" s="1531"/>
      <c r="O24" s="1122">
        <v>1714</v>
      </c>
      <c r="P24" s="643"/>
      <c r="Q24" s="643">
        <f>+'Exhibit I Federal'!AD44</f>
        <v>1670.9</v>
      </c>
      <c r="R24" s="643"/>
      <c r="S24" s="643">
        <f t="shared" si="1"/>
        <v>-92.1</v>
      </c>
      <c r="T24" s="943"/>
      <c r="U24" s="1531">
        <f t="shared" si="3"/>
        <v>-43.099999999999909</v>
      </c>
      <c r="V24" s="943"/>
      <c r="W24" s="974"/>
      <c r="X24" s="943"/>
      <c r="Y24" s="974"/>
      <c r="Z24" s="943"/>
      <c r="AA24" s="943"/>
    </row>
    <row r="25" spans="1:48">
      <c r="A25" s="820" t="s">
        <v>97</v>
      </c>
      <c r="B25" s="924" t="s">
        <v>15</v>
      </c>
      <c r="C25" s="1122">
        <v>0</v>
      </c>
      <c r="D25" s="1531"/>
      <c r="E25" s="1122">
        <v>0</v>
      </c>
      <c r="F25" s="643"/>
      <c r="G25" s="686">
        <f>+'Exhibit I State'!AA91</f>
        <v>0</v>
      </c>
      <c r="H25" s="643"/>
      <c r="I25" s="643">
        <f t="shared" si="0"/>
        <v>0</v>
      </c>
      <c r="J25" s="943"/>
      <c r="K25" s="1531">
        <f t="shared" si="2"/>
        <v>0</v>
      </c>
      <c r="L25" s="955"/>
      <c r="M25" s="1122">
        <v>0</v>
      </c>
      <c r="N25" s="895"/>
      <c r="O25" s="1122">
        <v>0</v>
      </c>
      <c r="P25" s="643"/>
      <c r="Q25" s="659">
        <v>0</v>
      </c>
      <c r="R25" s="643"/>
      <c r="S25" s="643">
        <f t="shared" si="1"/>
        <v>0</v>
      </c>
      <c r="T25" s="944"/>
      <c r="U25" s="1531">
        <f t="shared" si="3"/>
        <v>0</v>
      </c>
      <c r="V25" s="943"/>
      <c r="W25" s="974"/>
      <c r="X25" s="943"/>
      <c r="Y25" s="974"/>
      <c r="Z25" s="943"/>
      <c r="AA25" s="943"/>
    </row>
    <row r="26" spans="1:48">
      <c r="A26" s="820" t="s">
        <v>47</v>
      </c>
      <c r="B26" s="924" t="s">
        <v>15</v>
      </c>
      <c r="C26" s="1122">
        <v>2302</v>
      </c>
      <c r="D26" s="1531"/>
      <c r="E26" s="1122">
        <v>2886</v>
      </c>
      <c r="F26" s="643"/>
      <c r="G26" s="684">
        <f>+'Exhibit I State'!AD92</f>
        <v>2698.8</v>
      </c>
      <c r="H26" s="643"/>
      <c r="I26" s="643">
        <f t="shared" si="0"/>
        <v>396.8</v>
      </c>
      <c r="J26" s="943"/>
      <c r="K26" s="1531">
        <f t="shared" si="2"/>
        <v>-187.19999999999982</v>
      </c>
      <c r="L26" s="954"/>
      <c r="M26" s="1122">
        <v>-169</v>
      </c>
      <c r="N26" s="895"/>
      <c r="O26" s="1122">
        <v>0</v>
      </c>
      <c r="P26" s="643"/>
      <c r="Q26" s="681">
        <f>+'Exhibit I Federal'!I73</f>
        <v>0</v>
      </c>
      <c r="R26" s="643"/>
      <c r="S26" s="643">
        <f t="shared" si="1"/>
        <v>169</v>
      </c>
      <c r="T26" s="944"/>
      <c r="U26" s="1531">
        <f t="shared" si="3"/>
        <v>0</v>
      </c>
      <c r="V26" s="943"/>
      <c r="W26" s="974"/>
      <c r="X26" s="943"/>
      <c r="Y26" s="974"/>
      <c r="Z26" s="943"/>
      <c r="AA26" s="943"/>
    </row>
    <row r="27" spans="1:48" ht="18" customHeight="1">
      <c r="A27" s="173" t="s">
        <v>108</v>
      </c>
      <c r="B27" s="151" t="s">
        <v>15</v>
      </c>
      <c r="C27" s="1875">
        <f>ROUND(SUM(C20:C26),1)</f>
        <v>9802</v>
      </c>
      <c r="D27" s="922"/>
      <c r="E27" s="1875">
        <f>ROUND(SUM(E20:E26),1)</f>
        <v>8890</v>
      </c>
      <c r="F27" s="922"/>
      <c r="G27" s="215">
        <f>ROUND(SUM(G20:G26),1)</f>
        <v>8525.4</v>
      </c>
      <c r="H27" s="922"/>
      <c r="I27" s="215">
        <f>ROUND(SUM(I20:I26),1)</f>
        <v>-1276.5999999999999</v>
      </c>
      <c r="J27" s="76"/>
      <c r="K27" s="215">
        <f>ROUND(SUM(K20:K26),1)</f>
        <v>-364.6</v>
      </c>
      <c r="L27" s="956"/>
      <c r="M27" s="1875">
        <f>ROUND(SUM(M20:M26),1)</f>
        <v>1594</v>
      </c>
      <c r="N27" s="922"/>
      <c r="O27" s="1875">
        <f>ROUND(SUM(O20:O26),1)</f>
        <v>1715</v>
      </c>
      <c r="P27" s="922"/>
      <c r="Q27" s="215">
        <f>ROUND(SUM(Q20:Q26),1)</f>
        <v>1671.7</v>
      </c>
      <c r="R27" s="922"/>
      <c r="S27" s="215">
        <f>ROUND(SUM(S20:S26),1)</f>
        <v>77.7</v>
      </c>
      <c r="T27" s="76"/>
      <c r="U27" s="215">
        <f>ROUND(SUM(U20:U26),1)</f>
        <v>-43.3</v>
      </c>
      <c r="V27" s="76"/>
      <c r="W27" s="76"/>
      <c r="X27" s="76"/>
      <c r="Y27" s="76"/>
      <c r="Z27" s="76"/>
      <c r="AA27" s="76"/>
    </row>
    <row r="28" spans="1:48">
      <c r="A28" s="690"/>
      <c r="B28" s="924" t="s">
        <v>15</v>
      </c>
      <c r="C28" s="1876"/>
      <c r="D28" s="1531"/>
      <c r="E28" s="1876"/>
      <c r="F28" s="643"/>
      <c r="G28" s="688"/>
      <c r="H28" s="643"/>
      <c r="I28" s="688"/>
      <c r="J28" s="943"/>
      <c r="K28" s="688"/>
      <c r="L28" s="954"/>
      <c r="M28" s="1876"/>
      <c r="N28" s="1531"/>
      <c r="O28" s="1876"/>
      <c r="P28" s="643"/>
      <c r="Q28" s="688"/>
      <c r="R28" s="643"/>
      <c r="S28" s="688" t="s">
        <v>15</v>
      </c>
      <c r="T28" s="943"/>
      <c r="U28" s="688"/>
      <c r="V28" s="943"/>
      <c r="W28" s="943"/>
      <c r="X28" s="943"/>
      <c r="Y28" s="943"/>
      <c r="Z28" s="943"/>
      <c r="AA28" s="943"/>
    </row>
    <row r="29" spans="1:48" ht="15.75">
      <c r="A29" s="29" t="s">
        <v>23</v>
      </c>
      <c r="B29" s="924" t="s">
        <v>15</v>
      </c>
      <c r="C29" s="895"/>
      <c r="D29" s="1531"/>
      <c r="E29" s="895"/>
      <c r="F29" s="643"/>
      <c r="G29" s="643" t="s">
        <v>15</v>
      </c>
      <c r="H29" s="643"/>
      <c r="I29" s="643"/>
      <c r="J29" s="943"/>
      <c r="K29" s="1531"/>
      <c r="L29" s="954"/>
      <c r="M29" s="895"/>
      <c r="N29" s="1531"/>
      <c r="O29" s="895"/>
      <c r="P29" s="643"/>
      <c r="Q29" s="643"/>
      <c r="R29" s="643"/>
      <c r="S29" s="643"/>
      <c r="T29" s="943"/>
      <c r="U29" s="1531"/>
      <c r="V29" s="943"/>
      <c r="W29" s="943"/>
      <c r="X29" s="943"/>
      <c r="Y29" s="943"/>
      <c r="Z29" s="943"/>
      <c r="AA29" s="943"/>
    </row>
    <row r="30" spans="1:48">
      <c r="A30" s="820" t="s">
        <v>93</v>
      </c>
      <c r="B30" s="924" t="s">
        <v>15</v>
      </c>
      <c r="C30" s="1122">
        <v>3421</v>
      </c>
      <c r="D30" s="1531"/>
      <c r="E30" s="1122">
        <v>3882</v>
      </c>
      <c r="F30" s="643"/>
      <c r="G30" s="659">
        <f>+'Exhibit I State'!AD78</f>
        <v>3771.9</v>
      </c>
      <c r="H30" s="643"/>
      <c r="I30" s="643">
        <f>ROUND(SUM(G30)-SUM(C30),1)</f>
        <v>350.9</v>
      </c>
      <c r="J30" s="943"/>
      <c r="K30" s="1531">
        <f t="shared" ref="K30:K32" si="4">G30-E30</f>
        <v>-110.09999999999991</v>
      </c>
      <c r="L30" s="954"/>
      <c r="M30" s="1122">
        <v>573</v>
      </c>
      <c r="N30" s="1531"/>
      <c r="O30" s="1122">
        <v>478</v>
      </c>
      <c r="P30" s="643"/>
      <c r="Q30" s="643">
        <f>+'Exhibit I Federal'!AD60</f>
        <v>451.2</v>
      </c>
      <c r="R30" s="643"/>
      <c r="S30" s="643">
        <f>ROUND(SUM(Q30)-SUM(M30),1)</f>
        <v>-121.8</v>
      </c>
      <c r="T30" s="943"/>
      <c r="U30" s="1531">
        <f t="shared" ref="U30:U32" si="5">Q30-O30</f>
        <v>-26.800000000000011</v>
      </c>
      <c r="V30" s="943"/>
      <c r="W30" s="974"/>
      <c r="X30" s="943"/>
      <c r="Y30" s="974"/>
      <c r="Z30" s="943"/>
      <c r="AA30" s="943"/>
    </row>
    <row r="31" spans="1:48">
      <c r="A31" s="820" t="s">
        <v>42</v>
      </c>
      <c r="B31" s="924" t="s">
        <v>15</v>
      </c>
      <c r="C31" s="1122">
        <v>7075</v>
      </c>
      <c r="D31" s="1531"/>
      <c r="E31" s="1122">
        <v>5302</v>
      </c>
      <c r="F31" s="643"/>
      <c r="G31" s="659">
        <f>+'Exhibit I State'!AD83</f>
        <v>4841.5</v>
      </c>
      <c r="H31" s="643"/>
      <c r="I31" s="643">
        <f>ROUND(SUM(G31)-SUM(C31),1)</f>
        <v>-2233.5</v>
      </c>
      <c r="J31" s="943"/>
      <c r="K31" s="1531">
        <f t="shared" si="4"/>
        <v>-460.5</v>
      </c>
      <c r="L31" s="955"/>
      <c r="M31" s="1122">
        <v>992</v>
      </c>
      <c r="N31" s="1531"/>
      <c r="O31" s="1122">
        <v>968</v>
      </c>
      <c r="P31" s="643"/>
      <c r="Q31" s="643">
        <f>+'Exhibit I Federal'!AD65</f>
        <v>997</v>
      </c>
      <c r="R31" s="643"/>
      <c r="S31" s="643">
        <f>ROUND(SUM(Q31)-SUM(M31),1)</f>
        <v>5</v>
      </c>
      <c r="T31" s="943"/>
      <c r="U31" s="1531">
        <f t="shared" si="5"/>
        <v>29</v>
      </c>
      <c r="V31" s="943"/>
      <c r="W31" s="974"/>
      <c r="X31" s="943"/>
      <c r="Y31" s="974"/>
      <c r="Z31" s="943"/>
      <c r="AA31" s="943"/>
    </row>
    <row r="32" spans="1:48">
      <c r="A32" s="820" t="s">
        <v>98</v>
      </c>
      <c r="B32" s="924" t="s">
        <v>15</v>
      </c>
      <c r="C32" s="1122">
        <v>330</v>
      </c>
      <c r="D32" s="1531"/>
      <c r="E32" s="1122">
        <v>364</v>
      </c>
      <c r="F32" s="643"/>
      <c r="G32" s="681">
        <f>-'Exhibit I State'!AD93</f>
        <v>364.5</v>
      </c>
      <c r="H32" s="643"/>
      <c r="I32" s="643">
        <f>ROUND(SUM(G32)-SUM(C32),1)</f>
        <v>34.5</v>
      </c>
      <c r="J32" s="943"/>
      <c r="K32" s="1531">
        <f t="shared" si="4"/>
        <v>0.5</v>
      </c>
      <c r="L32" s="954"/>
      <c r="M32" s="1122">
        <v>-1</v>
      </c>
      <c r="N32" s="1531"/>
      <c r="O32" s="1122">
        <v>0</v>
      </c>
      <c r="P32" s="643"/>
      <c r="Q32" s="681">
        <f>-'Exhibit I Federal'!AD74</f>
        <v>0</v>
      </c>
      <c r="R32" s="643"/>
      <c r="S32" s="643">
        <f>ROUND(SUM(Q32)-SUM(M32),1)</f>
        <v>1</v>
      </c>
      <c r="T32" s="944"/>
      <c r="U32" s="1531">
        <f t="shared" si="5"/>
        <v>0</v>
      </c>
      <c r="V32" s="943"/>
      <c r="W32" s="974"/>
      <c r="X32" s="943"/>
      <c r="Y32" s="974"/>
      <c r="Z32" s="943"/>
      <c r="AA32" s="943"/>
    </row>
    <row r="33" spans="1:48" ht="18" customHeight="1">
      <c r="A33" s="173" t="s">
        <v>117</v>
      </c>
      <c r="B33" s="151" t="s">
        <v>15</v>
      </c>
      <c r="C33" s="1875">
        <f>ROUND(SUM(C30:C32),1)</f>
        <v>10826</v>
      </c>
      <c r="D33" s="922"/>
      <c r="E33" s="1875">
        <f>ROUND(SUM(E30:E32),1)</f>
        <v>9548</v>
      </c>
      <c r="F33" s="922"/>
      <c r="G33" s="215">
        <f>ROUND(SUM(G30:G32),1)</f>
        <v>8977.9</v>
      </c>
      <c r="H33" s="922"/>
      <c r="I33" s="215">
        <f>ROUND(SUM(I30:I32),1)</f>
        <v>-1848.1</v>
      </c>
      <c r="J33" s="76"/>
      <c r="K33" s="215">
        <f>ROUND(SUM(K30:K32),1)</f>
        <v>-570.1</v>
      </c>
      <c r="L33" s="956"/>
      <c r="M33" s="1874">
        <f>ROUND(SUM(M30:M32),1)</f>
        <v>1564</v>
      </c>
      <c r="N33" s="922"/>
      <c r="O33" s="1874">
        <f>ROUND(SUM(O30:O32),1)</f>
        <v>1446</v>
      </c>
      <c r="P33" s="922"/>
      <c r="Q33" s="215">
        <f>ROUND(SUM(Q30:Q32),1)</f>
        <v>1448.2</v>
      </c>
      <c r="R33" s="922"/>
      <c r="S33" s="215">
        <f>ROUND(SUM(S30:S32),1)</f>
        <v>-115.8</v>
      </c>
      <c r="T33" s="76"/>
      <c r="U33" s="215">
        <f>ROUND(SUM(U30:U32),1)</f>
        <v>2.2000000000000002</v>
      </c>
      <c r="V33" s="76"/>
      <c r="W33" s="76"/>
      <c r="X33" s="76"/>
      <c r="Y33" s="76"/>
      <c r="Z33" s="76"/>
      <c r="AA33" s="76"/>
    </row>
    <row r="34" spans="1:48">
      <c r="A34" s="690"/>
      <c r="B34" s="924" t="s">
        <v>15</v>
      </c>
      <c r="C34" s="1876"/>
      <c r="D34" s="1531"/>
      <c r="E34" s="1876"/>
      <c r="F34" s="643"/>
      <c r="G34" s="688"/>
      <c r="H34" s="643"/>
      <c r="I34" s="688"/>
      <c r="J34" s="943"/>
      <c r="K34" s="688"/>
      <c r="L34" s="954"/>
      <c r="M34" s="1872"/>
      <c r="N34" s="1531"/>
      <c r="O34" s="1872"/>
      <c r="P34" s="643"/>
      <c r="Q34" s="688"/>
      <c r="R34" s="643"/>
      <c r="S34" s="688"/>
      <c r="T34" s="943"/>
      <c r="U34" s="688"/>
      <c r="V34" s="943"/>
      <c r="W34" s="943"/>
      <c r="X34" s="943"/>
      <c r="Y34" s="943"/>
      <c r="Z34" s="943"/>
      <c r="AA34" s="943"/>
    </row>
    <row r="35" spans="1:48" ht="15.75">
      <c r="A35" s="29" t="s">
        <v>100</v>
      </c>
      <c r="B35" s="924"/>
      <c r="C35" s="895"/>
      <c r="D35" s="1531"/>
      <c r="E35" s="895"/>
      <c r="F35" s="643"/>
      <c r="G35" s="643"/>
      <c r="H35" s="643"/>
      <c r="I35" s="643"/>
      <c r="J35" s="943"/>
      <c r="K35" s="1531"/>
      <c r="L35" s="954"/>
      <c r="M35" s="1531"/>
      <c r="N35" s="1531"/>
      <c r="O35" s="1531"/>
      <c r="P35" s="643"/>
      <c r="Q35" s="643"/>
      <c r="R35" s="643"/>
      <c r="S35" s="643"/>
      <c r="T35" s="943"/>
      <c r="U35" s="1531"/>
      <c r="V35" s="943"/>
      <c r="W35" s="943"/>
      <c r="X35" s="943"/>
      <c r="Y35" s="943"/>
      <c r="Z35" s="943"/>
      <c r="AA35" s="943"/>
    </row>
    <row r="36" spans="1:48" ht="15.75">
      <c r="A36" s="29" t="s">
        <v>101</v>
      </c>
      <c r="B36" s="924"/>
      <c r="C36" s="895"/>
      <c r="D36" s="1531"/>
      <c r="E36" s="895"/>
      <c r="F36" s="643"/>
      <c r="G36" s="643"/>
      <c r="H36" s="643"/>
      <c r="I36" s="643"/>
      <c r="J36" s="943"/>
      <c r="K36" s="1531"/>
      <c r="L36" s="954"/>
      <c r="M36" s="1531"/>
      <c r="N36" s="1531"/>
      <c r="O36" s="1531"/>
      <c r="P36" s="643"/>
      <c r="Q36" s="643"/>
      <c r="R36" s="643"/>
      <c r="S36" s="643"/>
      <c r="T36" s="943"/>
      <c r="U36" s="1531"/>
      <c r="V36" s="943"/>
      <c r="W36" s="943"/>
      <c r="X36" s="943"/>
      <c r="Y36" s="943"/>
      <c r="Z36" s="943"/>
      <c r="AA36" s="943"/>
    </row>
    <row r="37" spans="1:48" ht="15.75">
      <c r="A37" s="173" t="s">
        <v>102</v>
      </c>
      <c r="B37" s="174" t="s">
        <v>15</v>
      </c>
      <c r="C37" s="115">
        <f>ROUND(SUM(C27)-SUM(C33),1)</f>
        <v>-1024</v>
      </c>
      <c r="D37" s="84"/>
      <c r="E37" s="115">
        <f>ROUND(SUM(E27)-SUM(E33),1)</f>
        <v>-658</v>
      </c>
      <c r="F37" s="84"/>
      <c r="G37" s="76">
        <f>ROUND(SUM(G27)-SUM(G33),1)</f>
        <v>-452.5</v>
      </c>
      <c r="H37" s="84"/>
      <c r="I37" s="76">
        <f>ROUND(SUM(I27)-SUM(I33),1)</f>
        <v>571.5</v>
      </c>
      <c r="J37" s="76"/>
      <c r="K37" s="1532">
        <f>ROUND(SUM(K27)-SUM(K33),1)</f>
        <v>205.5</v>
      </c>
      <c r="L37" s="956"/>
      <c r="M37" s="1532">
        <f>ROUND(SUM(M27)-SUM(M33),1)</f>
        <v>30</v>
      </c>
      <c r="N37" s="84"/>
      <c r="O37" s="1532">
        <f>ROUND(SUM(O27)-SUM(O33),1)</f>
        <v>269</v>
      </c>
      <c r="P37" s="84"/>
      <c r="Q37" s="76">
        <f>ROUND(SUM(Q27)-SUM(Q33),1)</f>
        <v>223.5</v>
      </c>
      <c r="R37" s="84"/>
      <c r="S37" s="76">
        <f>ROUND(SUM(S27)-SUM(S33),1)</f>
        <v>193.5</v>
      </c>
      <c r="T37" s="1532"/>
      <c r="U37" s="1532">
        <f>ROUND(SUM(U27)-SUM(U33),1)</f>
        <v>-45.5</v>
      </c>
      <c r="V37" s="392"/>
      <c r="W37" s="76"/>
      <c r="X37" s="392"/>
      <c r="Y37" s="76"/>
      <c r="Z37" s="392"/>
      <c r="AA37" s="76"/>
      <c r="AB37" s="622"/>
    </row>
    <row r="38" spans="1:48" ht="15.75">
      <c r="B38" s="622"/>
      <c r="C38" s="1485"/>
      <c r="D38" s="932"/>
      <c r="E38" s="1485"/>
      <c r="F38" s="932"/>
      <c r="G38" s="670"/>
      <c r="H38" s="932"/>
      <c r="I38" s="670"/>
      <c r="J38" s="670"/>
      <c r="K38" s="670"/>
      <c r="L38" s="956"/>
      <c r="M38" s="670"/>
      <c r="N38" s="932"/>
      <c r="O38" s="670"/>
      <c r="P38" s="932"/>
      <c r="Q38" s="670"/>
      <c r="R38" s="932"/>
      <c r="S38" s="670"/>
      <c r="T38" s="670"/>
      <c r="U38" s="670"/>
      <c r="V38" s="670"/>
      <c r="W38" s="670"/>
      <c r="X38" s="670"/>
      <c r="Y38" s="670"/>
      <c r="Z38" s="670"/>
      <c r="AA38" s="670"/>
    </row>
    <row r="39" spans="1:48" ht="15.75">
      <c r="A39" s="173" t="s">
        <v>103</v>
      </c>
      <c r="B39" s="934" t="s">
        <v>15</v>
      </c>
      <c r="C39" s="115">
        <v>-471</v>
      </c>
      <c r="D39" s="1651"/>
      <c r="E39" s="115">
        <v>-471</v>
      </c>
      <c r="F39" s="932"/>
      <c r="G39" s="115">
        <f>'Exhibit I State'!E14</f>
        <v>-472.2</v>
      </c>
      <c r="H39" s="932"/>
      <c r="I39" s="81">
        <f>ROUND(SUM(G39-C39),1)</f>
        <v>-1.2</v>
      </c>
      <c r="J39" s="81"/>
      <c r="K39" s="81">
        <f>G39-E39</f>
        <v>-1.1999999999999886</v>
      </c>
      <c r="L39" s="956"/>
      <c r="M39" s="115">
        <v>-564</v>
      </c>
      <c r="N39" s="1651"/>
      <c r="O39" s="115">
        <v>-564</v>
      </c>
      <c r="P39" s="932"/>
      <c r="Q39" s="115">
        <f>'Exhibit I Federal'!E14</f>
        <v>-562.70000000000005</v>
      </c>
      <c r="R39" s="932"/>
      <c r="S39" s="81">
        <f>ROUND(SUM(Q39-M39),1)</f>
        <v>1.3</v>
      </c>
      <c r="T39" s="670"/>
      <c r="U39" s="81">
        <f>Q39-O39</f>
        <v>1.2999999999999545</v>
      </c>
      <c r="V39" s="670"/>
      <c r="W39" s="76"/>
      <c r="X39" s="670"/>
      <c r="Y39" s="76"/>
      <c r="Z39" s="670"/>
      <c r="AA39" s="81"/>
      <c r="AB39" s="622"/>
      <c r="AC39" s="622"/>
      <c r="AD39" s="622"/>
      <c r="AE39" s="622"/>
      <c r="AF39" s="622"/>
      <c r="AG39" s="622"/>
      <c r="AH39" s="622"/>
      <c r="AI39" s="622"/>
      <c r="AJ39" s="622"/>
      <c r="AK39" s="622"/>
      <c r="AL39" s="622"/>
      <c r="AM39" s="622"/>
      <c r="AN39" s="622"/>
      <c r="AO39" s="622"/>
      <c r="AP39" s="622"/>
      <c r="AQ39" s="622"/>
      <c r="AR39" s="622"/>
      <c r="AS39" s="622"/>
      <c r="AT39" s="622"/>
      <c r="AU39" s="622"/>
      <c r="AV39" s="935"/>
    </row>
    <row r="40" spans="1:48" ht="16.5" thickBot="1">
      <c r="A40" s="1380" t="str">
        <f>+'Exh D-Governmental  '!A50</f>
        <v>Fund Balances (Deficits) at January 31, 2021</v>
      </c>
      <c r="B40" s="180" t="s">
        <v>15</v>
      </c>
      <c r="C40" s="98">
        <f>ROUND(SUM(C37:C39),1)</f>
        <v>-1495</v>
      </c>
      <c r="D40" s="181"/>
      <c r="E40" s="98">
        <f>ROUND(SUM(E37:E39),1)</f>
        <v>-1129</v>
      </c>
      <c r="F40" s="181"/>
      <c r="G40" s="98">
        <f>ROUND(SUM(G37:G39),1)</f>
        <v>-924.7</v>
      </c>
      <c r="H40" s="181"/>
      <c r="I40" s="98">
        <f>ROUND(SUM(I37:I39),1)</f>
        <v>570.29999999999995</v>
      </c>
      <c r="J40" s="219"/>
      <c r="K40" s="98">
        <f>ROUND(SUM(K37:K39),1)</f>
        <v>204.3</v>
      </c>
      <c r="L40" s="957"/>
      <c r="M40" s="98">
        <f>ROUND(SUM(M37:M39),1)</f>
        <v>-534</v>
      </c>
      <c r="N40" s="181"/>
      <c r="O40" s="98">
        <f>ROUND(SUM(O37:O39),1)</f>
        <v>-295</v>
      </c>
      <c r="P40" s="181"/>
      <c r="Q40" s="98">
        <f>ROUND(SUM(Q37:Q39),1)</f>
        <v>-339.2</v>
      </c>
      <c r="R40" s="181"/>
      <c r="S40" s="98">
        <f>ROUND(SUM(S37:S39),1)</f>
        <v>194.8</v>
      </c>
      <c r="T40" s="181"/>
      <c r="U40" s="98">
        <f>ROUND(SUM(U37:U39),1)</f>
        <v>-44.2</v>
      </c>
      <c r="V40" s="975"/>
      <c r="W40" s="219"/>
      <c r="X40" s="975"/>
      <c r="Y40" s="219"/>
      <c r="Z40" s="975"/>
      <c r="AA40" s="219"/>
      <c r="AB40" s="622"/>
      <c r="AC40" s="622"/>
      <c r="AD40" s="622"/>
      <c r="AE40" s="622"/>
      <c r="AF40" s="622"/>
      <c r="AG40" s="622"/>
      <c r="AH40" s="622"/>
      <c r="AI40" s="622"/>
      <c r="AJ40" s="622"/>
      <c r="AK40" s="622"/>
      <c r="AL40" s="622"/>
      <c r="AM40" s="622"/>
      <c r="AN40" s="622"/>
      <c r="AO40" s="622"/>
      <c r="AP40" s="622"/>
      <c r="AQ40" s="622"/>
      <c r="AR40" s="622"/>
      <c r="AS40" s="622"/>
      <c r="AT40" s="622"/>
      <c r="AU40" s="622"/>
      <c r="AV40" s="935"/>
    </row>
    <row r="41" spans="1:48" ht="15.75" thickTop="1">
      <c r="B41" s="622"/>
      <c r="L41" s="622"/>
      <c r="N41" s="935"/>
      <c r="P41" s="935"/>
      <c r="Q41" s="958"/>
      <c r="R41" s="935"/>
      <c r="S41" s="935"/>
      <c r="U41" s="935"/>
      <c r="W41" s="622"/>
      <c r="Y41" s="933"/>
    </row>
    <row r="42" spans="1:48">
      <c r="A42" s="936" t="str">
        <f>'Exh D-Governmental  '!A52</f>
        <v>(*)    Source: 2020-21 Enacted Financial Plan dated April 25, 2020.</v>
      </c>
      <c r="B42" s="622"/>
      <c r="S42" s="1413"/>
    </row>
    <row r="43" spans="1:48" s="993" customFormat="1">
      <c r="A43" s="936" t="str">
        <f>'Exh D-Governmental  '!A53</f>
        <v>(**)   Source: 2021-22 Executive Budget dated January 19, 2021.</v>
      </c>
      <c r="B43" s="1941"/>
      <c r="C43" s="426"/>
      <c r="D43" s="951"/>
      <c r="E43" s="426"/>
      <c r="F43" s="951"/>
      <c r="G43" s="951"/>
      <c r="H43" s="951"/>
      <c r="I43" s="951"/>
      <c r="J43" s="951"/>
      <c r="K43" s="1941"/>
      <c r="L43" s="426"/>
      <c r="M43" s="1941"/>
      <c r="N43" s="1941"/>
      <c r="O43" s="1941"/>
      <c r="P43" s="1941"/>
      <c r="Q43" s="1941"/>
      <c r="R43" s="1941"/>
      <c r="S43" s="1941"/>
      <c r="T43" s="1941"/>
      <c r="U43" s="1941"/>
      <c r="V43" s="1941"/>
      <c r="W43" s="1941"/>
      <c r="X43" s="1941"/>
      <c r="Y43" s="1941"/>
      <c r="Z43" s="1941"/>
      <c r="AA43" s="1941"/>
      <c r="AB43" s="1941"/>
      <c r="AC43" s="1941"/>
      <c r="AD43" s="1941"/>
      <c r="AE43" s="1941"/>
      <c r="AF43" s="1941"/>
      <c r="AG43" s="1941"/>
      <c r="AH43" s="1941"/>
      <c r="AI43" s="1941"/>
      <c r="AJ43" s="1941"/>
      <c r="AK43" s="951"/>
    </row>
    <row r="44" spans="1:48">
      <c r="A44" s="1499"/>
      <c r="B44" s="622"/>
      <c r="Y44" s="947"/>
      <c r="Z44" s="924"/>
      <c r="AA44" s="947"/>
      <c r="AB44" s="657"/>
      <c r="AC44" s="959"/>
    </row>
    <row r="45" spans="1:48">
      <c r="A45" s="1499"/>
      <c r="B45" s="622"/>
    </row>
    <row r="46" spans="1:48">
      <c r="A46" s="1051"/>
      <c r="B46" s="622"/>
    </row>
    <row r="47" spans="1:48">
      <c r="A47" s="183"/>
      <c r="B47" s="622"/>
    </row>
    <row r="48" spans="1:48">
      <c r="B48" s="622"/>
    </row>
    <row r="49" spans="2:7">
      <c r="B49" s="622"/>
    </row>
    <row r="52" spans="2:7">
      <c r="G52" s="958"/>
    </row>
  </sheetData>
  <mergeCells count="3">
    <mergeCell ref="A5:E5"/>
    <mergeCell ref="C11:I11"/>
    <mergeCell ref="M11:S11"/>
  </mergeCells>
  <printOptions horizontalCentered="1"/>
  <pageMargins left="0.2" right="0.2" top="0.75" bottom="0.75" header="0.3" footer="0.3"/>
  <pageSetup scale="49" firstPageNumber="14" orientation="landscape" useFirstPageNumber="1" r:id="rId1"/>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Sheet42">
    <pageSetUpPr fitToPage="1"/>
  </sheetPr>
  <dimension ref="A1:AL63"/>
  <sheetViews>
    <sheetView showGridLines="0" zoomScale="80" zoomScaleNormal="80" workbookViewId="0"/>
  </sheetViews>
  <sheetFormatPr defaultColWidth="9.6640625" defaultRowHeight="12.75"/>
  <cols>
    <col min="1" max="1" width="32.109375" style="2808" customWidth="1"/>
    <col min="2" max="2" width="10.6640625" style="2808" customWidth="1"/>
    <col min="3" max="3" width="3.44140625" style="2808" customWidth="1"/>
    <col min="4" max="4" width="12.109375" style="2808" customWidth="1"/>
    <col min="5" max="5" width="1.6640625" style="2808" customWidth="1"/>
    <col min="6" max="6" width="17" style="2808" bestFit="1" customWidth="1"/>
    <col min="7" max="7" width="1.6640625" style="2808" customWidth="1"/>
    <col min="8" max="8" width="12.109375" style="2808" customWidth="1"/>
    <col min="9" max="9" width="1.6640625" style="2808" customWidth="1"/>
    <col min="10" max="10" width="12.109375" style="2808" customWidth="1"/>
    <col min="11" max="11" width="1.6640625" style="2808" customWidth="1"/>
    <col min="12" max="12" width="12.109375" style="2808" customWidth="1"/>
    <col min="13" max="13" width="1.6640625" style="2808" customWidth="1"/>
    <col min="14" max="14" width="13" style="2808" customWidth="1"/>
    <col min="15" max="15" width="1.6640625" style="2808" customWidth="1"/>
    <col min="16" max="16" width="12.109375" style="2808" customWidth="1"/>
    <col min="17" max="17" width="1.6640625" style="2808" customWidth="1"/>
    <col min="18" max="18" width="12.109375" style="2808" customWidth="1"/>
    <col min="19" max="19" width="1.6640625" style="2808" customWidth="1"/>
    <col min="20" max="20" width="1" style="2808" customWidth="1"/>
    <col min="21" max="21" width="1.6640625" style="2808" customWidth="1"/>
    <col min="22" max="22" width="15.5546875" style="2808" customWidth="1"/>
    <col min="23" max="23" width="1.6640625" style="2808" customWidth="1"/>
    <col min="24" max="24" width="17" style="2808" bestFit="1" customWidth="1"/>
    <col min="25" max="25" width="1.6640625" style="2808" customWidth="1"/>
    <col min="26" max="26" width="1" style="2808" customWidth="1"/>
    <col min="27" max="27" width="1.6640625" style="2808" customWidth="1"/>
    <col min="28" max="28" width="17.109375" style="2834" customWidth="1"/>
    <col min="29" max="29" width="3.6640625" style="2834" customWidth="1"/>
    <col min="30" max="30" width="16.109375" style="2834" customWidth="1"/>
    <col min="31" max="31" width="1.5546875" style="2834" customWidth="1"/>
    <col min="32" max="32" width="0.44140625" style="2834" customWidth="1"/>
    <col min="33" max="33" width="1.5546875" style="2834" customWidth="1"/>
    <col min="34" max="34" width="14.5546875" style="2834" bestFit="1" customWidth="1"/>
    <col min="35" max="35" width="1.6640625" style="2808" customWidth="1"/>
    <col min="36" max="36" width="13.109375" style="2808" customWidth="1"/>
    <col min="37" max="37" width="2.109375" style="2808" customWidth="1"/>
    <col min="38" max="38" width="1.6640625" style="2808" customWidth="1"/>
    <col min="39" max="16384" width="9.6640625" style="2808"/>
  </cols>
  <sheetData>
    <row r="1" spans="1:38" s="2800" customFormat="1" ht="15">
      <c r="A1" s="2234" t="s">
        <v>963</v>
      </c>
      <c r="AB1" s="3116"/>
      <c r="AC1" s="3116"/>
      <c r="AD1" s="3116"/>
      <c r="AE1" s="3116"/>
      <c r="AF1" s="3116"/>
      <c r="AG1" s="3116"/>
      <c r="AH1" s="3116"/>
    </row>
    <row r="2" spans="1:38" s="2803" customFormat="1">
      <c r="A2" s="2801"/>
      <c r="B2" s="2802"/>
      <c r="C2" s="2802"/>
      <c r="D2" s="2800"/>
      <c r="E2" s="2802"/>
      <c r="F2" s="2802"/>
      <c r="G2" s="2802"/>
      <c r="H2" s="2802"/>
      <c r="I2" s="2802"/>
      <c r="J2" s="2802"/>
      <c r="K2" s="2802"/>
      <c r="L2" s="2802"/>
      <c r="M2" s="2802"/>
      <c r="N2" s="2802"/>
      <c r="O2" s="2802"/>
      <c r="P2" s="2802"/>
      <c r="Q2" s="2802"/>
      <c r="R2" s="2802"/>
      <c r="S2" s="2802"/>
      <c r="T2" s="2802"/>
      <c r="U2" s="2802"/>
      <c r="V2" s="2802"/>
      <c r="W2" s="2802"/>
      <c r="X2" s="2802"/>
      <c r="Y2" s="2802"/>
      <c r="Z2" s="2802"/>
      <c r="AA2" s="2802"/>
      <c r="AB2" s="3117"/>
      <c r="AC2" s="3117"/>
      <c r="AD2" s="3117"/>
      <c r="AE2" s="3117"/>
      <c r="AF2" s="3117"/>
      <c r="AG2" s="3117"/>
      <c r="AH2" s="3117"/>
    </row>
    <row r="3" spans="1:38" ht="18">
      <c r="A3" s="2804" t="s">
        <v>0</v>
      </c>
      <c r="B3" s="2805"/>
      <c r="C3" s="2805"/>
      <c r="D3" s="2800"/>
      <c r="E3" s="2805"/>
      <c r="F3" s="2805"/>
      <c r="G3" s="2805"/>
      <c r="H3" s="2805"/>
      <c r="I3" s="2805"/>
      <c r="J3" s="2805"/>
      <c r="K3" s="2805"/>
      <c r="L3" s="2806"/>
      <c r="M3" s="2806"/>
      <c r="N3" s="2806"/>
      <c r="O3" s="2806"/>
      <c r="P3" s="2805"/>
      <c r="Q3" s="2805"/>
      <c r="R3" s="2805"/>
      <c r="S3" s="2806"/>
      <c r="T3" s="2805"/>
      <c r="U3" s="2806"/>
      <c r="V3" s="2806"/>
      <c r="W3" s="2806"/>
      <c r="X3" s="2806"/>
      <c r="Y3" s="2806"/>
      <c r="Z3" s="2806"/>
      <c r="AA3" s="2806"/>
      <c r="AB3" s="3118"/>
      <c r="AC3" s="3118"/>
      <c r="AD3" s="3118"/>
      <c r="AE3" s="3118"/>
      <c r="AF3" s="3369"/>
      <c r="AG3" s="3369"/>
      <c r="AH3" s="2833"/>
      <c r="AI3" s="2807"/>
    </row>
    <row r="4" spans="1:38" ht="18">
      <c r="A4" s="2809" t="s">
        <v>1</v>
      </c>
      <c r="B4" s="2805"/>
      <c r="C4" s="2805"/>
      <c r="D4" s="2800"/>
      <c r="E4" s="2805"/>
      <c r="F4" s="2805"/>
      <c r="G4" s="2805"/>
      <c r="H4" s="2805"/>
      <c r="I4" s="2805"/>
      <c r="J4" s="2805"/>
      <c r="K4" s="2805"/>
      <c r="L4" s="2806"/>
      <c r="M4" s="2806"/>
      <c r="N4" s="2806"/>
      <c r="O4" s="2806"/>
      <c r="P4" s="2805"/>
      <c r="Q4" s="2805"/>
      <c r="R4" s="2805"/>
      <c r="S4" s="2806"/>
      <c r="T4" s="2805"/>
      <c r="U4" s="2806"/>
      <c r="V4" s="2806"/>
      <c r="W4" s="2806"/>
      <c r="X4" s="2806"/>
      <c r="Y4" s="2806"/>
      <c r="Z4" s="2806"/>
      <c r="AA4" s="2806"/>
      <c r="AB4" s="3118"/>
      <c r="AC4" s="3118"/>
      <c r="AD4" s="3118"/>
      <c r="AE4" s="3118"/>
      <c r="AF4" s="3369"/>
      <c r="AG4" s="3369"/>
      <c r="AH4" s="2833"/>
      <c r="AI4" s="2807"/>
    </row>
    <row r="5" spans="1:38" ht="18">
      <c r="A5" s="2804" t="s">
        <v>1516</v>
      </c>
      <c r="B5" s="2805"/>
      <c r="C5" s="2805"/>
      <c r="D5" s="2800"/>
      <c r="E5" s="2805"/>
      <c r="F5" s="2805"/>
      <c r="G5" s="2805"/>
      <c r="H5" s="2806"/>
      <c r="I5" s="2806"/>
      <c r="J5" s="2806"/>
      <c r="K5" s="2805"/>
      <c r="L5" s="2806"/>
      <c r="M5" s="2806"/>
      <c r="N5" s="2806"/>
      <c r="O5" s="2806"/>
      <c r="P5" s="2805"/>
      <c r="Q5" s="2805"/>
      <c r="R5" s="2805"/>
      <c r="S5" s="2806"/>
      <c r="T5" s="2805"/>
      <c r="U5" s="2806"/>
      <c r="V5" s="2806"/>
      <c r="W5" s="2806"/>
      <c r="X5" s="2806"/>
      <c r="Y5" s="2806"/>
      <c r="Z5" s="2806"/>
      <c r="AA5" s="2806"/>
      <c r="AB5" s="3118"/>
      <c r="AC5" s="3118"/>
      <c r="AD5" s="3118"/>
      <c r="AE5" s="3118"/>
      <c r="AF5" s="3369"/>
      <c r="AG5" s="3369"/>
      <c r="AH5" s="2833"/>
      <c r="AI5" s="2807"/>
    </row>
    <row r="6" spans="1:38" ht="18">
      <c r="A6" s="2804" t="s">
        <v>1363</v>
      </c>
      <c r="B6" s="2805"/>
      <c r="C6" s="2805"/>
      <c r="D6" s="2800"/>
      <c r="E6" s="2805"/>
      <c r="F6" s="2805"/>
      <c r="G6" s="2805"/>
      <c r="H6" s="2805"/>
      <c r="I6" s="2805"/>
      <c r="J6" s="2805"/>
      <c r="K6" s="2805"/>
      <c r="L6" s="2806"/>
      <c r="M6" s="2806"/>
      <c r="N6" s="2806"/>
      <c r="O6" s="2806"/>
      <c r="P6" s="2805"/>
      <c r="Q6" s="2805"/>
      <c r="R6" s="2805"/>
      <c r="S6" s="2806"/>
      <c r="T6" s="2805"/>
      <c r="U6" s="2806"/>
      <c r="V6" s="2806"/>
      <c r="W6" s="2806"/>
      <c r="X6" s="2806"/>
      <c r="Y6" s="2806"/>
      <c r="Z6" s="2806"/>
      <c r="AA6" s="2806"/>
      <c r="AB6" s="3118"/>
      <c r="AC6" s="3118"/>
      <c r="AD6" s="3118"/>
      <c r="AE6" s="3118"/>
      <c r="AF6" s="3369"/>
      <c r="AG6" s="3369"/>
      <c r="AH6" s="2833"/>
      <c r="AI6" s="2807"/>
    </row>
    <row r="7" spans="1:38" ht="18">
      <c r="A7" s="2805"/>
      <c r="B7" s="2805"/>
      <c r="C7" s="2805"/>
      <c r="D7" s="2800"/>
      <c r="E7" s="2805"/>
      <c r="F7" s="2805"/>
      <c r="G7" s="2805"/>
      <c r="H7" s="2805"/>
      <c r="I7" s="2805"/>
      <c r="J7" s="2805"/>
      <c r="K7" s="2805"/>
      <c r="L7" s="2806"/>
      <c r="M7" s="2806"/>
      <c r="N7" s="2806"/>
      <c r="O7" s="2806"/>
      <c r="P7" s="2806"/>
      <c r="Q7" s="2806"/>
      <c r="R7" s="2806"/>
      <c r="S7" s="2806"/>
      <c r="T7" s="2806"/>
      <c r="U7" s="2806"/>
      <c r="V7" s="2806"/>
      <c r="W7" s="2806"/>
      <c r="X7" s="2806"/>
      <c r="Y7" s="2806"/>
      <c r="Z7" s="2806"/>
      <c r="AA7" s="2806"/>
      <c r="AB7" s="3119"/>
      <c r="AC7" s="3119"/>
      <c r="AD7" s="3119"/>
      <c r="AE7" s="3119"/>
      <c r="AF7" s="3369"/>
      <c r="AG7" s="3369"/>
      <c r="AH7" s="2833"/>
      <c r="AI7" s="2807"/>
      <c r="AJ7" s="2810" t="s">
        <v>890</v>
      </c>
    </row>
    <row r="8" spans="1:38" ht="15.75">
      <c r="A8" s="2234"/>
      <c r="B8" s="2234"/>
      <c r="C8" s="2234"/>
      <c r="D8" s="2800"/>
      <c r="E8" s="2234"/>
      <c r="F8" s="2234"/>
      <c r="G8" s="2234"/>
      <c r="H8" s="2234"/>
      <c r="I8" s="2234"/>
      <c r="J8" s="2234"/>
      <c r="K8" s="2234"/>
      <c r="L8" s="2316"/>
      <c r="M8" s="2316"/>
      <c r="N8" s="2316"/>
      <c r="O8" s="2316"/>
      <c r="P8" s="2316"/>
      <c r="Q8" s="2316"/>
      <c r="R8" s="2316"/>
      <c r="S8" s="2316"/>
      <c r="T8" s="2316"/>
      <c r="U8" s="2316"/>
      <c r="V8" s="2316"/>
      <c r="W8" s="2316"/>
      <c r="X8" s="2316"/>
      <c r="Y8" s="2316"/>
      <c r="Z8" s="2316"/>
      <c r="AA8" s="2316"/>
      <c r="AB8" s="3075"/>
      <c r="AC8" s="3075"/>
      <c r="AD8" s="3075"/>
      <c r="AE8" s="3075"/>
      <c r="AF8" s="2335"/>
      <c r="AG8" s="2335"/>
      <c r="AH8" s="2833"/>
      <c r="AI8" s="2807"/>
    </row>
    <row r="9" spans="1:38" ht="15.75">
      <c r="A9" s="2234"/>
      <c r="B9" s="2234"/>
      <c r="C9" s="2234"/>
      <c r="D9" s="2800"/>
      <c r="E9" s="2316"/>
      <c r="F9" s="2316"/>
      <c r="G9" s="2316"/>
      <c r="H9" s="2316"/>
      <c r="I9" s="2316"/>
      <c r="J9" s="2316"/>
      <c r="K9" s="2316"/>
      <c r="L9" s="2316"/>
      <c r="M9" s="2316"/>
      <c r="N9" s="2316"/>
      <c r="O9" s="2316"/>
      <c r="P9" s="2316"/>
      <c r="Q9" s="2316"/>
      <c r="R9" s="2316"/>
      <c r="S9" s="2316"/>
      <c r="T9" s="2316"/>
      <c r="U9" s="2316"/>
      <c r="V9" s="2811"/>
      <c r="W9" s="2811"/>
      <c r="X9" s="2811"/>
      <c r="Y9" s="2811"/>
      <c r="Z9" s="2811"/>
      <c r="AA9" s="2811"/>
      <c r="AB9" s="3120"/>
      <c r="AC9" s="3120"/>
      <c r="AD9" s="3120"/>
      <c r="AE9" s="3120"/>
      <c r="AF9" s="3075"/>
      <c r="AG9" s="3075"/>
      <c r="AH9" s="3370"/>
      <c r="AI9" s="2812"/>
    </row>
    <row r="10" spans="1:38" ht="4.3499999999999996" customHeight="1">
      <c r="A10" s="2234"/>
      <c r="B10" s="2234"/>
      <c r="C10" s="2234"/>
      <c r="D10" s="2234"/>
      <c r="E10" s="2234"/>
      <c r="F10" s="2234"/>
      <c r="G10" s="2234"/>
      <c r="H10" s="2234"/>
      <c r="I10" s="2234"/>
      <c r="J10" s="2234"/>
      <c r="K10" s="2234"/>
      <c r="L10" s="2234"/>
      <c r="M10" s="2234"/>
      <c r="N10" s="2234"/>
      <c r="O10" s="2234"/>
      <c r="P10" s="2234"/>
      <c r="Q10" s="2234"/>
      <c r="R10" s="2234"/>
      <c r="S10" s="2234"/>
      <c r="T10" s="2257"/>
      <c r="U10" s="2257"/>
      <c r="V10" s="2234"/>
      <c r="W10" s="2234"/>
      <c r="X10" s="2234"/>
      <c r="Y10" s="2234"/>
      <c r="Z10" s="2234"/>
      <c r="AA10" s="2234"/>
      <c r="AB10" s="2335"/>
      <c r="AC10" s="2335"/>
      <c r="AD10" s="2335"/>
      <c r="AE10" s="2335"/>
      <c r="AF10" s="2335"/>
      <c r="AG10" s="2335"/>
      <c r="AH10" s="2833"/>
      <c r="AI10" s="2807"/>
    </row>
    <row r="11" spans="1:38" ht="15" customHeight="1">
      <c r="A11" s="2234"/>
      <c r="B11" s="2234"/>
      <c r="C11" s="2234"/>
      <c r="D11" s="2813" t="s">
        <v>3</v>
      </c>
      <c r="E11" s="2813"/>
      <c r="F11" s="2813"/>
      <c r="G11" s="2257"/>
      <c r="H11" s="2813" t="s">
        <v>56</v>
      </c>
      <c r="I11" s="2813"/>
      <c r="J11" s="2813"/>
      <c r="K11" s="2257"/>
      <c r="L11" s="2813" t="s">
        <v>5</v>
      </c>
      <c r="M11" s="2813"/>
      <c r="N11" s="2813"/>
      <c r="O11" s="2257"/>
      <c r="P11" s="2813" t="s">
        <v>120</v>
      </c>
      <c r="Q11" s="2813"/>
      <c r="R11" s="2813"/>
      <c r="S11" s="2234"/>
      <c r="T11" s="2257"/>
      <c r="U11" s="2257"/>
      <c r="V11" s="2814" t="s">
        <v>891</v>
      </c>
      <c r="W11" s="2813"/>
      <c r="X11" s="2813"/>
      <c r="Y11" s="2813"/>
      <c r="Z11" s="2815"/>
      <c r="AA11" s="2815"/>
      <c r="AB11" s="3489"/>
      <c r="AC11" s="3489"/>
      <c r="AD11" s="3489"/>
      <c r="AE11" s="3371"/>
      <c r="AF11" s="3372"/>
      <c r="AG11" s="3373"/>
      <c r="AH11" s="3374" t="s">
        <v>892</v>
      </c>
      <c r="AI11" s="2813"/>
      <c r="AJ11" s="2813"/>
    </row>
    <row r="12" spans="1:38" ht="15.75">
      <c r="A12" s="2234"/>
      <c r="B12" s="2234"/>
      <c r="C12" s="2234"/>
      <c r="D12" s="1504" t="s">
        <v>7</v>
      </c>
      <c r="E12" s="1504"/>
      <c r="F12" s="2816" t="str">
        <f>'Exhibit A'!F11</f>
        <v>10 MOS. ENDED</v>
      </c>
      <c r="G12" s="2332"/>
      <c r="H12" s="1504" t="s">
        <v>7</v>
      </c>
      <c r="I12" s="1505"/>
      <c r="J12" s="1504" t="str">
        <f>F12</f>
        <v>10 MOS. ENDED</v>
      </c>
      <c r="K12" s="2332"/>
      <c r="L12" s="1504" t="s">
        <v>7</v>
      </c>
      <c r="M12" s="1505"/>
      <c r="N12" s="1504" t="str">
        <f>F12</f>
        <v>10 MOS. ENDED</v>
      </c>
      <c r="O12" s="2332"/>
      <c r="P12" s="1504" t="s">
        <v>7</v>
      </c>
      <c r="Q12" s="1505"/>
      <c r="R12" s="1504" t="str">
        <f>F12</f>
        <v>10 MOS. ENDED</v>
      </c>
      <c r="S12" s="2316"/>
      <c r="T12" s="2332"/>
      <c r="U12" s="2332"/>
      <c r="V12" s="1504" t="s">
        <v>7</v>
      </c>
      <c r="W12" s="1504"/>
      <c r="X12" s="1504" t="str">
        <f>F12</f>
        <v>10 MOS. ENDED</v>
      </c>
      <c r="Y12" s="1504"/>
      <c r="Z12" s="1506"/>
      <c r="AA12" s="1506"/>
      <c r="AB12" s="3490" t="s">
        <v>7</v>
      </c>
      <c r="AC12" s="3490"/>
      <c r="AD12" s="3490" t="str">
        <f>F12</f>
        <v>10 MOS. ENDED</v>
      </c>
      <c r="AE12" s="3375"/>
      <c r="AF12" s="3375"/>
      <c r="AG12" s="3376"/>
      <c r="AH12" s="3377" t="s">
        <v>8</v>
      </c>
      <c r="AI12" s="1505"/>
      <c r="AJ12" s="2816" t="s">
        <v>9</v>
      </c>
      <c r="AK12" s="2817"/>
      <c r="AL12" s="2807"/>
    </row>
    <row r="13" spans="1:38" ht="15.75">
      <c r="A13" s="2234"/>
      <c r="B13" s="2234"/>
      <c r="C13" s="2234"/>
      <c r="D13" s="1507" t="str">
        <f>'Exhibit A'!D12</f>
        <v>JAN. 2021</v>
      </c>
      <c r="E13" s="1510"/>
      <c r="F13" s="1507" t="str">
        <f>'Exhibit A'!F12</f>
        <v>JAN. 31, 2021</v>
      </c>
      <c r="G13" s="2316"/>
      <c r="H13" s="1507" t="str">
        <f>D13</f>
        <v>JAN. 2021</v>
      </c>
      <c r="I13" s="1510"/>
      <c r="J13" s="1507" t="str">
        <f>F13</f>
        <v>JAN. 31, 2021</v>
      </c>
      <c r="K13" s="2316"/>
      <c r="L13" s="1507" t="str">
        <f>D13</f>
        <v>JAN. 2021</v>
      </c>
      <c r="M13" s="1510"/>
      <c r="N13" s="1507" t="str">
        <f>F13</f>
        <v>JAN. 31, 2021</v>
      </c>
      <c r="O13" s="2316"/>
      <c r="P13" s="1507" t="str">
        <f>D13</f>
        <v>JAN. 2021</v>
      </c>
      <c r="Q13" s="1510"/>
      <c r="R13" s="1507" t="str">
        <f>F13</f>
        <v>JAN. 31, 2021</v>
      </c>
      <c r="S13" s="2316"/>
      <c r="T13" s="2332"/>
      <c r="U13" s="2332"/>
      <c r="V13" s="1508" t="str">
        <f>D13</f>
        <v>JAN. 2021</v>
      </c>
      <c r="W13" s="1509"/>
      <c r="X13" s="1508" t="str">
        <f>F13</f>
        <v>JAN. 31, 2021</v>
      </c>
      <c r="Y13" s="1509"/>
      <c r="Z13" s="2818"/>
      <c r="AA13" s="2818"/>
      <c r="AB13" s="3491" t="str">
        <f>'Exhibit A'!AB12</f>
        <v>JAN. 2020</v>
      </c>
      <c r="AC13" s="3121"/>
      <c r="AD13" s="3491" t="str">
        <f>'Exhibit A'!AD12</f>
        <v>JAN. 31, 2020</v>
      </c>
      <c r="AE13" s="3121"/>
      <c r="AF13" s="3378"/>
      <c r="AG13" s="3379"/>
      <c r="AH13" s="3380" t="s">
        <v>12</v>
      </c>
      <c r="AI13" s="1510"/>
      <c r="AJ13" s="1507" t="s">
        <v>13</v>
      </c>
      <c r="AK13" s="2817"/>
      <c r="AL13" s="2819"/>
    </row>
    <row r="14" spans="1:38" ht="15">
      <c r="A14" s="2234"/>
      <c r="B14" s="2234"/>
      <c r="C14" s="2234"/>
      <c r="D14" s="2257"/>
      <c r="E14" s="2257"/>
      <c r="F14" s="2257"/>
      <c r="G14" s="2234"/>
      <c r="H14" s="2257"/>
      <c r="I14" s="2257"/>
      <c r="J14" s="2257"/>
      <c r="K14" s="2234"/>
      <c r="L14" s="2257"/>
      <c r="M14" s="2257"/>
      <c r="N14" s="2257"/>
      <c r="O14" s="2234"/>
      <c r="P14" s="2257"/>
      <c r="Q14" s="2257"/>
      <c r="R14" s="2257"/>
      <c r="S14" s="2234"/>
      <c r="T14" s="2820"/>
      <c r="U14" s="2820"/>
      <c r="V14" s="2821"/>
      <c r="W14" s="2257"/>
      <c r="X14" s="2821"/>
      <c r="Y14" s="2257"/>
      <c r="Z14" s="2822"/>
      <c r="AA14" s="2257"/>
      <c r="AB14" s="3492"/>
      <c r="AC14" s="3122"/>
      <c r="AD14" s="3492"/>
      <c r="AE14" s="3122"/>
      <c r="AF14" s="3539"/>
      <c r="AG14" s="3122"/>
      <c r="AH14" s="3122"/>
      <c r="AI14" s="2257"/>
      <c r="AJ14" s="2823"/>
      <c r="AK14" s="2807"/>
      <c r="AL14" s="2807"/>
    </row>
    <row r="15" spans="1:38" ht="18" customHeight="1">
      <c r="A15" s="2824" t="s">
        <v>1167</v>
      </c>
      <c r="B15" s="2825"/>
      <c r="C15" s="2825"/>
      <c r="D15" s="2234"/>
      <c r="E15" s="2234"/>
      <c r="F15" s="2234"/>
      <c r="G15" s="2234"/>
      <c r="H15" s="2234"/>
      <c r="I15" s="2234"/>
      <c r="J15" s="2234"/>
      <c r="K15" s="2234"/>
      <c r="L15" s="2234"/>
      <c r="M15" s="2234"/>
      <c r="N15" s="2234"/>
      <c r="O15" s="2234"/>
      <c r="P15" s="2234"/>
      <c r="Q15" s="2234"/>
      <c r="R15" s="2234"/>
      <c r="S15" s="2234"/>
      <c r="T15" s="2820"/>
      <c r="U15" s="2820"/>
      <c r="V15" s="2234"/>
      <c r="W15" s="2234"/>
      <c r="X15" s="2234"/>
      <c r="Y15" s="2234"/>
      <c r="Z15" s="2822"/>
      <c r="AA15" s="2257"/>
      <c r="AB15" s="2335"/>
      <c r="AC15" s="2335"/>
      <c r="AD15" s="2335"/>
      <c r="AE15" s="2335"/>
      <c r="AF15" s="3539"/>
      <c r="AG15" s="2335"/>
      <c r="AH15" s="2335"/>
      <c r="AI15" s="2234"/>
      <c r="AJ15" s="2823"/>
      <c r="AK15" s="2807"/>
      <c r="AL15" s="2807"/>
    </row>
    <row r="16" spans="1:38" s="2834" customFormat="1" ht="18" customHeight="1">
      <c r="A16" s="2826" t="s">
        <v>893</v>
      </c>
      <c r="B16" s="2826"/>
      <c r="C16" s="2827"/>
      <c r="D16" s="1788">
        <f>'Exhibit F'!V17</f>
        <v>4626.5000000000045</v>
      </c>
      <c r="E16" s="2828"/>
      <c r="F16" s="1788">
        <f>'Exhibit F'!AC17</f>
        <v>33862.300000000003</v>
      </c>
      <c r="G16" s="2828"/>
      <c r="H16" s="1799">
        <v>0</v>
      </c>
      <c r="I16" s="2828"/>
      <c r="J16" s="1799">
        <v>0</v>
      </c>
      <c r="K16" s="2828"/>
      <c r="L16" s="1799">
        <v>0</v>
      </c>
      <c r="M16" s="2828"/>
      <c r="N16" s="1799">
        <v>0</v>
      </c>
      <c r="O16" s="2828"/>
      <c r="P16" s="1799">
        <v>0</v>
      </c>
      <c r="Q16" s="2828"/>
      <c r="R16" s="1799">
        <v>0</v>
      </c>
      <c r="S16" s="1788"/>
      <c r="T16" s="2829"/>
      <c r="U16" s="2830"/>
      <c r="V16" s="1830">
        <f t="shared" ref="V16:V20" si="0">SUM(D16)+SUM(H16)+SUM(L16)+SUM(P16)</f>
        <v>4626.5000000000045</v>
      </c>
      <c r="W16" s="2828"/>
      <c r="X16" s="1830">
        <f>SUM(F16)+SUM(J16)+SUM(N16)+SUM(R16)</f>
        <v>33862.300000000003</v>
      </c>
      <c r="Y16" s="2831"/>
      <c r="Z16" s="2832"/>
      <c r="AA16" s="2828"/>
      <c r="AB16" s="3493">
        <v>5045.6000000000004</v>
      </c>
      <c r="AC16" s="2828"/>
      <c r="AD16" s="1830">
        <f>'Cashflow Governmental'!AE21</f>
        <v>33882.400000000001</v>
      </c>
      <c r="AE16" s="1830"/>
      <c r="AF16" s="3539"/>
      <c r="AG16" s="2831"/>
      <c r="AH16" s="1830">
        <f>ROUND(SUM(X16)-SUM(AD16),1)</f>
        <v>-20.100000000000001</v>
      </c>
      <c r="AI16" s="2406"/>
      <c r="AJ16" s="1831">
        <f>ROUND(AH16/AD16,3)</f>
        <v>-1E-3</v>
      </c>
      <c r="AK16" s="1832"/>
      <c r="AL16" s="2833"/>
    </row>
    <row r="17" spans="1:38" s="2834" customFormat="1" ht="18" customHeight="1">
      <c r="A17" s="2835" t="s">
        <v>960</v>
      </c>
      <c r="B17" s="2826"/>
      <c r="C17" s="2836"/>
      <c r="D17" s="621">
        <f>'Exhibit F'!V18</f>
        <v>4810.1999999999989</v>
      </c>
      <c r="E17" s="621"/>
      <c r="F17" s="621">
        <f>'Exhibit F'!AC18</f>
        <v>16157.9</v>
      </c>
      <c r="G17" s="621"/>
      <c r="H17" s="1790">
        <v>0</v>
      </c>
      <c r="I17" s="1792"/>
      <c r="J17" s="1791">
        <v>0</v>
      </c>
      <c r="K17" s="621"/>
      <c r="L17" s="1790">
        <v>0</v>
      </c>
      <c r="M17" s="1792"/>
      <c r="N17" s="1791">
        <v>0</v>
      </c>
      <c r="O17" s="621"/>
      <c r="P17" s="1790">
        <v>0</v>
      </c>
      <c r="Q17" s="1792"/>
      <c r="R17" s="1791">
        <v>0</v>
      </c>
      <c r="S17" s="621"/>
      <c r="T17" s="2837"/>
      <c r="U17" s="2837"/>
      <c r="V17" s="1792">
        <f t="shared" si="0"/>
        <v>4810.1999999999989</v>
      </c>
      <c r="W17" s="1420"/>
      <c r="X17" s="1792">
        <f t="shared" ref="X17:X24" si="1">SUM(F17)+SUM(J17)+SUM(N17)+SUM(R17)</f>
        <v>16157.9</v>
      </c>
      <c r="Y17" s="2838"/>
      <c r="Z17" s="2839"/>
      <c r="AA17" s="1420"/>
      <c r="AB17" s="1789">
        <v>3842.2</v>
      </c>
      <c r="AC17" s="621"/>
      <c r="AD17" s="1792">
        <f>'Cashflow Governmental'!AE22</f>
        <v>16798</v>
      </c>
      <c r="AE17" s="1792"/>
      <c r="AF17" s="3539"/>
      <c r="AG17" s="2838"/>
      <c r="AH17" s="1792">
        <f>ROUND(SUM(X17)-SUM(AD17),1)</f>
        <v>-640.1</v>
      </c>
      <c r="AI17" s="2840"/>
      <c r="AJ17" s="1832">
        <f>ROUND(AH17/AD17,3)</f>
        <v>-3.7999999999999999E-2</v>
      </c>
      <c r="AK17" s="1832"/>
      <c r="AL17" s="2833"/>
    </row>
    <row r="18" spans="1:38" s="2834" customFormat="1" ht="18" customHeight="1">
      <c r="A18" s="2826" t="s">
        <v>894</v>
      </c>
      <c r="B18" s="2826" t="s">
        <v>15</v>
      </c>
      <c r="C18" s="2826"/>
      <c r="D18" s="621">
        <f>'Exhibit F'!V19</f>
        <v>22.5</v>
      </c>
      <c r="E18" s="621"/>
      <c r="F18" s="621">
        <f>'Exhibit F'!AC19</f>
        <v>3276.7</v>
      </c>
      <c r="G18" s="621"/>
      <c r="H18" s="1790">
        <v>0</v>
      </c>
      <c r="I18" s="1792"/>
      <c r="J18" s="1791">
        <v>0</v>
      </c>
      <c r="K18" s="621"/>
      <c r="L18" s="1790">
        <v>0</v>
      </c>
      <c r="M18" s="1792"/>
      <c r="N18" s="1791">
        <v>0</v>
      </c>
      <c r="O18" s="621"/>
      <c r="P18" s="1790">
        <v>0</v>
      </c>
      <c r="Q18" s="1792"/>
      <c r="R18" s="1791">
        <v>0</v>
      </c>
      <c r="S18" s="621"/>
      <c r="T18" s="2837"/>
      <c r="U18" s="2837"/>
      <c r="V18" s="1792">
        <f t="shared" si="0"/>
        <v>22.5</v>
      </c>
      <c r="W18" s="1420"/>
      <c r="X18" s="1792">
        <f t="shared" si="1"/>
        <v>3276.7</v>
      </c>
      <c r="Y18" s="2838"/>
      <c r="Z18" s="2839"/>
      <c r="AA18" s="1420"/>
      <c r="AB18" s="1789">
        <v>25.7</v>
      </c>
      <c r="AC18" s="621"/>
      <c r="AD18" s="1792">
        <f>'Cashflow Governmental'!AE23</f>
        <v>3224.5</v>
      </c>
      <c r="AE18" s="1792"/>
      <c r="AF18" s="3539"/>
      <c r="AG18" s="2838"/>
      <c r="AH18" s="1792">
        <f>ROUND(SUM(X18)-SUM(AD18),1)</f>
        <v>52.2</v>
      </c>
      <c r="AI18" s="2840"/>
      <c r="AJ18" s="1832">
        <f>ROUND(AH18/AD18,3)</f>
        <v>1.6E-2</v>
      </c>
      <c r="AK18" s="1832"/>
      <c r="AL18" s="2833"/>
    </row>
    <row r="19" spans="1:38" s="2834" customFormat="1" ht="18" customHeight="1">
      <c r="A19" s="2835" t="s">
        <v>895</v>
      </c>
      <c r="B19" s="2826"/>
      <c r="C19" s="2826"/>
      <c r="D19" s="621">
        <f>'Exhibit F'!V20</f>
        <v>-3.5000000000001137</v>
      </c>
      <c r="E19" s="621"/>
      <c r="F19" s="621">
        <f>'Exhibit F'!AC20</f>
        <v>-1027.4000000000001</v>
      </c>
      <c r="G19" s="621"/>
      <c r="H19" s="1790">
        <v>0</v>
      </c>
      <c r="I19" s="1792"/>
      <c r="J19" s="1791">
        <v>0</v>
      </c>
      <c r="K19" s="621"/>
      <c r="L19" s="1790">
        <v>0</v>
      </c>
      <c r="M19" s="1792"/>
      <c r="N19" s="1791">
        <v>0</v>
      </c>
      <c r="O19" s="621"/>
      <c r="P19" s="1790">
        <v>0</v>
      </c>
      <c r="Q19" s="1792"/>
      <c r="R19" s="1791">
        <v>0</v>
      </c>
      <c r="S19" s="621"/>
      <c r="T19" s="2837"/>
      <c r="U19" s="2837"/>
      <c r="V19" s="1792">
        <f t="shared" si="0"/>
        <v>-3.5000000000001137</v>
      </c>
      <c r="W19" s="1420"/>
      <c r="X19" s="1792">
        <f t="shared" si="1"/>
        <v>-1027.4000000000001</v>
      </c>
      <c r="Y19" s="2838"/>
      <c r="Z19" s="2839"/>
      <c r="AA19" s="1420"/>
      <c r="AB19" s="1789">
        <v>-9.6</v>
      </c>
      <c r="AC19" s="621"/>
      <c r="AD19" s="1792">
        <f>'Cashflow Governmental'!AE24</f>
        <v>-1005.2</v>
      </c>
      <c r="AE19" s="1792"/>
      <c r="AF19" s="3539"/>
      <c r="AG19" s="2838"/>
      <c r="AH19" s="1792">
        <f>-ROUND(SUM(X19)-SUM(AD19),1)</f>
        <v>22.2</v>
      </c>
      <c r="AI19" s="2840"/>
      <c r="AJ19" s="1832">
        <f>-ROUND(AH19/AD19,3)</f>
        <v>2.1999999999999999E-2</v>
      </c>
      <c r="AK19" s="1832"/>
      <c r="AL19" s="2833"/>
    </row>
    <row r="20" spans="1:38" s="2834" customFormat="1" ht="18" customHeight="1">
      <c r="A20" s="2835" t="s">
        <v>896</v>
      </c>
      <c r="B20" s="2826" t="s">
        <v>15</v>
      </c>
      <c r="C20" s="2826"/>
      <c r="D20" s="621">
        <f>'Exhibit F'!V21</f>
        <v>116.10000000000002</v>
      </c>
      <c r="E20" s="621"/>
      <c r="F20" s="621">
        <f>'Exhibit F'!AC21</f>
        <v>966.1</v>
      </c>
      <c r="G20" s="621"/>
      <c r="H20" s="1790">
        <v>0</v>
      </c>
      <c r="I20" s="1792"/>
      <c r="J20" s="1791">
        <v>0</v>
      </c>
      <c r="K20" s="621"/>
      <c r="L20" s="1790">
        <v>0</v>
      </c>
      <c r="M20" s="1792"/>
      <c r="N20" s="1791">
        <v>0</v>
      </c>
      <c r="O20" s="621"/>
      <c r="P20" s="1790">
        <v>0</v>
      </c>
      <c r="Q20" s="1792"/>
      <c r="R20" s="1791">
        <v>0</v>
      </c>
      <c r="S20" s="621"/>
      <c r="T20" s="2837"/>
      <c r="U20" s="2837"/>
      <c r="V20" s="1792">
        <f t="shared" si="0"/>
        <v>116.10000000000002</v>
      </c>
      <c r="W20" s="1420"/>
      <c r="X20" s="1792">
        <f t="shared" si="1"/>
        <v>966.1</v>
      </c>
      <c r="Y20" s="2838"/>
      <c r="Z20" s="2839"/>
      <c r="AA20" s="1420"/>
      <c r="AB20" s="1789">
        <v>87.2</v>
      </c>
      <c r="AC20" s="621"/>
      <c r="AD20" s="1792">
        <f>'Cashflow Governmental'!AE25</f>
        <v>1096.1000000000001</v>
      </c>
      <c r="AE20" s="1792"/>
      <c r="AF20" s="3539"/>
      <c r="AG20" s="2838"/>
      <c r="AH20" s="1792">
        <f>ROUND(SUM(X20)-SUM(AD20),1)</f>
        <v>-130</v>
      </c>
      <c r="AI20" s="2840"/>
      <c r="AJ20" s="3515">
        <f>ROUND(AH20/AD20,3)</f>
        <v>-0.11899999999999999</v>
      </c>
      <c r="AK20" s="1832"/>
      <c r="AL20" s="2833"/>
    </row>
    <row r="21" spans="1:38" s="2849" customFormat="1" ht="18" customHeight="1">
      <c r="A21" s="2841" t="s">
        <v>897</v>
      </c>
      <c r="B21" s="2841"/>
      <c r="C21" s="2841"/>
      <c r="D21" s="1800">
        <f>ROUND(SUM(D16:D20),1)</f>
        <v>9571.7999999999993</v>
      </c>
      <c r="E21" s="1478"/>
      <c r="F21" s="1800">
        <f>ROUND(SUM(F16:F20),1)</f>
        <v>53235.6</v>
      </c>
      <c r="G21" s="23"/>
      <c r="H21" s="1800">
        <f>ROUND(SUM(H16:H20),1)</f>
        <v>0</v>
      </c>
      <c r="I21" s="2842"/>
      <c r="J21" s="1800">
        <f>ROUND(SUM(J16:J20),1)</f>
        <v>0</v>
      </c>
      <c r="K21" s="23"/>
      <c r="L21" s="1800">
        <f>ROUND(SUM(L16:L20),1)</f>
        <v>0</v>
      </c>
      <c r="M21" s="2842"/>
      <c r="N21" s="1800">
        <f>ROUND(SUM(N16:N20),1)</f>
        <v>0</v>
      </c>
      <c r="O21" s="23"/>
      <c r="P21" s="1800">
        <f>ROUND(SUM(P16:P20),1)</f>
        <v>0</v>
      </c>
      <c r="Q21" s="2842"/>
      <c r="R21" s="1800">
        <f>ROUND(SUM(R16:R20),1)</f>
        <v>0</v>
      </c>
      <c r="S21" s="23"/>
      <c r="T21" s="2843"/>
      <c r="U21" s="2843"/>
      <c r="V21" s="2844">
        <f>ROUND(SUM(V16:V20),1)</f>
        <v>9571.7999999999993</v>
      </c>
      <c r="W21" s="1478"/>
      <c r="X21" s="2844">
        <f>ROUND(SUM(X16:X20),1)</f>
        <v>53235.6</v>
      </c>
      <c r="Y21" s="2845"/>
      <c r="Z21" s="2314"/>
      <c r="AA21" s="1478"/>
      <c r="AB21" s="1460">
        <f>ROUND(SUM(AB16:AB20),1)</f>
        <v>8991.1</v>
      </c>
      <c r="AC21" s="23"/>
      <c r="AD21" s="3876">
        <f>ROUND(SUM(AD16:AD20),1)</f>
        <v>53995.8</v>
      </c>
      <c r="AE21" s="2842"/>
      <c r="AF21" s="3539"/>
      <c r="AG21" s="2845"/>
      <c r="AH21" s="3560">
        <f>ROUND(SUM(X21)-SUM(AD21),1)</f>
        <v>-760.2</v>
      </c>
      <c r="AI21" s="2846"/>
      <c r="AJ21" s="3516">
        <f>ROUND(AH21/AD21,3)</f>
        <v>-1.4E-2</v>
      </c>
      <c r="AK21" s="2847"/>
      <c r="AL21" s="2848"/>
    </row>
    <row r="22" spans="1:38" s="2834" customFormat="1" ht="18" customHeight="1">
      <c r="A22" s="2835" t="s">
        <v>898</v>
      </c>
      <c r="B22" s="2826"/>
      <c r="C22" s="2826"/>
      <c r="D22" s="1789">
        <f>'Exhibit F'!V23</f>
        <v>-1972</v>
      </c>
      <c r="E22" s="1792"/>
      <c r="F22" s="1789">
        <f>'Exhibit F'!AC23</f>
        <v>-2008.6</v>
      </c>
      <c r="G22" s="621"/>
      <c r="H22" s="621">
        <f>'Exhibit G'!V17</f>
        <v>1972</v>
      </c>
      <c r="I22" s="1792"/>
      <c r="J22" s="1805">
        <f>'Exhibit G'!AD17</f>
        <v>2008.6</v>
      </c>
      <c r="K22" s="621"/>
      <c r="L22" s="1801">
        <v>0</v>
      </c>
      <c r="M22" s="1792"/>
      <c r="N22" s="1801">
        <v>0</v>
      </c>
      <c r="O22" s="621"/>
      <c r="P22" s="1801">
        <v>0</v>
      </c>
      <c r="Q22" s="1792"/>
      <c r="R22" s="1801">
        <v>0</v>
      </c>
      <c r="S22" s="621"/>
      <c r="T22" s="2837"/>
      <c r="U22" s="2837"/>
      <c r="V22" s="2850">
        <f>SUM(D22)+SUM(H22)+SUM(L22)+SUM(P22)</f>
        <v>0</v>
      </c>
      <c r="W22" s="1420"/>
      <c r="X22" s="2850">
        <f t="shared" si="1"/>
        <v>0</v>
      </c>
      <c r="Y22" s="2838"/>
      <c r="Z22" s="2839"/>
      <c r="AA22" s="1420"/>
      <c r="AB22" s="1789">
        <v>0</v>
      </c>
      <c r="AC22" s="1420"/>
      <c r="AD22" s="1792">
        <f>'Cashflow Governmental'!AE27</f>
        <v>0</v>
      </c>
      <c r="AE22" s="1790"/>
      <c r="AF22" s="3539"/>
      <c r="AG22" s="2838"/>
      <c r="AH22" s="1791">
        <f>ROUND(SUM(X22)-SUM(AD22),1)</f>
        <v>0</v>
      </c>
      <c r="AI22" s="2840"/>
      <c r="AJ22" s="1724">
        <f>ROUND(IF(AD22=0,0,AH22/(AD22)),3)</f>
        <v>0</v>
      </c>
      <c r="AK22" s="2851"/>
      <c r="AL22" s="2833"/>
    </row>
    <row r="23" spans="1:38" s="2834" customFormat="1" ht="18" customHeight="1">
      <c r="A23" s="2835" t="s">
        <v>899</v>
      </c>
      <c r="B23" s="2826"/>
      <c r="C23" s="2826"/>
      <c r="D23" s="1789">
        <f>'Exhibit F'!V24</f>
        <v>-4726.4999999999991</v>
      </c>
      <c r="E23" s="621"/>
      <c r="F23" s="1789">
        <f>'Exhibit F'!AC24</f>
        <v>-23125.599999999999</v>
      </c>
      <c r="G23" s="621"/>
      <c r="H23" s="1790">
        <v>0</v>
      </c>
      <c r="I23" s="1792"/>
      <c r="J23" s="1791">
        <v>0</v>
      </c>
      <c r="K23" s="621"/>
      <c r="L23" s="1792">
        <f>'Exhibit H'!T16</f>
        <v>4726.4999999999991</v>
      </c>
      <c r="M23" s="1792"/>
      <c r="N23" s="1792">
        <f>'Exhibit H'!AA16</f>
        <v>23125.599999999999</v>
      </c>
      <c r="O23" s="621"/>
      <c r="P23" s="1790">
        <v>0</v>
      </c>
      <c r="Q23" s="1792"/>
      <c r="R23" s="1791">
        <v>0</v>
      </c>
      <c r="S23" s="621"/>
      <c r="T23" s="2837"/>
      <c r="U23" s="2837"/>
      <c r="V23" s="1792">
        <f>ROUND(SUM(D23)+SUM(H23)+SUM(L23)+SUM(P23),1)</f>
        <v>0</v>
      </c>
      <c r="W23" s="1420"/>
      <c r="X23" s="1792">
        <f t="shared" si="1"/>
        <v>0</v>
      </c>
      <c r="Y23" s="2838"/>
      <c r="Z23" s="2839"/>
      <c r="AA23" s="1420"/>
      <c r="AB23" s="1789">
        <v>0</v>
      </c>
      <c r="AC23" s="1420"/>
      <c r="AD23" s="1792">
        <f>'Cashflow Governmental'!AE28</f>
        <v>0</v>
      </c>
      <c r="AE23" s="1790"/>
      <c r="AF23" s="3539"/>
      <c r="AG23" s="2838"/>
      <c r="AH23" s="1791">
        <f>ROUND(SUM(X23)-SUM(AD23),1)</f>
        <v>0</v>
      </c>
      <c r="AI23" s="2840"/>
      <c r="AJ23" s="1724">
        <f>ROUND(IF(AD23=0,0,AH23/(AD23)),3)</f>
        <v>0</v>
      </c>
      <c r="AK23" s="2851"/>
      <c r="AL23" s="2833"/>
    </row>
    <row r="24" spans="1:38" s="2834" customFormat="1" ht="18" customHeight="1">
      <c r="A24" s="2826" t="s">
        <v>900</v>
      </c>
      <c r="B24" s="2826"/>
      <c r="C24" s="2826"/>
      <c r="D24" s="1789">
        <f>'Exhibit F'!V25</f>
        <v>-118.79999999999927</v>
      </c>
      <c r="E24" s="1420"/>
      <c r="F24" s="1789">
        <f>'Exhibit F'!AC25</f>
        <v>-6984.4</v>
      </c>
      <c r="G24" s="621"/>
      <c r="H24" s="1790">
        <v>0</v>
      </c>
      <c r="I24" s="1792"/>
      <c r="J24" s="1791">
        <v>0</v>
      </c>
      <c r="K24" s="621"/>
      <c r="L24" s="1790">
        <v>0</v>
      </c>
      <c r="M24" s="1792"/>
      <c r="N24" s="1791">
        <v>0</v>
      </c>
      <c r="O24" s="621"/>
      <c r="P24" s="1790">
        <v>0</v>
      </c>
      <c r="Q24" s="1792"/>
      <c r="R24" s="1791">
        <v>0</v>
      </c>
      <c r="S24" s="621"/>
      <c r="T24" s="2837"/>
      <c r="U24" s="2837"/>
      <c r="V24" s="1792">
        <f>SUM(D24)+SUM(H24)+SUM(L24)+SUM(P24)</f>
        <v>-118.79999999999927</v>
      </c>
      <c r="W24" s="1420"/>
      <c r="X24" s="1792">
        <f t="shared" si="1"/>
        <v>-6984.4</v>
      </c>
      <c r="Y24" s="2838"/>
      <c r="Z24" s="2839"/>
      <c r="AA24" s="1420"/>
      <c r="AB24" s="1789">
        <v>-91.9</v>
      </c>
      <c r="AC24" s="621"/>
      <c r="AD24" s="1792">
        <f>'Cashflow Governmental'!AE29</f>
        <v>-7779.4</v>
      </c>
      <c r="AE24" s="1792"/>
      <c r="AF24" s="3539"/>
      <c r="AG24" s="2838"/>
      <c r="AH24" s="1792">
        <f>-ROUND(SUM(X24)-SUM(AD24),1)</f>
        <v>-795</v>
      </c>
      <c r="AI24" s="2840"/>
      <c r="AJ24" s="1833">
        <f>-ROUND(AH24/AD24,3)</f>
        <v>-0.10199999999999999</v>
      </c>
      <c r="AK24" s="1832"/>
      <c r="AL24" s="2833"/>
    </row>
    <row r="25" spans="1:38" s="2834" customFormat="1" ht="18" customHeight="1">
      <c r="A25" s="2852" t="s">
        <v>901</v>
      </c>
      <c r="B25" s="2826"/>
      <c r="C25" s="2826"/>
      <c r="D25" s="1802">
        <f>ROUND(SUM(D21:D24),1)</f>
        <v>2754.5</v>
      </c>
      <c r="E25" s="1478"/>
      <c r="F25" s="1802">
        <f>ROUND(SUM(F21:F24),1)</f>
        <v>21117</v>
      </c>
      <c r="G25" s="23"/>
      <c r="H25" s="1802">
        <f>ROUND(SUM(H21:H24),1)</f>
        <v>1972</v>
      </c>
      <c r="I25" s="2842"/>
      <c r="J25" s="1802">
        <f>ROUND(SUM(J21:J24),1)</f>
        <v>2008.6</v>
      </c>
      <c r="K25" s="23"/>
      <c r="L25" s="1802">
        <f>ROUND(SUM(L21:L24),1)</f>
        <v>4726.5</v>
      </c>
      <c r="M25" s="2842"/>
      <c r="N25" s="1802">
        <f>ROUND(SUM(N21:N24),1)</f>
        <v>23125.599999999999</v>
      </c>
      <c r="O25" s="23"/>
      <c r="P25" s="1802">
        <f>ROUND(SUM(P21:P24),1)</f>
        <v>0</v>
      </c>
      <c r="Q25" s="2842"/>
      <c r="R25" s="1802">
        <f>ROUND(SUM(R21:R24),1)</f>
        <v>0</v>
      </c>
      <c r="S25" s="23"/>
      <c r="T25" s="2843"/>
      <c r="U25" s="2843"/>
      <c r="V25" s="2844">
        <f>ROUND(SUM(V21:V24),1)</f>
        <v>9453</v>
      </c>
      <c r="W25" s="1478"/>
      <c r="X25" s="2844">
        <f>ROUND(SUM(X21:X24),1)</f>
        <v>46251.199999999997</v>
      </c>
      <c r="Y25" s="2853"/>
      <c r="Z25" s="2314"/>
      <c r="AA25" s="1478"/>
      <c r="AB25" s="3494">
        <f>ROUND(SUM(AB21:AB24),1)</f>
        <v>8899.2000000000007</v>
      </c>
      <c r="AC25" s="23"/>
      <c r="AD25" s="2844">
        <f>ROUND(SUM(AD21:AD24),1)</f>
        <v>46216.4</v>
      </c>
      <c r="AE25" s="1478" t="s">
        <v>15</v>
      </c>
      <c r="AF25" s="3539"/>
      <c r="AG25" s="2845"/>
      <c r="AH25" s="1834">
        <f>ROUND(SUM(X25)-SUM(AD25),1)</f>
        <v>34.799999999999997</v>
      </c>
      <c r="AI25" s="2846"/>
      <c r="AJ25" s="1835">
        <f>ROUND(AH25/AD25,3)</f>
        <v>1E-3</v>
      </c>
      <c r="AK25" s="2847"/>
      <c r="AL25" s="2848"/>
    </row>
    <row r="26" spans="1:38" ht="18" customHeight="1">
      <c r="A26" s="2825"/>
      <c r="B26" s="2825"/>
      <c r="C26" s="2825"/>
      <c r="D26" s="1514"/>
      <c r="E26" s="617"/>
      <c r="F26" s="1803" t="s">
        <v>15</v>
      </c>
      <c r="G26" s="621"/>
      <c r="H26" s="1803"/>
      <c r="I26" s="1420"/>
      <c r="J26" s="1803" t="s">
        <v>1256</v>
      </c>
      <c r="K26" s="621"/>
      <c r="L26" s="1803"/>
      <c r="M26" s="1420"/>
      <c r="N26" s="1803"/>
      <c r="O26" s="621"/>
      <c r="P26" s="1803"/>
      <c r="Q26" s="1420"/>
      <c r="R26" s="1803"/>
      <c r="S26" s="621"/>
      <c r="T26" s="2837"/>
      <c r="U26" s="2837"/>
      <c r="V26" s="1803"/>
      <c r="W26" s="1420"/>
      <c r="X26" s="1803"/>
      <c r="Y26" s="1420"/>
      <c r="Z26" s="2839"/>
      <c r="AA26" s="1420"/>
      <c r="AB26" s="1803"/>
      <c r="AC26" s="621"/>
      <c r="AD26" s="1803"/>
      <c r="AE26" s="1420"/>
      <c r="AF26" s="3539"/>
      <c r="AG26" s="1420"/>
      <c r="AH26" s="1420"/>
      <c r="AI26" s="614"/>
      <c r="AJ26" s="2854"/>
      <c r="AK26" s="2855"/>
      <c r="AL26" s="2807"/>
    </row>
    <row r="27" spans="1:38" ht="18" customHeight="1">
      <c r="A27" s="2856" t="s">
        <v>1168</v>
      </c>
      <c r="B27" s="2825"/>
      <c r="C27" s="2857"/>
      <c r="D27" s="616"/>
      <c r="E27" s="616"/>
      <c r="F27" s="621"/>
      <c r="G27" s="621"/>
      <c r="H27" s="621"/>
      <c r="I27" s="621"/>
      <c r="J27" s="621"/>
      <c r="K27" s="621"/>
      <c r="L27" s="621"/>
      <c r="M27" s="621"/>
      <c r="N27" s="621"/>
      <c r="O27" s="621"/>
      <c r="P27" s="621"/>
      <c r="Q27" s="621"/>
      <c r="R27" s="621"/>
      <c r="S27" s="621"/>
      <c r="T27" s="2837"/>
      <c r="U27" s="2837"/>
      <c r="V27" s="1420"/>
      <c r="W27" s="1420"/>
      <c r="X27" s="621"/>
      <c r="Y27" s="621"/>
      <c r="Z27" s="2839"/>
      <c r="AA27" s="1420"/>
      <c r="AB27" s="621"/>
      <c r="AC27" s="621"/>
      <c r="AD27" s="621"/>
      <c r="AE27" s="621"/>
      <c r="AF27" s="3539"/>
      <c r="AG27" s="621"/>
      <c r="AH27" s="621"/>
      <c r="AI27" s="2260"/>
      <c r="AJ27" s="2854"/>
      <c r="AK27" s="2855"/>
      <c r="AL27" s="2807"/>
    </row>
    <row r="28" spans="1:38" s="2834" customFormat="1" ht="18" customHeight="1">
      <c r="A28" s="2826" t="s">
        <v>902</v>
      </c>
      <c r="B28" s="2826"/>
      <c r="C28" s="2826"/>
      <c r="D28" s="621">
        <f>'Exhibit F'!V28</f>
        <v>598.29999999999973</v>
      </c>
      <c r="E28" s="621"/>
      <c r="F28" s="621">
        <f>'Exhibit F'!AC28</f>
        <v>5514.2</v>
      </c>
      <c r="G28" s="621"/>
      <c r="H28" s="621">
        <f>'Exhibit G'!V20</f>
        <v>84.600000000000023</v>
      </c>
      <c r="I28" s="621"/>
      <c r="J28" s="621">
        <f>'Exhibit G'!AD20</f>
        <v>753.2</v>
      </c>
      <c r="K28" s="621"/>
      <c r="L28" s="1792">
        <f>'Exhibit H'!T19</f>
        <v>597.80000000000018</v>
      </c>
      <c r="M28" s="1792"/>
      <c r="N28" s="1792">
        <f>'Exhibit H'!AA19</f>
        <v>5510.1</v>
      </c>
      <c r="O28" s="621"/>
      <c r="P28" s="1790">
        <v>0</v>
      </c>
      <c r="Q28" s="1792"/>
      <c r="R28" s="1791">
        <v>0</v>
      </c>
      <c r="S28" s="621"/>
      <c r="T28" s="2837"/>
      <c r="U28" s="2837"/>
      <c r="V28" s="1792">
        <f t="shared" ref="V28:V33" si="2">SUM(D28)+SUM(H28)+SUM(L28)+SUM(P28)</f>
        <v>1280.6999999999998</v>
      </c>
      <c r="W28" s="1420"/>
      <c r="X28" s="1792">
        <f t="shared" ref="X28:X34" si="3">SUM(F28)+SUM(J28)+SUM(N28)+SUM(R28)</f>
        <v>11777.5</v>
      </c>
      <c r="Y28" s="621"/>
      <c r="Z28" s="2839"/>
      <c r="AA28" s="1420"/>
      <c r="AB28" s="1789">
        <v>1360.8999999999999</v>
      </c>
      <c r="AC28" s="621"/>
      <c r="AD28" s="1792">
        <f>'Cashflow Governmental'!AE32</f>
        <v>13516.5</v>
      </c>
      <c r="AE28" s="1792"/>
      <c r="AF28" s="3539"/>
      <c r="AG28" s="621"/>
      <c r="AH28" s="621">
        <f t="shared" ref="AH28:AH37" si="4">ROUND(SUM(X28)-SUM(AD28),1)</f>
        <v>-1739</v>
      </c>
      <c r="AI28" s="2840"/>
      <c r="AJ28" s="1832">
        <f t="shared" ref="AJ28:AJ37" si="5">ROUND(AH28/AD28,3)</f>
        <v>-0.129</v>
      </c>
      <c r="AK28" s="1832"/>
      <c r="AL28" s="2833"/>
    </row>
    <row r="29" spans="1:38" s="2834" customFormat="1" ht="18" customHeight="1">
      <c r="A29" s="2835" t="s">
        <v>903</v>
      </c>
      <c r="B29" s="2826"/>
      <c r="C29" s="2858"/>
      <c r="D29" s="621">
        <f>'Exhibit F'!V29</f>
        <v>0</v>
      </c>
      <c r="E29" s="1792"/>
      <c r="F29" s="621">
        <f>'Exhibit F'!AC29</f>
        <v>0</v>
      </c>
      <c r="G29" s="621"/>
      <c r="H29" s="621">
        <f>'Exhibit G'!V21</f>
        <v>0</v>
      </c>
      <c r="I29" s="1792"/>
      <c r="J29" s="621">
        <f>'Exhibit G'!AD21</f>
        <v>8.6999999999999993</v>
      </c>
      <c r="K29" s="621"/>
      <c r="L29" s="1790">
        <v>0</v>
      </c>
      <c r="M29" s="1792"/>
      <c r="N29" s="1791">
        <v>0</v>
      </c>
      <c r="O29" s="621"/>
      <c r="P29" s="1789">
        <f>'Exhibit I'!W20</f>
        <v>0</v>
      </c>
      <c r="Q29" s="621"/>
      <c r="R29" s="1789">
        <f>'Exhibit I'!AF20</f>
        <v>41.8</v>
      </c>
      <c r="S29" s="621"/>
      <c r="T29" s="2837"/>
      <c r="U29" s="2837"/>
      <c r="V29" s="1792">
        <f t="shared" si="2"/>
        <v>0</v>
      </c>
      <c r="W29" s="1420"/>
      <c r="X29" s="1792">
        <f t="shared" si="3"/>
        <v>50.5</v>
      </c>
      <c r="Y29" s="2838"/>
      <c r="Z29" s="2839"/>
      <c r="AA29" s="1420"/>
      <c r="AB29" s="1789">
        <v>0</v>
      </c>
      <c r="AC29" s="621"/>
      <c r="AD29" s="1792">
        <f>'Cashflow Governmental'!AE33</f>
        <v>83.5</v>
      </c>
      <c r="AE29" s="1792"/>
      <c r="AF29" s="3539"/>
      <c r="AG29" s="2838"/>
      <c r="AH29" s="1792">
        <f t="shared" si="4"/>
        <v>-33</v>
      </c>
      <c r="AI29" s="2859"/>
      <c r="AJ29" s="1832">
        <f t="shared" si="5"/>
        <v>-0.39500000000000002</v>
      </c>
      <c r="AK29" s="1832"/>
      <c r="AL29" s="2833"/>
    </row>
    <row r="30" spans="1:38" ht="18" customHeight="1">
      <c r="A30" s="2825" t="s">
        <v>904</v>
      </c>
      <c r="B30" s="2825"/>
      <c r="C30" s="2825"/>
      <c r="D30" s="621">
        <f>'Exhibit F'!V30</f>
        <v>27.800000000000011</v>
      </c>
      <c r="E30" s="621"/>
      <c r="F30" s="621">
        <f>'Exhibit F'!AC30</f>
        <v>273.10000000000002</v>
      </c>
      <c r="G30" s="621"/>
      <c r="H30" s="621">
        <f>'Exhibit G'!V22</f>
        <v>61.300000000000182</v>
      </c>
      <c r="I30" s="1792"/>
      <c r="J30" s="621">
        <f>'Exhibit G'!AD22</f>
        <v>617.6</v>
      </c>
      <c r="K30" s="621"/>
      <c r="L30" s="1790">
        <v>0</v>
      </c>
      <c r="M30" s="1792"/>
      <c r="N30" s="1791">
        <v>0</v>
      </c>
      <c r="O30" s="621"/>
      <c r="P30" s="1790">
        <v>0</v>
      </c>
      <c r="Q30" s="1792"/>
      <c r="R30" s="1791">
        <v>0</v>
      </c>
      <c r="S30" s="621"/>
      <c r="T30" s="2837"/>
      <c r="U30" s="2837"/>
      <c r="V30" s="1792">
        <f t="shared" si="2"/>
        <v>89.100000000000193</v>
      </c>
      <c r="W30" s="1420"/>
      <c r="X30" s="1792">
        <f t="shared" si="3"/>
        <v>890.7</v>
      </c>
      <c r="Y30" s="2838"/>
      <c r="Z30" s="2839"/>
      <c r="AA30" s="1420"/>
      <c r="AB30" s="1789">
        <v>79.3</v>
      </c>
      <c r="AC30" s="621"/>
      <c r="AD30" s="1792">
        <f>'Cashflow Governmental'!AE34</f>
        <v>898.3</v>
      </c>
      <c r="AE30" s="1805"/>
      <c r="AF30" s="3540"/>
      <c r="AG30" s="2838"/>
      <c r="AH30" s="1792">
        <f t="shared" si="4"/>
        <v>-7.6</v>
      </c>
      <c r="AI30" s="2860"/>
      <c r="AJ30" s="1511">
        <f t="shared" si="5"/>
        <v>-8.0000000000000002E-3</v>
      </c>
      <c r="AK30" s="1511"/>
      <c r="AL30" s="2807"/>
    </row>
    <row r="31" spans="1:38" ht="18" customHeight="1">
      <c r="A31" s="2825" t="s">
        <v>1251</v>
      </c>
      <c r="B31" s="2825"/>
      <c r="C31" s="2825"/>
      <c r="D31" s="621">
        <v>0</v>
      </c>
      <c r="E31" s="621"/>
      <c r="F31" s="621">
        <v>0</v>
      </c>
      <c r="G31" s="621"/>
      <c r="H31" s="621">
        <f>'Exhibit G'!V23</f>
        <v>1.0000000000000002</v>
      </c>
      <c r="I31" s="1792"/>
      <c r="J31" s="621">
        <f>'Exhibit G'!AD23</f>
        <v>7.2</v>
      </c>
      <c r="K31" s="621"/>
      <c r="L31" s="1790">
        <v>0</v>
      </c>
      <c r="M31" s="1792"/>
      <c r="N31" s="1791">
        <v>0</v>
      </c>
      <c r="O31" s="621"/>
      <c r="P31" s="1790">
        <v>0</v>
      </c>
      <c r="Q31" s="1792"/>
      <c r="R31" s="1791">
        <v>0</v>
      </c>
      <c r="S31" s="621"/>
      <c r="T31" s="2837"/>
      <c r="U31" s="2837"/>
      <c r="V31" s="1792">
        <f>SUM(D31)+SUM(H31)+SUM(L31)+SUM(P31)</f>
        <v>1.0000000000000002</v>
      </c>
      <c r="W31" s="1420"/>
      <c r="X31" s="1792">
        <f>SUM(F31)+SUM(J31)+SUM(N31)+SUM(R31)</f>
        <v>7.2</v>
      </c>
      <c r="Y31" s="2838"/>
      <c r="Z31" s="2839"/>
      <c r="AA31" s="1420"/>
      <c r="AB31" s="1789">
        <v>0.5</v>
      </c>
      <c r="AC31" s="621"/>
      <c r="AD31" s="1792">
        <f>'Cashflow Governmental'!AE35</f>
        <v>4.8</v>
      </c>
      <c r="AE31" s="1805"/>
      <c r="AF31" s="3540"/>
      <c r="AG31" s="2838"/>
      <c r="AH31" s="1792">
        <f>ROUND(SUM(X31)-SUM(AD31),1)</f>
        <v>2.4</v>
      </c>
      <c r="AI31" s="2860"/>
      <c r="AJ31" s="1438">
        <f>ROUND(IF(AD31=0,0,AH31/(AD31)),3)</f>
        <v>0.5</v>
      </c>
      <c r="AK31" s="1511"/>
      <c r="AL31" s="2807"/>
    </row>
    <row r="32" spans="1:38" ht="18" customHeight="1">
      <c r="A32" s="2825" t="s">
        <v>905</v>
      </c>
      <c r="B32" s="2825"/>
      <c r="C32" s="2825"/>
      <c r="D32" s="621">
        <f>'Exhibit F'!V31</f>
        <v>0</v>
      </c>
      <c r="E32" s="1792"/>
      <c r="F32" s="621">
        <f>'Exhibit F'!AC31</f>
        <v>0</v>
      </c>
      <c r="G32" s="621"/>
      <c r="H32" s="621">
        <f>'Exhibit G'!V24</f>
        <v>6.5000000000000036</v>
      </c>
      <c r="I32" s="1792"/>
      <c r="J32" s="621">
        <f>'Exhibit G'!AD24</f>
        <v>76.400000000000006</v>
      </c>
      <c r="K32" s="621"/>
      <c r="L32" s="1790">
        <v>0</v>
      </c>
      <c r="M32" s="1792"/>
      <c r="N32" s="1791">
        <v>0</v>
      </c>
      <c r="O32" s="621"/>
      <c r="P32" s="621">
        <f>'Exhibit I'!W21</f>
        <v>23.5</v>
      </c>
      <c r="Q32" s="1792"/>
      <c r="R32" s="621">
        <f>'Exhibit I'!AF21</f>
        <v>282.3</v>
      </c>
      <c r="S32" s="621"/>
      <c r="T32" s="2837"/>
      <c r="U32" s="2837"/>
      <c r="V32" s="1792">
        <f t="shared" si="2"/>
        <v>30.000000000000004</v>
      </c>
      <c r="W32" s="1420"/>
      <c r="X32" s="1792">
        <f t="shared" si="3"/>
        <v>358.70000000000005</v>
      </c>
      <c r="Y32" s="621"/>
      <c r="Z32" s="2839"/>
      <c r="AA32" s="1420"/>
      <c r="AB32" s="1789">
        <v>42.4</v>
      </c>
      <c r="AC32" s="621"/>
      <c r="AD32" s="1792">
        <f>'Cashflow Governmental'!AE36</f>
        <v>437.7</v>
      </c>
      <c r="AE32" s="1792"/>
      <c r="AF32" s="3540"/>
      <c r="AG32" s="621"/>
      <c r="AH32" s="1792">
        <f t="shared" si="4"/>
        <v>-79</v>
      </c>
      <c r="AI32" s="2260"/>
      <c r="AJ32" s="1511">
        <f t="shared" si="5"/>
        <v>-0.18</v>
      </c>
      <c r="AK32" s="1511"/>
      <c r="AL32" s="2807"/>
    </row>
    <row r="33" spans="1:38" ht="18" customHeight="1">
      <c r="A33" s="2825" t="s">
        <v>906</v>
      </c>
      <c r="B33" s="2825"/>
      <c r="C33" s="2825"/>
      <c r="D33" s="621">
        <f>'Exhibit F'!V32</f>
        <v>29.900000000000016</v>
      </c>
      <c r="E33" s="621"/>
      <c r="F33" s="621">
        <f>'Exhibit F'!AC32</f>
        <v>238.4</v>
      </c>
      <c r="G33" s="621"/>
      <c r="H33" s="621">
        <f>'Exhibit G'!V25</f>
        <v>0</v>
      </c>
      <c r="I33" s="1792"/>
      <c r="J33" s="621">
        <f>'Exhibit G'!AD25</f>
        <v>0</v>
      </c>
      <c r="K33" s="621"/>
      <c r="L33" s="1790">
        <v>0</v>
      </c>
      <c r="M33" s="1792"/>
      <c r="N33" s="1791">
        <v>0</v>
      </c>
      <c r="O33" s="621"/>
      <c r="P33" s="1790">
        <v>0</v>
      </c>
      <c r="Q33" s="1792"/>
      <c r="R33" s="1791">
        <v>0</v>
      </c>
      <c r="S33" s="621"/>
      <c r="T33" s="2837"/>
      <c r="U33" s="2837"/>
      <c r="V33" s="1792">
        <f t="shared" si="2"/>
        <v>29.900000000000016</v>
      </c>
      <c r="W33" s="1420"/>
      <c r="X33" s="1792">
        <f t="shared" si="3"/>
        <v>238.4</v>
      </c>
      <c r="Y33" s="2838"/>
      <c r="Z33" s="2839"/>
      <c r="AA33" s="1420"/>
      <c r="AB33" s="1789">
        <v>34.6</v>
      </c>
      <c r="AC33" s="621"/>
      <c r="AD33" s="1792">
        <f>'Cashflow Governmental'!AE37</f>
        <v>234.1</v>
      </c>
      <c r="AE33" s="1792"/>
      <c r="AF33" s="3540"/>
      <c r="AG33" s="2838"/>
      <c r="AH33" s="1792">
        <f t="shared" si="4"/>
        <v>4.3</v>
      </c>
      <c r="AI33" s="2860"/>
      <c r="AJ33" s="1511">
        <f t="shared" si="5"/>
        <v>1.7999999999999999E-2</v>
      </c>
      <c r="AK33" s="1511"/>
      <c r="AL33" s="2807"/>
    </row>
    <row r="34" spans="1:38" ht="18" customHeight="1">
      <c r="A34" s="2825" t="s">
        <v>907</v>
      </c>
      <c r="B34" s="2825"/>
      <c r="C34" s="2825"/>
      <c r="D34" s="621">
        <f>'Exhibit F'!V33</f>
        <v>0</v>
      </c>
      <c r="E34" s="1792"/>
      <c r="F34" s="621">
        <f>'Exhibit F'!AC33</f>
        <v>0</v>
      </c>
      <c r="G34" s="621"/>
      <c r="H34" s="621">
        <f>'Exhibit G'!V26</f>
        <v>0</v>
      </c>
      <c r="I34" s="1792"/>
      <c r="J34" s="621">
        <f>'Exhibit G'!AD26</f>
        <v>0.4</v>
      </c>
      <c r="K34" s="621"/>
      <c r="L34" s="1790">
        <v>0</v>
      </c>
      <c r="M34" s="1792"/>
      <c r="N34" s="1791">
        <v>0</v>
      </c>
      <c r="O34" s="621"/>
      <c r="P34" s="621">
        <f>'Exhibit I'!W22</f>
        <v>11.599999999999996</v>
      </c>
      <c r="Q34" s="1792"/>
      <c r="R34" s="621">
        <f>'Exhibit I'!AF22</f>
        <v>114.3</v>
      </c>
      <c r="S34" s="621"/>
      <c r="T34" s="2837"/>
      <c r="U34" s="2837"/>
      <c r="V34" s="1792">
        <f>SUM(D34)+SUM(H34)+SUM(L34)+SUM(P34)</f>
        <v>11.599999999999996</v>
      </c>
      <c r="W34" s="1420"/>
      <c r="X34" s="1792">
        <f t="shared" si="3"/>
        <v>114.7</v>
      </c>
      <c r="Y34" s="2838"/>
      <c r="Z34" s="2839"/>
      <c r="AA34" s="1420"/>
      <c r="AB34" s="1789">
        <v>12.2</v>
      </c>
      <c r="AC34" s="621"/>
      <c r="AD34" s="1792">
        <f>'Cashflow Governmental'!AE38</f>
        <v>122.4</v>
      </c>
      <c r="AE34" s="1805"/>
      <c r="AF34" s="3540"/>
      <c r="AG34" s="2838"/>
      <c r="AH34" s="1791">
        <f t="shared" si="4"/>
        <v>-7.7</v>
      </c>
      <c r="AI34" s="2861"/>
      <c r="AJ34" s="1511">
        <f>ROUND(AH34/AD34,3)</f>
        <v>-6.3E-2</v>
      </c>
      <c r="AK34" s="1511"/>
      <c r="AL34" s="2807"/>
    </row>
    <row r="35" spans="1:38" ht="18" customHeight="1">
      <c r="A35" s="2825" t="s">
        <v>1439</v>
      </c>
      <c r="B35" s="2825"/>
      <c r="C35" s="2825"/>
      <c r="D35" s="621">
        <f>'Exhibit F'!V34</f>
        <v>0</v>
      </c>
      <c r="E35" s="1792"/>
      <c r="F35" s="621">
        <f>'Exhibit F'!AC34</f>
        <v>0</v>
      </c>
      <c r="G35" s="621"/>
      <c r="H35" s="621">
        <f>'Exhibit G'!V27</f>
        <v>0</v>
      </c>
      <c r="I35" s="1792"/>
      <c r="J35" s="621">
        <f>'Exhibit G'!AD27</f>
        <v>25.5</v>
      </c>
      <c r="K35" s="621"/>
      <c r="L35" s="1790">
        <v>0</v>
      </c>
      <c r="M35" s="1792"/>
      <c r="N35" s="1791">
        <v>0</v>
      </c>
      <c r="O35" s="621"/>
      <c r="P35" s="621">
        <v>0</v>
      </c>
      <c r="Q35" s="1792"/>
      <c r="R35" s="621">
        <v>0</v>
      </c>
      <c r="S35" s="621"/>
      <c r="T35" s="2837"/>
      <c r="U35" s="2837"/>
      <c r="V35" s="1792">
        <f>SUM(D35)+SUM(H35)+SUM(L35)+SUM(P35)</f>
        <v>0</v>
      </c>
      <c r="W35" s="1420"/>
      <c r="X35" s="1792">
        <f>SUM(F35)+SUM(J35)+SUM(N35)+SUM(R35)</f>
        <v>25.5</v>
      </c>
      <c r="Y35" s="2838"/>
      <c r="Z35" s="2839"/>
      <c r="AA35" s="1420"/>
      <c r="AB35" s="1789">
        <v>0</v>
      </c>
      <c r="AC35" s="621"/>
      <c r="AD35" s="1792">
        <f>'Cashflow Governmental'!AE39</f>
        <v>0</v>
      </c>
      <c r="AE35" s="1805"/>
      <c r="AF35" s="3540"/>
      <c r="AG35" s="2838"/>
      <c r="AH35" s="1791">
        <f>ROUND(SUM(X35)-SUM(AD35),1)</f>
        <v>25.5</v>
      </c>
      <c r="AI35" s="2861"/>
      <c r="AJ35" s="1438">
        <f>ROUND(IF(AD35=0,1,-AH35/(AD35)),3)</f>
        <v>1</v>
      </c>
      <c r="AK35" s="1511"/>
      <c r="AL35" s="2807"/>
    </row>
    <row r="36" spans="1:38" ht="18" customHeight="1">
      <c r="A36" s="2825" t="s">
        <v>1440</v>
      </c>
      <c r="B36" s="2825"/>
      <c r="C36" s="2825"/>
      <c r="D36" s="621">
        <f>'Exhibit F'!V35</f>
        <v>7.1000000000000014</v>
      </c>
      <c r="E36" s="1792"/>
      <c r="F36" s="621">
        <f>'Exhibit F'!AC35</f>
        <v>29.9</v>
      </c>
      <c r="G36" s="621"/>
      <c r="H36" s="621">
        <v>0</v>
      </c>
      <c r="I36" s="1792"/>
      <c r="J36" s="621">
        <v>0</v>
      </c>
      <c r="K36" s="621"/>
      <c r="L36" s="1790">
        <v>0</v>
      </c>
      <c r="M36" s="1792"/>
      <c r="N36" s="1791">
        <v>0</v>
      </c>
      <c r="O36" s="621"/>
      <c r="P36" s="621">
        <v>0</v>
      </c>
      <c r="Q36" s="1792"/>
      <c r="R36" s="621">
        <v>0</v>
      </c>
      <c r="S36" s="621"/>
      <c r="T36" s="2837"/>
      <c r="U36" s="2837"/>
      <c r="V36" s="1792">
        <f>SUM(D36)+SUM(H36)+SUM(L36)+SUM(P36)</f>
        <v>7.1000000000000014</v>
      </c>
      <c r="W36" s="1420"/>
      <c r="X36" s="1792">
        <f t="shared" ref="X36" si="6">SUM(F36)+SUM(J36)+SUM(N36)+SUM(R36)</f>
        <v>29.9</v>
      </c>
      <c r="Y36" s="2838"/>
      <c r="Z36" s="2839"/>
      <c r="AA36" s="1420"/>
      <c r="AB36" s="1789">
        <v>16.899999999999999</v>
      </c>
      <c r="AC36" s="621"/>
      <c r="AD36" s="1792">
        <f>'Cashflow Governmental'!AE40</f>
        <v>16.899999999999999</v>
      </c>
      <c r="AE36" s="1805"/>
      <c r="AF36" s="3540"/>
      <c r="AG36" s="2838"/>
      <c r="AH36" s="1791">
        <f t="shared" ref="AH36" si="7">ROUND(SUM(X36)-SUM(AD36),1)</f>
        <v>13</v>
      </c>
      <c r="AI36" s="2861"/>
      <c r="AJ36" s="1438">
        <f>ROUND(IF(AD36=0,1,AH36/(AD36)),3)</f>
        <v>0.76900000000000002</v>
      </c>
      <c r="AK36" s="1511"/>
      <c r="AL36" s="2807"/>
    </row>
    <row r="37" spans="1:38" ht="18" customHeight="1">
      <c r="A37" s="2824" t="s">
        <v>908</v>
      </c>
      <c r="B37" s="2825"/>
      <c r="C37" s="2825"/>
      <c r="D37" s="1512">
        <f>ROUND(SUM(D28:D36),1)</f>
        <v>663.1</v>
      </c>
      <c r="E37" s="2284"/>
      <c r="F37" s="1802">
        <f>ROUND(SUM(F28:F36),1)</f>
        <v>6055.6</v>
      </c>
      <c r="G37" s="23"/>
      <c r="H37" s="1802">
        <f>ROUND(SUM(H28:H36),1)</f>
        <v>153.4</v>
      </c>
      <c r="I37" s="1478"/>
      <c r="J37" s="1802">
        <f>ROUND(SUM(J28:J36),1)</f>
        <v>1489</v>
      </c>
      <c r="K37" s="23"/>
      <c r="L37" s="1802">
        <f>ROUND(SUM(L28:L36),1)</f>
        <v>597.79999999999995</v>
      </c>
      <c r="M37" s="1478"/>
      <c r="N37" s="1802">
        <f>ROUND(SUM(N28:N36),1)</f>
        <v>5510.1</v>
      </c>
      <c r="O37" s="23"/>
      <c r="P37" s="1802">
        <f>ROUND(SUM(P28:P36),1)</f>
        <v>35.1</v>
      </c>
      <c r="Q37" s="1478"/>
      <c r="R37" s="1802">
        <f>ROUND(SUM(R28:R36),1)</f>
        <v>438.4</v>
      </c>
      <c r="S37" s="23"/>
      <c r="T37" s="2843"/>
      <c r="U37" s="2843"/>
      <c r="V37" s="1802">
        <f>ROUND(SUM(V28:V36),1)</f>
        <v>1449.4</v>
      </c>
      <c r="W37" s="1478"/>
      <c r="X37" s="1802">
        <f>ROUND(SUM(X28:X36),1)</f>
        <v>13493.1</v>
      </c>
      <c r="Y37" s="3802"/>
      <c r="Z37" s="2314"/>
      <c r="AA37" s="1478"/>
      <c r="AB37" s="1802">
        <f>ROUND(SUM(AB28:AB36),1)</f>
        <v>1546.8</v>
      </c>
      <c r="AC37" s="23"/>
      <c r="AD37" s="1802">
        <f>ROUND(SUM(AD28:AD36),1)</f>
        <v>15314.2</v>
      </c>
      <c r="AE37" s="1478"/>
      <c r="AF37" s="3541"/>
      <c r="AG37" s="1478"/>
      <c r="AH37" s="1834">
        <f t="shared" si="4"/>
        <v>-1821.1</v>
      </c>
      <c r="AI37" s="2254"/>
      <c r="AJ37" s="1513">
        <f t="shared" si="5"/>
        <v>-0.11899999999999999</v>
      </c>
      <c r="AK37" s="2862"/>
      <c r="AL37" s="2863"/>
    </row>
    <row r="38" spans="1:38" ht="18" customHeight="1">
      <c r="A38" s="2825"/>
      <c r="B38" s="2825"/>
      <c r="C38" s="2825"/>
      <c r="D38" s="1514"/>
      <c r="E38" s="617"/>
      <c r="F38" s="1803"/>
      <c r="G38" s="621"/>
      <c r="H38" s="1803"/>
      <c r="I38" s="1420"/>
      <c r="J38" s="1803"/>
      <c r="K38" s="621"/>
      <c r="L38" s="1803"/>
      <c r="M38" s="1420"/>
      <c r="N38" s="1803"/>
      <c r="O38" s="621"/>
      <c r="P38" s="1803"/>
      <c r="Q38" s="1420"/>
      <c r="R38" s="1803"/>
      <c r="S38" s="621"/>
      <c r="T38" s="2837"/>
      <c r="U38" s="2837"/>
      <c r="V38" s="1803"/>
      <c r="W38" s="1420"/>
      <c r="X38" s="1803"/>
      <c r="Y38" s="1420"/>
      <c r="Z38" s="2839"/>
      <c r="AA38" s="1420"/>
      <c r="AB38" s="1803"/>
      <c r="AC38" s="621"/>
      <c r="AD38" s="1803"/>
      <c r="AE38" s="1420"/>
      <c r="AF38" s="3540"/>
      <c r="AG38" s="1420"/>
      <c r="AH38" s="1420"/>
      <c r="AI38" s="614"/>
      <c r="AJ38" s="2854"/>
      <c r="AK38" s="2855"/>
      <c r="AL38" s="2807"/>
    </row>
    <row r="39" spans="1:38" ht="18" customHeight="1">
      <c r="A39" s="2824" t="s">
        <v>1169</v>
      </c>
      <c r="B39" s="2825"/>
      <c r="C39" s="2825"/>
      <c r="D39" s="616"/>
      <c r="E39" s="616"/>
      <c r="F39" s="621"/>
      <c r="G39" s="621"/>
      <c r="H39" s="621"/>
      <c r="I39" s="621"/>
      <c r="J39" s="621"/>
      <c r="K39" s="621"/>
      <c r="L39" s="621"/>
      <c r="M39" s="621"/>
      <c r="N39" s="621"/>
      <c r="O39" s="621"/>
      <c r="P39" s="621"/>
      <c r="Q39" s="621"/>
      <c r="R39" s="621"/>
      <c r="S39" s="621"/>
      <c r="T39" s="2837"/>
      <c r="U39" s="2837"/>
      <c r="V39" s="1420"/>
      <c r="W39" s="1420"/>
      <c r="X39" s="621"/>
      <c r="Y39" s="621"/>
      <c r="Z39" s="2839"/>
      <c r="AA39" s="1420"/>
      <c r="AB39" s="3495"/>
      <c r="AC39" s="621"/>
      <c r="AD39" s="3495"/>
      <c r="AE39" s="621"/>
      <c r="AF39" s="3540"/>
      <c r="AG39" s="621"/>
      <c r="AH39" s="621"/>
      <c r="AI39" s="2260"/>
      <c r="AJ39" s="1511"/>
      <c r="AK39" s="2855"/>
      <c r="AL39" s="2807"/>
    </row>
    <row r="40" spans="1:38" ht="18" customHeight="1">
      <c r="A40" s="2825" t="s">
        <v>909</v>
      </c>
      <c r="B40" s="2825"/>
      <c r="C40" s="2825"/>
      <c r="D40" s="621">
        <f>'Exhibit F'!V38</f>
        <v>-21.900000000000091</v>
      </c>
      <c r="E40" s="621"/>
      <c r="F40" s="621">
        <f>'Exhibit F'!AC38</f>
        <v>2841.6</v>
      </c>
      <c r="G40" s="621"/>
      <c r="H40" s="621">
        <f>'Exhibit G'!V30</f>
        <v>67.900000000000006</v>
      </c>
      <c r="I40" s="621"/>
      <c r="J40" s="621">
        <f>'Exhibit G'!AD30</f>
        <v>759.4</v>
      </c>
      <c r="K40" s="621"/>
      <c r="L40" s="1790">
        <v>0</v>
      </c>
      <c r="M40" s="1792"/>
      <c r="N40" s="1791">
        <v>0</v>
      </c>
      <c r="O40" s="621"/>
      <c r="P40" s="1790">
        <f>'Exhibit I'!W25</f>
        <v>0</v>
      </c>
      <c r="Q40" s="1792"/>
      <c r="R40" s="1790">
        <f>'Exhibit I'!AF25</f>
        <v>0</v>
      </c>
      <c r="S40" s="621"/>
      <c r="T40" s="2837"/>
      <c r="U40" s="2837"/>
      <c r="V40" s="1792">
        <f>SUM(D40)+SUM(H40)+SUM(L40)+SUM(P40)</f>
        <v>45.999999999999915</v>
      </c>
      <c r="W40" s="1420"/>
      <c r="X40" s="1792">
        <f>SUM(F40)+SUM(J40)+SUM(N40)+SUM(R40)</f>
        <v>3601</v>
      </c>
      <c r="Y40" s="621"/>
      <c r="Z40" s="2839"/>
      <c r="AA40" s="1420"/>
      <c r="AB40" s="1789">
        <v>153.79999999999998</v>
      </c>
      <c r="AC40" s="621"/>
      <c r="AD40" s="1805">
        <f>'Cashflow Governmental'!AE43</f>
        <v>3688.5999999999995</v>
      </c>
      <c r="AE40" s="1792"/>
      <c r="AF40" s="3540"/>
      <c r="AG40" s="621"/>
      <c r="AH40" s="1792">
        <f t="shared" ref="AH40:AH45" si="8">ROUND(SUM(X40)-SUM(AD40),1)</f>
        <v>-87.6</v>
      </c>
      <c r="AI40" s="2860"/>
      <c r="AJ40" s="1511">
        <f t="shared" ref="AJ40:AJ45" si="9">ROUND(AH40/AD40,3)</f>
        <v>-2.4E-2</v>
      </c>
      <c r="AK40" s="1511"/>
      <c r="AL40" s="2807"/>
    </row>
    <row r="41" spans="1:38" ht="18" customHeight="1">
      <c r="A41" s="2825" t="s">
        <v>910</v>
      </c>
      <c r="B41" s="2825"/>
      <c r="C41" s="2825"/>
      <c r="D41" s="621">
        <f>'Exhibit F'!V39</f>
        <v>4.8999999999999773</v>
      </c>
      <c r="E41" s="621"/>
      <c r="F41" s="621">
        <f>'Exhibit F'!AC39</f>
        <v>266</v>
      </c>
      <c r="G41" s="621"/>
      <c r="H41" s="621">
        <f>'Exhibit G'!V31</f>
        <v>4.8999999999999915</v>
      </c>
      <c r="I41" s="621"/>
      <c r="J41" s="1806">
        <f>'Exhibit G'!AD31</f>
        <v>89.8</v>
      </c>
      <c r="K41" s="621"/>
      <c r="L41" s="1790">
        <v>0</v>
      </c>
      <c r="M41" s="1792"/>
      <c r="N41" s="1791">
        <v>0</v>
      </c>
      <c r="O41" s="621"/>
      <c r="P41" s="621">
        <f>'Exhibit I'!W26</f>
        <v>0.20000000000000107</v>
      </c>
      <c r="Q41" s="1792"/>
      <c r="R41" s="621">
        <f>'Exhibit I'!AF26</f>
        <v>8.3000000000000007</v>
      </c>
      <c r="S41" s="621"/>
      <c r="T41" s="2837"/>
      <c r="U41" s="2837"/>
      <c r="V41" s="1792">
        <f>SUM(D41)+SUM(H41)+SUM(L41)+SUM(P41)</f>
        <v>9.9999999999999698</v>
      </c>
      <c r="W41" s="1420"/>
      <c r="X41" s="1792">
        <f>SUM(F41)+SUM(J41)+SUM(N41)+SUM(R41)</f>
        <v>364.1</v>
      </c>
      <c r="Y41" s="621"/>
      <c r="Z41" s="2839"/>
      <c r="AA41" s="1420"/>
      <c r="AB41" s="1789">
        <v>-1.2999999999999998</v>
      </c>
      <c r="AC41" s="621"/>
      <c r="AD41" s="1805">
        <f>'Cashflow Governmental'!AE44</f>
        <v>413.80000000000007</v>
      </c>
      <c r="AE41" s="1792"/>
      <c r="AF41" s="3540"/>
      <c r="AG41" s="621"/>
      <c r="AH41" s="1792">
        <f t="shared" si="8"/>
        <v>-49.7</v>
      </c>
      <c r="AI41" s="2860"/>
      <c r="AJ41" s="1511">
        <f t="shared" si="9"/>
        <v>-0.12</v>
      </c>
      <c r="AK41" s="1511"/>
      <c r="AL41" s="2807"/>
    </row>
    <row r="42" spans="1:38" ht="18" customHeight="1">
      <c r="A42" s="2825" t="s">
        <v>911</v>
      </c>
      <c r="B42" s="2825"/>
      <c r="C42" s="2825"/>
      <c r="D42" s="621">
        <f>'Exhibit F'!V40</f>
        <v>-4.4000000000000909</v>
      </c>
      <c r="E42" s="621"/>
      <c r="F42" s="621">
        <f>'Exhibit F'!AC40</f>
        <v>1194.0999999999999</v>
      </c>
      <c r="G42" s="621"/>
      <c r="H42" s="621">
        <f>'Exhibit G'!V32</f>
        <v>-0.5</v>
      </c>
      <c r="I42" s="621"/>
      <c r="J42" s="621">
        <f>'Exhibit G'!AD32</f>
        <v>136.6</v>
      </c>
      <c r="K42" s="621"/>
      <c r="L42" s="1790">
        <v>0</v>
      </c>
      <c r="M42" s="1792"/>
      <c r="N42" s="1791">
        <v>0</v>
      </c>
      <c r="O42" s="621"/>
      <c r="P42" s="1790">
        <v>0</v>
      </c>
      <c r="Q42" s="1792"/>
      <c r="R42" s="1790">
        <v>0</v>
      </c>
      <c r="S42" s="621"/>
      <c r="T42" s="2837"/>
      <c r="U42" s="2837"/>
      <c r="V42" s="1792">
        <f>SUM(D42)+SUM(H42)+SUM(L42)+SUM(P42)</f>
        <v>-4.9000000000000909</v>
      </c>
      <c r="W42" s="1420"/>
      <c r="X42" s="1792">
        <f>SUM(F42)+SUM(J42)+SUM(N42)+SUM(R42)</f>
        <v>1330.6999999999998</v>
      </c>
      <c r="Y42" s="621"/>
      <c r="Z42" s="2839"/>
      <c r="AA42" s="1420"/>
      <c r="AB42" s="1789">
        <v>1.4</v>
      </c>
      <c r="AC42" s="621"/>
      <c r="AD42" s="1805">
        <f>'Cashflow Governmental'!AE45</f>
        <v>1528</v>
      </c>
      <c r="AE42" s="1792"/>
      <c r="AF42" s="3540"/>
      <c r="AG42" s="621"/>
      <c r="AH42" s="1792">
        <f t="shared" si="8"/>
        <v>-197.3</v>
      </c>
      <c r="AI42" s="2860"/>
      <c r="AJ42" s="1511">
        <f t="shared" si="9"/>
        <v>-0.129</v>
      </c>
      <c r="AK42" s="1511"/>
      <c r="AL42" s="2807"/>
    </row>
    <row r="43" spans="1:38" ht="18" customHeight="1">
      <c r="A43" s="2825" t="s">
        <v>912</v>
      </c>
      <c r="B43" s="2825"/>
      <c r="C43" s="2825"/>
      <c r="D43" s="621">
        <f>'Exhibit F'!V41</f>
        <v>-8.3000000000000114</v>
      </c>
      <c r="E43" s="621"/>
      <c r="F43" s="621">
        <f>'Exhibit F'!AC41</f>
        <v>138.69999999999999</v>
      </c>
      <c r="G43" s="621"/>
      <c r="H43" s="621">
        <f>'Exhibit G'!V33</f>
        <v>-1.7999999999999989</v>
      </c>
      <c r="I43" s="621"/>
      <c r="J43" s="621">
        <f>'Exhibit G'!AD33</f>
        <v>16.8</v>
      </c>
      <c r="K43" s="621"/>
      <c r="L43" s="1790">
        <v>0</v>
      </c>
      <c r="M43" s="1792"/>
      <c r="N43" s="1791">
        <v>0</v>
      </c>
      <c r="O43" s="621"/>
      <c r="P43" s="1790">
        <v>0</v>
      </c>
      <c r="Q43" s="1792"/>
      <c r="R43" s="1790">
        <v>0</v>
      </c>
      <c r="S43" s="621"/>
      <c r="T43" s="2837"/>
      <c r="U43" s="2837"/>
      <c r="V43" s="1792">
        <f>SUM(D43)+SUM(H43)+SUM(L43)+SUM(P43)</f>
        <v>-10.10000000000001</v>
      </c>
      <c r="W43" s="1420"/>
      <c r="X43" s="1792">
        <f>SUM(F43)+SUM(J43)+SUM(N43)+SUM(R43)</f>
        <v>155.5</v>
      </c>
      <c r="Y43" s="621"/>
      <c r="Z43" s="2839"/>
      <c r="AA43" s="1420"/>
      <c r="AB43" s="1789">
        <v>-0.4</v>
      </c>
      <c r="AC43" s="621"/>
      <c r="AD43" s="1805">
        <f>'Cashflow Governmental'!AE46</f>
        <v>-30.299999999999997</v>
      </c>
      <c r="AE43" s="1792"/>
      <c r="AF43" s="3540"/>
      <c r="AG43" s="621"/>
      <c r="AH43" s="1792">
        <f t="shared" si="8"/>
        <v>185.8</v>
      </c>
      <c r="AI43" s="2860"/>
      <c r="AJ43" s="2233">
        <f>-ROUND(AH43/AD43,3)</f>
        <v>6.1319999999999997</v>
      </c>
      <c r="AK43" s="1511"/>
      <c r="AL43" s="2807"/>
    </row>
    <row r="44" spans="1:38" ht="18" customHeight="1">
      <c r="A44" s="2825" t="s">
        <v>913</v>
      </c>
      <c r="B44" s="2825"/>
      <c r="C44" s="2825"/>
      <c r="D44" s="621">
        <f>'Exhibit F'!V42</f>
        <v>0</v>
      </c>
      <c r="E44" s="1792"/>
      <c r="F44" s="621">
        <f>'Exhibit F'!AC42</f>
        <v>0</v>
      </c>
      <c r="G44" s="621"/>
      <c r="H44" s="621">
        <f>'Exhibit G'!V34</f>
        <v>33.699999999999989</v>
      </c>
      <c r="I44" s="1792"/>
      <c r="J44" s="621">
        <f>'Exhibit G'!AD34</f>
        <v>352.5</v>
      </c>
      <c r="K44" s="621"/>
      <c r="L44" s="1790">
        <v>0</v>
      </c>
      <c r="M44" s="1792"/>
      <c r="N44" s="1791">
        <v>0</v>
      </c>
      <c r="O44" s="621"/>
      <c r="P44" s="621">
        <f>'Exhibit I'!W27</f>
        <v>42.7</v>
      </c>
      <c r="Q44" s="1792"/>
      <c r="R44" s="621">
        <f>'Exhibit I'!AF27</f>
        <v>444.5</v>
      </c>
      <c r="S44" s="621"/>
      <c r="T44" s="2837"/>
      <c r="U44" s="2837"/>
      <c r="V44" s="1792">
        <f>SUM(D44)+SUM(H44)+SUM(L44)+SUM(P44)</f>
        <v>76.399999999999991</v>
      </c>
      <c r="W44" s="1420"/>
      <c r="X44" s="1792">
        <f>SUM(F44)+SUM(J44)+SUM(N44)+SUM(R44)</f>
        <v>797</v>
      </c>
      <c r="Y44" s="621"/>
      <c r="Z44" s="2839"/>
      <c r="AA44" s="1420"/>
      <c r="AB44" s="1789">
        <v>98</v>
      </c>
      <c r="AC44" s="621"/>
      <c r="AD44" s="1805">
        <f>'Cashflow Governmental'!AE47</f>
        <v>995.1</v>
      </c>
      <c r="AE44" s="1792"/>
      <c r="AF44" s="3540"/>
      <c r="AG44" s="621"/>
      <c r="AH44" s="1792">
        <f t="shared" si="8"/>
        <v>-198.1</v>
      </c>
      <c r="AI44" s="2861"/>
      <c r="AJ44" s="1511">
        <f t="shared" si="9"/>
        <v>-0.19900000000000001</v>
      </c>
      <c r="AK44" s="1511"/>
      <c r="AL44" s="2807"/>
    </row>
    <row r="45" spans="1:38" ht="18" customHeight="1">
      <c r="A45" s="2824" t="s">
        <v>908</v>
      </c>
      <c r="B45" s="2825"/>
      <c r="C45" s="2825"/>
      <c r="D45" s="1512">
        <f>ROUND(SUM(D40:D44),1)</f>
        <v>-29.7</v>
      </c>
      <c r="E45" s="2284"/>
      <c r="F45" s="1802">
        <f>ROUND(SUM(F40:F44),1)</f>
        <v>4440.3999999999996</v>
      </c>
      <c r="G45" s="23"/>
      <c r="H45" s="1802">
        <f>ROUND(SUM(H40:H44),1)</f>
        <v>104.2</v>
      </c>
      <c r="I45" s="1478"/>
      <c r="J45" s="1802">
        <f>ROUND(SUM(J40:J44),1)</f>
        <v>1355.1</v>
      </c>
      <c r="K45" s="23"/>
      <c r="L45" s="1804">
        <f>ROUND(SUM(L40:L44),1)</f>
        <v>0</v>
      </c>
      <c r="M45" s="2842"/>
      <c r="N45" s="1804">
        <f>ROUND(SUM(N40:N44),1)</f>
        <v>0</v>
      </c>
      <c r="O45" s="23"/>
      <c r="P45" s="1802">
        <f>ROUND(SUM(P40:P44),1)</f>
        <v>42.9</v>
      </c>
      <c r="Q45" s="1478"/>
      <c r="R45" s="1802">
        <f>ROUND(SUM(R40:R44),1)</f>
        <v>452.8</v>
      </c>
      <c r="S45" s="23"/>
      <c r="T45" s="2843"/>
      <c r="U45" s="2843"/>
      <c r="V45" s="1802">
        <f>ROUND(SUM(V40:V44),1)</f>
        <v>117.4</v>
      </c>
      <c r="W45" s="1478"/>
      <c r="X45" s="1802">
        <f>ROUND(SUM(X40:X44),1)</f>
        <v>6248.3</v>
      </c>
      <c r="Y45" s="3802"/>
      <c r="Z45" s="2314"/>
      <c r="AA45" s="1478"/>
      <c r="AB45" s="1802">
        <f>ROUND(SUM(AB40:AB44),1)</f>
        <v>251.5</v>
      </c>
      <c r="AC45" s="23"/>
      <c r="AD45" s="1802">
        <f>ROUND(SUM(AD40:AD44),1)</f>
        <v>6595.2</v>
      </c>
      <c r="AE45" s="1478"/>
      <c r="AF45" s="3541"/>
      <c r="AG45" s="1478"/>
      <c r="AH45" s="3381">
        <f t="shared" si="8"/>
        <v>-346.9</v>
      </c>
      <c r="AI45" s="2254"/>
      <c r="AJ45" s="1513">
        <f t="shared" si="9"/>
        <v>-5.2999999999999999E-2</v>
      </c>
      <c r="AK45" s="2862"/>
      <c r="AL45" s="2863"/>
    </row>
    <row r="46" spans="1:38" ht="18" customHeight="1">
      <c r="A46" s="2825"/>
      <c r="B46" s="2825"/>
      <c r="C46" s="2825"/>
      <c r="D46" s="1514"/>
      <c r="E46" s="617"/>
      <c r="F46" s="1803"/>
      <c r="G46" s="621"/>
      <c r="H46" s="1803"/>
      <c r="I46" s="1420"/>
      <c r="J46" s="1803"/>
      <c r="K46" s="621"/>
      <c r="L46" s="1803"/>
      <c r="M46" s="1420"/>
      <c r="N46" s="1803"/>
      <c r="O46" s="621"/>
      <c r="P46" s="1803"/>
      <c r="Q46" s="1420"/>
      <c r="R46" s="1803"/>
      <c r="S46" s="621"/>
      <c r="T46" s="2837"/>
      <c r="U46" s="2837"/>
      <c r="V46" s="1803"/>
      <c r="W46" s="1420"/>
      <c r="X46" s="1803"/>
      <c r="Y46" s="1420"/>
      <c r="Z46" s="2839"/>
      <c r="AA46" s="1420"/>
      <c r="AB46" s="1803"/>
      <c r="AC46" s="621"/>
      <c r="AD46" s="1803"/>
      <c r="AE46" s="1420"/>
      <c r="AF46" s="3540"/>
      <c r="AG46" s="1420"/>
      <c r="AH46" s="1420"/>
      <c r="AI46" s="614"/>
      <c r="AJ46" s="2854"/>
      <c r="AK46" s="2855"/>
      <c r="AL46" s="2807"/>
    </row>
    <row r="47" spans="1:38" ht="18" customHeight="1">
      <c r="A47" s="2856" t="s">
        <v>1170</v>
      </c>
      <c r="B47" s="2825"/>
      <c r="C47" s="2825"/>
      <c r="D47" s="616"/>
      <c r="E47" s="616"/>
      <c r="F47" s="621"/>
      <c r="G47" s="621"/>
      <c r="H47" s="621" t="s">
        <v>15</v>
      </c>
      <c r="I47" s="621"/>
      <c r="J47" s="621"/>
      <c r="K47" s="621"/>
      <c r="L47" s="621"/>
      <c r="M47" s="621"/>
      <c r="N47" s="621"/>
      <c r="O47" s="621"/>
      <c r="P47" s="621"/>
      <c r="Q47" s="621"/>
      <c r="R47" s="621"/>
      <c r="S47" s="621"/>
      <c r="T47" s="2837"/>
      <c r="U47" s="2837"/>
      <c r="V47" s="1420"/>
      <c r="W47" s="1420"/>
      <c r="X47" s="621"/>
      <c r="Y47" s="621"/>
      <c r="Z47" s="2839"/>
      <c r="AA47" s="1420"/>
      <c r="AB47" s="1420"/>
      <c r="AC47" s="621"/>
      <c r="AD47" s="621"/>
      <c r="AE47" s="621"/>
      <c r="AF47" s="3540"/>
      <c r="AG47" s="621"/>
      <c r="AH47" s="621"/>
      <c r="AI47" s="2260"/>
      <c r="AJ47" s="1511"/>
      <c r="AK47" s="2855"/>
      <c r="AL47" s="2807"/>
    </row>
    <row r="48" spans="1:38" ht="18" customHeight="1">
      <c r="A48" s="2825" t="s">
        <v>914</v>
      </c>
      <c r="B48" s="2825"/>
      <c r="C48" s="2825"/>
      <c r="D48" s="1790">
        <f>'Exhibit F'!V45</f>
        <v>0</v>
      </c>
      <c r="E48" s="621"/>
      <c r="F48" s="621">
        <f>'Exhibit F'!AC45</f>
        <v>0</v>
      </c>
      <c r="G48" s="621"/>
      <c r="H48" s="1790">
        <v>0</v>
      </c>
      <c r="I48" s="1792"/>
      <c r="J48" s="1791">
        <v>0</v>
      </c>
      <c r="K48" s="621"/>
      <c r="L48" s="1791">
        <v>0</v>
      </c>
      <c r="M48" s="1791"/>
      <c r="N48" s="1791">
        <v>0</v>
      </c>
      <c r="O48" s="621"/>
      <c r="P48" s="1790">
        <v>0</v>
      </c>
      <c r="Q48" s="1792"/>
      <c r="R48" s="1791">
        <v>0</v>
      </c>
      <c r="S48" s="621"/>
      <c r="T48" s="2837"/>
      <c r="U48" s="2837"/>
      <c r="V48" s="1791">
        <f t="shared" ref="V48:V52" si="10">SUM(D48)+SUM(H48)+SUM(L48)+SUM(P48)</f>
        <v>0</v>
      </c>
      <c r="W48" s="1420"/>
      <c r="X48" s="1792">
        <f t="shared" ref="X48:X52" si="11">SUM(F48)+SUM(J48)+SUM(N48)+SUM(R48)</f>
        <v>0</v>
      </c>
      <c r="Y48" s="2838"/>
      <c r="Z48" s="2839"/>
      <c r="AA48" s="1420"/>
      <c r="AB48" s="1789">
        <v>0</v>
      </c>
      <c r="AC48" s="621"/>
      <c r="AD48" s="1805">
        <f>'Cashflow Governmental'!AE50</f>
        <v>0</v>
      </c>
      <c r="AE48" s="1792"/>
      <c r="AF48" s="3540"/>
      <c r="AG48" s="2838"/>
      <c r="AH48" s="1792">
        <f t="shared" ref="AH48:AH54" si="12">ROUND(SUM(X48)-SUM(AD48),1)</f>
        <v>0</v>
      </c>
      <c r="AI48" s="2860"/>
      <c r="AJ48" s="1438">
        <f>ROUND(IF(AD48=0,0,-AH48/(AD48)),3)</f>
        <v>0</v>
      </c>
      <c r="AK48" s="1511"/>
      <c r="AL48" s="2807"/>
    </row>
    <row r="49" spans="1:38" ht="18" customHeight="1">
      <c r="A49" s="2825" t="s">
        <v>915</v>
      </c>
      <c r="B49" s="2825"/>
      <c r="C49" s="2825"/>
      <c r="D49" s="1790">
        <f>'Exhibit F'!V46</f>
        <v>293.50000000000011</v>
      </c>
      <c r="E49" s="621"/>
      <c r="F49" s="621">
        <f>'Exhibit F'!AC46</f>
        <v>1250</v>
      </c>
      <c r="G49" s="621"/>
      <c r="H49" s="1790">
        <v>0</v>
      </c>
      <c r="I49" s="1792"/>
      <c r="J49" s="1791">
        <v>0</v>
      </c>
      <c r="K49" s="621"/>
      <c r="L49" s="1791">
        <v>0</v>
      </c>
      <c r="M49" s="1791"/>
      <c r="N49" s="1791">
        <v>0</v>
      </c>
      <c r="O49" s="621"/>
      <c r="P49" s="1790">
        <v>0</v>
      </c>
      <c r="Q49" s="1792"/>
      <c r="R49" s="1791">
        <v>0</v>
      </c>
      <c r="S49" s="621"/>
      <c r="T49" s="2837"/>
      <c r="U49" s="2837"/>
      <c r="V49" s="1792">
        <f t="shared" si="10"/>
        <v>293.50000000000011</v>
      </c>
      <c r="W49" s="1420"/>
      <c r="X49" s="1792">
        <f t="shared" si="11"/>
        <v>1250</v>
      </c>
      <c r="Y49" s="2838"/>
      <c r="Z49" s="2839"/>
      <c r="AA49" s="1420"/>
      <c r="AB49" s="1789">
        <v>93.5</v>
      </c>
      <c r="AC49" s="621"/>
      <c r="AD49" s="1805">
        <f>'Cashflow Governmental'!AE51</f>
        <v>907</v>
      </c>
      <c r="AE49" s="1805"/>
      <c r="AF49" s="3540"/>
      <c r="AG49" s="2838"/>
      <c r="AH49" s="1792">
        <f t="shared" si="12"/>
        <v>343</v>
      </c>
      <c r="AI49" s="2860"/>
      <c r="AJ49" s="1511">
        <f>ROUND(AH49/AD49,3)</f>
        <v>0.378</v>
      </c>
      <c r="AK49" s="1511"/>
      <c r="AL49" s="2807"/>
    </row>
    <row r="50" spans="1:38" ht="18" customHeight="1">
      <c r="A50" s="2825" t="s">
        <v>916</v>
      </c>
      <c r="B50" s="2825"/>
      <c r="C50" s="2825"/>
      <c r="D50" s="1790">
        <f>'Exhibit F'!V47</f>
        <v>0.59999999999999964</v>
      </c>
      <c r="E50" s="621"/>
      <c r="F50" s="621">
        <f>'Exhibit F'!AC47</f>
        <v>8.6999999999999993</v>
      </c>
      <c r="G50" s="621"/>
      <c r="H50" s="1790">
        <v>0</v>
      </c>
      <c r="I50" s="1792"/>
      <c r="J50" s="1791">
        <v>0</v>
      </c>
      <c r="K50" s="621"/>
      <c r="L50" s="1791">
        <v>0</v>
      </c>
      <c r="M50" s="1791"/>
      <c r="N50" s="1791">
        <v>0</v>
      </c>
      <c r="O50" s="621"/>
      <c r="P50" s="1790">
        <v>0</v>
      </c>
      <c r="Q50" s="1792"/>
      <c r="R50" s="1791">
        <v>0</v>
      </c>
      <c r="S50" s="621"/>
      <c r="T50" s="2837"/>
      <c r="U50" s="2837"/>
      <c r="V50" s="1792">
        <f t="shared" si="10"/>
        <v>0.59999999999999964</v>
      </c>
      <c r="W50" s="1420"/>
      <c r="X50" s="1792">
        <f t="shared" si="11"/>
        <v>8.6999999999999993</v>
      </c>
      <c r="Y50" s="2838"/>
      <c r="Z50" s="2839"/>
      <c r="AA50" s="1420"/>
      <c r="AB50" s="1789">
        <v>0.7</v>
      </c>
      <c r="AC50" s="621"/>
      <c r="AD50" s="1805">
        <f>'Cashflow Governmental'!AE52</f>
        <v>12.9</v>
      </c>
      <c r="AE50" s="1805"/>
      <c r="AF50" s="3540"/>
      <c r="AG50" s="2838"/>
      <c r="AH50" s="1792">
        <f t="shared" si="12"/>
        <v>-4.2</v>
      </c>
      <c r="AI50" s="2860"/>
      <c r="AJ50" s="1511">
        <f>ROUND(AH50/AD50,3)</f>
        <v>-0.32600000000000001</v>
      </c>
      <c r="AK50" s="1511"/>
      <c r="AL50" s="2807"/>
    </row>
    <row r="51" spans="1:38" ht="18" customHeight="1">
      <c r="A51" s="2825" t="s">
        <v>917</v>
      </c>
      <c r="B51" s="2825"/>
      <c r="C51" s="2825"/>
      <c r="D51" s="1790">
        <f>'Exhibit F'!V48</f>
        <v>0</v>
      </c>
      <c r="E51" s="1792"/>
      <c r="F51" s="621">
        <f>'Exhibit F'!AC48</f>
        <v>0</v>
      </c>
      <c r="G51" s="621"/>
      <c r="H51" s="1790">
        <v>0</v>
      </c>
      <c r="I51" s="1792"/>
      <c r="J51" s="1791">
        <v>0</v>
      </c>
      <c r="K51" s="621"/>
      <c r="L51" s="1792">
        <f>'Exhibit H'!T22</f>
        <v>110.89999999999998</v>
      </c>
      <c r="M51" s="1792"/>
      <c r="N51" s="1792">
        <f>'Exhibit H'!AA22</f>
        <v>674</v>
      </c>
      <c r="O51" s="621"/>
      <c r="P51" s="1789">
        <f>'Exhibit I'!W30</f>
        <v>11.899999999999986</v>
      </c>
      <c r="Q51" s="1792"/>
      <c r="R51" s="1805">
        <f>'Exhibit I'!AF30</f>
        <v>95.3</v>
      </c>
      <c r="S51" s="621"/>
      <c r="T51" s="2837"/>
      <c r="U51" s="2837"/>
      <c r="V51" s="1792">
        <f t="shared" si="10"/>
        <v>122.79999999999997</v>
      </c>
      <c r="W51" s="1420"/>
      <c r="X51" s="1792">
        <f t="shared" si="11"/>
        <v>769.3</v>
      </c>
      <c r="Y51" s="2838"/>
      <c r="Z51" s="2839"/>
      <c r="AA51" s="1420"/>
      <c r="AB51" s="1789">
        <v>94.8</v>
      </c>
      <c r="AC51" s="621"/>
      <c r="AD51" s="1805">
        <f>'Cashflow Governmental'!AE53</f>
        <v>952</v>
      </c>
      <c r="AE51" s="1792"/>
      <c r="AF51" s="3540"/>
      <c r="AG51" s="2838"/>
      <c r="AH51" s="1792">
        <f t="shared" si="12"/>
        <v>-182.7</v>
      </c>
      <c r="AI51" s="2864"/>
      <c r="AJ51" s="1511">
        <f>ROUND(AH51/AD51,3)</f>
        <v>-0.192</v>
      </c>
      <c r="AK51" s="1511"/>
      <c r="AL51" s="2807"/>
    </row>
    <row r="52" spans="1:38" ht="18" customHeight="1">
      <c r="A52" s="2825" t="s">
        <v>918</v>
      </c>
      <c r="B52" s="2825"/>
      <c r="C52" s="2825"/>
      <c r="D52" s="1790">
        <f>'Exhibit F'!V49</f>
        <v>0</v>
      </c>
      <c r="E52" s="1420"/>
      <c r="F52" s="621">
        <f>'Exhibit F'!AC49</f>
        <v>0.1</v>
      </c>
      <c r="G52" s="621"/>
      <c r="H52" s="1790">
        <v>0</v>
      </c>
      <c r="I52" s="1792"/>
      <c r="J52" s="1791">
        <v>0</v>
      </c>
      <c r="K52" s="621"/>
      <c r="L52" s="1791">
        <v>0</v>
      </c>
      <c r="M52" s="1791"/>
      <c r="N52" s="1791">
        <v>0</v>
      </c>
      <c r="O52" s="621"/>
      <c r="P52" s="1790">
        <v>0</v>
      </c>
      <c r="Q52" s="1792"/>
      <c r="R52" s="1791">
        <v>0</v>
      </c>
      <c r="S52" s="621"/>
      <c r="T52" s="2837"/>
      <c r="U52" s="2837"/>
      <c r="V52" s="1792">
        <f t="shared" si="10"/>
        <v>0</v>
      </c>
      <c r="W52" s="1420"/>
      <c r="X52" s="1792">
        <f t="shared" si="11"/>
        <v>0.1</v>
      </c>
      <c r="Y52" s="2838"/>
      <c r="Z52" s="2839"/>
      <c r="AA52" s="1420"/>
      <c r="AB52" s="1789">
        <v>-0.1</v>
      </c>
      <c r="AC52" s="621"/>
      <c r="AD52" s="1805">
        <f>'Cashflow Governmental'!AE54</f>
        <v>1.9</v>
      </c>
      <c r="AE52" s="1792"/>
      <c r="AF52" s="3540"/>
      <c r="AG52" s="2838"/>
      <c r="AH52" s="1792">
        <f t="shared" si="12"/>
        <v>-1.8</v>
      </c>
      <c r="AI52" s="2864"/>
      <c r="AJ52" s="1438">
        <f>ROUND(IF(AD52=0,0,AH52/(AD52)),3)</f>
        <v>-0.94699999999999995</v>
      </c>
      <c r="AK52" s="1511"/>
      <c r="AL52" s="2807"/>
    </row>
    <row r="53" spans="1:38" ht="18" customHeight="1">
      <c r="A53" s="2768" t="s">
        <v>1371</v>
      </c>
      <c r="B53" s="2826"/>
      <c r="C53" s="2826"/>
      <c r="D53" s="1790">
        <f>'Exhibit F'!V50</f>
        <v>0.39999999999999958</v>
      </c>
      <c r="E53" s="1420"/>
      <c r="F53" s="621">
        <f>'Exhibit F'!AC50</f>
        <v>1.4</v>
      </c>
      <c r="G53" s="621"/>
      <c r="H53" s="621">
        <v>0</v>
      </c>
      <c r="I53" s="1792"/>
      <c r="J53" s="1792">
        <v>0</v>
      </c>
      <c r="K53" s="621"/>
      <c r="L53" s="1790">
        <f>'Exhibit H'!T23</f>
        <v>0.2999999999999996</v>
      </c>
      <c r="M53" s="1792"/>
      <c r="N53" s="1791">
        <f>'Exhibit H'!AA23</f>
        <v>1.4</v>
      </c>
      <c r="O53" s="621"/>
      <c r="P53" s="1790">
        <v>0</v>
      </c>
      <c r="Q53" s="1792"/>
      <c r="R53" s="1791">
        <v>0</v>
      </c>
      <c r="S53" s="621"/>
      <c r="T53" s="2837"/>
      <c r="U53" s="2837"/>
      <c r="V53" s="1792">
        <f t="shared" ref="V53" si="13">SUM(D53)+SUM(H53)+SUM(L53)+SUM(P53)</f>
        <v>0.69999999999999918</v>
      </c>
      <c r="W53" s="1420"/>
      <c r="X53" s="1792">
        <f t="shared" ref="X53" si="14">SUM(F53)+SUM(J53)+SUM(N53)+SUM(R53)</f>
        <v>2.8</v>
      </c>
      <c r="Y53" s="2838"/>
      <c r="Z53" s="2839"/>
      <c r="AA53" s="1420"/>
      <c r="AB53" s="1789">
        <v>0.5</v>
      </c>
      <c r="AC53" s="621"/>
      <c r="AD53" s="1805">
        <f>'Cashflow Governmental'!AE55</f>
        <v>1.9</v>
      </c>
      <c r="AE53" s="1792"/>
      <c r="AF53" s="3540"/>
      <c r="AG53" s="2838"/>
      <c r="AH53" s="1791">
        <f t="shared" ref="AH53" si="15">ROUND(SUM(X53)-SUM(AD53),1)</f>
        <v>0.9</v>
      </c>
      <c r="AI53" s="2864"/>
      <c r="AJ53" s="1438">
        <f>ROUND(IF(AD53=0,1,AH53/(AD53)),3)</f>
        <v>0.47399999999999998</v>
      </c>
      <c r="AK53" s="1511"/>
      <c r="AL53" s="2807"/>
    </row>
    <row r="54" spans="1:38" ht="18" customHeight="1">
      <c r="A54" s="2824" t="s">
        <v>908</v>
      </c>
      <c r="B54" s="2825"/>
      <c r="C54" s="2825"/>
      <c r="D54" s="1512">
        <f>ROUND(SUM(D48:D53),1)</f>
        <v>294.5</v>
      </c>
      <c r="E54" s="2284"/>
      <c r="F54" s="1802">
        <f>ROUND(SUM(F48:F53),1)</f>
        <v>1260.2</v>
      </c>
      <c r="G54" s="23"/>
      <c r="H54" s="2844">
        <f>ROUND(SUM(H48:H53),1)</f>
        <v>0</v>
      </c>
      <c r="I54" s="2842"/>
      <c r="J54" s="2844">
        <f>ROUND(SUM(J48:J53),1)</f>
        <v>0</v>
      </c>
      <c r="K54" s="23"/>
      <c r="L54" s="1802">
        <f>ROUND(SUM(L48:L53),1)</f>
        <v>111.2</v>
      </c>
      <c r="M54" s="1478"/>
      <c r="N54" s="1802">
        <f>ROUND(SUM(N48:N53),1)</f>
        <v>675.4</v>
      </c>
      <c r="O54" s="23" t="s">
        <v>15</v>
      </c>
      <c r="P54" s="1802">
        <f>ROUND(SUM(P48:P53),1)</f>
        <v>11.9</v>
      </c>
      <c r="Q54" s="1478"/>
      <c r="R54" s="1802">
        <f>ROUND(SUM(R48:R53),1)</f>
        <v>95.3</v>
      </c>
      <c r="S54" s="23"/>
      <c r="T54" s="2843"/>
      <c r="U54" s="2843"/>
      <c r="V54" s="2844">
        <f>ROUND(SUM(V48:V53),1)</f>
        <v>417.6</v>
      </c>
      <c r="W54" s="1478"/>
      <c r="X54" s="2844">
        <f>ROUND(SUM(X48:X53),1)</f>
        <v>2030.9</v>
      </c>
      <c r="Y54" s="2853"/>
      <c r="Z54" s="2314"/>
      <c r="AA54" s="1478"/>
      <c r="AB54" s="2844">
        <f>ROUND(SUM(AB48:AB53),1)</f>
        <v>189.4</v>
      </c>
      <c r="AC54" s="23"/>
      <c r="AD54" s="2844">
        <f>ROUND(SUM(AD48:AD53),1)</f>
        <v>1875.7</v>
      </c>
      <c r="AE54" s="2842"/>
      <c r="AF54" s="3541"/>
      <c r="AG54" s="2845"/>
      <c r="AH54" s="1834">
        <f t="shared" si="12"/>
        <v>155.19999999999999</v>
      </c>
      <c r="AI54" s="2254"/>
      <c r="AJ54" s="1513">
        <f>ROUND(AH54/AD54,3)</f>
        <v>8.3000000000000004E-2</v>
      </c>
      <c r="AK54" s="2862"/>
      <c r="AL54" s="2863"/>
    </row>
    <row r="55" spans="1:38" ht="18" customHeight="1">
      <c r="A55" s="2825"/>
      <c r="B55" s="2825"/>
      <c r="C55" s="2825"/>
      <c r="D55" s="1515"/>
      <c r="E55" s="2254"/>
      <c r="F55" s="3496"/>
      <c r="G55" s="3075"/>
      <c r="H55" s="3496"/>
      <c r="I55" s="2315"/>
      <c r="J55" s="3496"/>
      <c r="K55" s="3075"/>
      <c r="L55" s="3496"/>
      <c r="M55" s="2315"/>
      <c r="N55" s="3496"/>
      <c r="O55" s="3075"/>
      <c r="P55" s="3496"/>
      <c r="Q55" s="2315"/>
      <c r="R55" s="3496"/>
      <c r="S55" s="3075"/>
      <c r="T55" s="3803"/>
      <c r="U55" s="3803"/>
      <c r="V55" s="3496"/>
      <c r="W55" s="3373"/>
      <c r="X55" s="3496"/>
      <c r="Y55" s="2315"/>
      <c r="Z55" s="3804"/>
      <c r="AA55" s="3373"/>
      <c r="AB55" s="3496"/>
      <c r="AC55" s="3075"/>
      <c r="AD55" s="3496"/>
      <c r="AE55" s="2315"/>
      <c r="AF55" s="3542"/>
      <c r="AG55" s="2315"/>
      <c r="AH55" s="3382"/>
      <c r="AI55" s="2254"/>
      <c r="AJ55" s="1516"/>
      <c r="AK55" s="2863"/>
      <c r="AL55" s="2863"/>
    </row>
    <row r="56" spans="1:38" ht="18" customHeight="1" thickBot="1">
      <c r="A56" s="2824" t="s">
        <v>919</v>
      </c>
      <c r="B56" s="2825"/>
      <c r="C56" s="2825"/>
      <c r="D56" s="1517">
        <f>ROUND(SUM(D25)+SUM(D37)+SUM(D45)+SUM(D54),1)</f>
        <v>3682.4</v>
      </c>
      <c r="E56" s="2865"/>
      <c r="F56" s="3805">
        <f>ROUND(SUM(F25)+SUM(F37)+SUM(F45)+SUM(F54),1)</f>
        <v>32873.199999999997</v>
      </c>
      <c r="G56" s="3806"/>
      <c r="H56" s="3805">
        <f>ROUND(SUM(H25)+SUM(H37)+SUM(H45)+SUM(H54),1)</f>
        <v>2229.6</v>
      </c>
      <c r="I56" s="2322"/>
      <c r="J56" s="3805">
        <f>ROUND(SUM(J25)+SUM(J37)+SUM(J45)+SUM(J54),1)</f>
        <v>4852.7</v>
      </c>
      <c r="K56" s="2322"/>
      <c r="L56" s="3805">
        <f>ROUND(SUM(L25)+SUM(L37)+SUM(L45)+SUM(L54),1)</f>
        <v>5435.5</v>
      </c>
      <c r="M56" s="2322"/>
      <c r="N56" s="3805">
        <f>ROUND(SUM(N25)+SUM(N37)+SUM(N45)+SUM(N54),1)</f>
        <v>29311.1</v>
      </c>
      <c r="O56" s="2322"/>
      <c r="P56" s="3805">
        <f>ROUND(SUM(P25)+SUM(P37)+SUM(P45)+SUM(P54),1)</f>
        <v>89.9</v>
      </c>
      <c r="Q56" s="2322"/>
      <c r="R56" s="3805">
        <f>ROUND(SUM(R25)+SUM(R37)+SUM(R45)+SUM(R54),1)</f>
        <v>986.5</v>
      </c>
      <c r="S56" s="2320"/>
      <c r="T56" s="3807"/>
      <c r="U56" s="2322"/>
      <c r="V56" s="3497">
        <f>ROUND(SUM(V25)+SUM(V37)+SUM(V45)+SUM(V54),1)</f>
        <v>11437.4</v>
      </c>
      <c r="W56" s="2322"/>
      <c r="X56" s="3497">
        <f>ROUND(SUM(X25)+SUM(X37)+SUM(X45)+SUM(X54),1)</f>
        <v>68023.5</v>
      </c>
      <c r="Y56" s="3808"/>
      <c r="Z56" s="2323"/>
      <c r="AA56" s="2322"/>
      <c r="AB56" s="3497">
        <f>ROUND(SUM(AB25)+SUM(AB37)+SUM(AB45)+SUM(AB54),1)</f>
        <v>10886.9</v>
      </c>
      <c r="AC56" s="2322"/>
      <c r="AD56" s="3497">
        <f>ROUND(SUM(AD25)+SUM(AD37)+SUM(AD45)+SUM(AD54),1)</f>
        <v>70001.5</v>
      </c>
      <c r="AE56" s="2322"/>
      <c r="AF56" s="3543"/>
      <c r="AG56" s="2322"/>
      <c r="AH56" s="25">
        <f>ROUND(SUM(X56)-SUM(AD56),1)</f>
        <v>-1978</v>
      </c>
      <c r="AI56" s="2254"/>
      <c r="AJ56" s="1518">
        <f>ROUND(AH56/AD56,3)</f>
        <v>-2.8000000000000001E-2</v>
      </c>
      <c r="AK56" s="2862"/>
      <c r="AL56" s="2863"/>
    </row>
    <row r="57" spans="1:38" ht="15" customHeight="1" thickTop="1">
      <c r="F57" s="2834" t="s">
        <v>15</v>
      </c>
      <c r="G57" s="2834"/>
      <c r="H57" s="2834"/>
      <c r="I57" s="2834"/>
      <c r="J57" s="2834"/>
      <c r="K57" s="2834"/>
      <c r="L57" s="2834"/>
      <c r="M57" s="2834"/>
      <c r="N57" s="2834" t="s">
        <v>15</v>
      </c>
      <c r="O57" s="2834"/>
      <c r="P57" s="2834"/>
      <c r="Q57" s="2834"/>
      <c r="R57" s="2834" t="s">
        <v>15</v>
      </c>
      <c r="S57" s="2834"/>
      <c r="T57" s="2834"/>
      <c r="U57" s="2834"/>
      <c r="V57" s="2834"/>
      <c r="W57" s="2834"/>
      <c r="X57" s="2834"/>
      <c r="Y57" s="2834"/>
      <c r="Z57" s="2834"/>
      <c r="AA57" s="2834"/>
    </row>
    <row r="58" spans="1:38" ht="15" customHeight="1">
      <c r="F58" s="2834"/>
      <c r="G58" s="2834"/>
      <c r="H58" s="2834"/>
      <c r="I58" s="2834"/>
      <c r="J58" s="2834"/>
      <c r="K58" s="2834"/>
      <c r="L58" s="2834"/>
      <c r="M58" s="2834"/>
      <c r="N58" s="2834"/>
      <c r="O58" s="2834"/>
      <c r="P58" s="2834"/>
      <c r="Q58" s="2834"/>
      <c r="R58" s="2834"/>
      <c r="S58" s="2834"/>
      <c r="T58" s="2834"/>
      <c r="U58" s="2834"/>
      <c r="V58" s="2834"/>
      <c r="W58" s="2834"/>
      <c r="X58" s="2834"/>
      <c r="Y58" s="2834"/>
      <c r="Z58" s="2834"/>
      <c r="AA58" s="2834"/>
    </row>
    <row r="59" spans="1:38">
      <c r="F59" s="2834"/>
      <c r="G59" s="2834"/>
      <c r="H59" s="2834" t="s">
        <v>15</v>
      </c>
      <c r="I59" s="2834"/>
      <c r="J59" s="2834"/>
      <c r="K59" s="2834"/>
      <c r="L59" s="2834"/>
      <c r="M59" s="2834"/>
      <c r="N59" s="2834"/>
      <c r="O59" s="2834"/>
      <c r="P59" s="2834"/>
      <c r="Q59" s="2834"/>
      <c r="R59" s="2834"/>
      <c r="S59" s="2834"/>
      <c r="T59" s="2834"/>
      <c r="U59" s="2834"/>
      <c r="V59" s="2834" t="s">
        <v>15</v>
      </c>
      <c r="W59" s="2834"/>
      <c r="X59" s="2834"/>
      <c r="Y59" s="2834"/>
      <c r="Z59" s="2834"/>
      <c r="AA59" s="2834"/>
    </row>
    <row r="60" spans="1:38">
      <c r="F60" s="2834"/>
      <c r="G60" s="2834"/>
      <c r="H60" s="2834" t="s">
        <v>15</v>
      </c>
      <c r="I60" s="2834"/>
      <c r="J60" s="2834"/>
      <c r="K60" s="2834"/>
      <c r="L60" s="2834"/>
      <c r="M60" s="2834"/>
      <c r="N60" s="2834"/>
      <c r="O60" s="2834"/>
      <c r="P60" s="2834"/>
      <c r="Q60" s="2834"/>
      <c r="R60" s="2834"/>
      <c r="S60" s="2834"/>
      <c r="T60" s="2834"/>
      <c r="U60" s="2834"/>
      <c r="V60" s="2834"/>
      <c r="W60" s="2834"/>
      <c r="X60" s="2834"/>
      <c r="Y60" s="2834"/>
      <c r="Z60" s="2834"/>
      <c r="AA60" s="2834"/>
    </row>
    <row r="61" spans="1:38">
      <c r="F61" s="2834"/>
      <c r="G61" s="2834"/>
      <c r="H61" s="2834" t="s">
        <v>15</v>
      </c>
      <c r="I61" s="2834"/>
      <c r="J61" s="2834"/>
      <c r="K61" s="2834"/>
      <c r="L61" s="2834"/>
      <c r="M61" s="2834"/>
      <c r="N61" s="2834"/>
      <c r="O61" s="2834"/>
      <c r="P61" s="2834"/>
      <c r="Q61" s="2834"/>
      <c r="R61" s="2834"/>
      <c r="S61" s="2834"/>
      <c r="T61" s="2834"/>
      <c r="U61" s="2834"/>
      <c r="V61" s="2834"/>
      <c r="W61" s="2834"/>
      <c r="X61" s="2834"/>
      <c r="Y61" s="2834"/>
      <c r="Z61" s="2834"/>
      <c r="AA61" s="2834"/>
    </row>
    <row r="63" spans="1:38" ht="15" customHeight="1"/>
  </sheetData>
  <pageMargins left="0.4" right="0.25" top="0.5" bottom="0.40277777777777801" header="0" footer="0.25"/>
  <pageSetup scale="40" firstPageNumber="15" orientation="landscape" useFirstPageNumber="1" r:id="rId1"/>
  <headerFooter scaleWithDoc="0" alignWithMargins="0">
    <oddFooter>&amp;C&amp;8&amp;P</oddFooter>
  </headerFooter>
  <ignoredErrors>
    <ignoredError sqref="F37 R37 F45 AJ48 AJ22:AJ23" unlockedFormula="1"/>
    <ignoredError sqref="AH24 AJ19 AH19 V31 V21:X22 AJ21 AJ43 V23" formula="1"/>
    <ignoredError sqref="AJ31 AJ52" formula="1" unlockedFormula="1"/>
    <ignoredError sqref="AC21 AB23:AD23 AC22:AD22 AB25:AD27 AC24:AD24 AB37:AD39 AB45:AD47 AC40:AD44 AB55:AD56 AC16:AD20 AC49:AD52 J43 H45:I45 K45:M45 O45:Q45 V43 X43 V45:X45 V55:X56 E52:R52 D56:E56 G56:Q56 D55:R55 E48:R50 E51:K51 M51:O51 Q51:R51 V48:X52 E54 G54 I54 K54 M54 O54 Q54 W54 AC54 AC28:AD34 AC48:AD48" evalError="1"/>
    <ignoredError sqref="R45 N45 J45 R56 F56"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sheetPr>
  <dimension ref="A1:BG160"/>
  <sheetViews>
    <sheetView showGridLines="0" topLeftCell="A4" zoomScale="80" zoomScaleNormal="80" workbookViewId="0"/>
  </sheetViews>
  <sheetFormatPr defaultColWidth="8.6640625" defaultRowHeight="16.5" customHeight="1"/>
  <cols>
    <col min="1" max="1" width="43.6640625" style="214" customWidth="1"/>
    <col min="2" max="2" width="1.6640625" style="214" customWidth="1"/>
    <col min="3" max="3" width="13.44140625" style="214" customWidth="1"/>
    <col min="4" max="4" width="1.6640625" style="214" customWidth="1"/>
    <col min="5" max="5" width="13.109375" style="214" customWidth="1"/>
    <col min="6" max="6" width="1.6640625" style="214" customWidth="1"/>
    <col min="7" max="7" width="12.6640625" style="214" customWidth="1"/>
    <col min="8" max="8" width="1.6640625" style="214" customWidth="1"/>
    <col min="9" max="9" width="14.44140625" style="214" customWidth="1"/>
    <col min="10" max="10" width="1.6640625" style="214" customWidth="1"/>
    <col min="11" max="11" width="13.109375" style="214" customWidth="1"/>
    <col min="12" max="12" width="1.6640625" style="214" customWidth="1"/>
    <col min="13" max="13" width="13.109375" style="214" customWidth="1"/>
    <col min="14" max="14" width="1.6640625" style="214" customWidth="1"/>
    <col min="15" max="15" width="13.109375" style="297" customWidth="1"/>
    <col min="16" max="16" width="1.6640625" style="214" customWidth="1"/>
    <col min="17" max="17" width="13.44140625" style="297" customWidth="1"/>
    <col min="18" max="18" width="1.6640625" style="214" customWidth="1"/>
    <col min="19" max="19" width="13.109375" style="214" customWidth="1"/>
    <col min="20" max="20" width="1.6640625" style="214" customWidth="1"/>
    <col min="21" max="21" width="13" style="214" customWidth="1"/>
    <col min="22" max="22" width="1.6640625" style="214" customWidth="1"/>
    <col min="23" max="23" width="13.6640625" style="214" customWidth="1"/>
    <col min="24" max="24" width="1.6640625" style="214" customWidth="1"/>
    <col min="25" max="25" width="12.6640625" style="214" customWidth="1"/>
    <col min="26" max="27" width="1.6640625" style="214" customWidth="1"/>
    <col min="28" max="28" width="15.109375" style="297" customWidth="1"/>
    <col min="29" max="30" width="1.6640625" style="297" customWidth="1"/>
    <col min="31" max="31" width="17.44140625" style="297" customWidth="1"/>
    <col min="32" max="32" width="0.6640625" style="297" customWidth="1"/>
    <col min="33" max="33" width="1.6640625" style="297" customWidth="1"/>
    <col min="34" max="34" width="12.6640625" style="297" bestFit="1" customWidth="1"/>
    <col min="35" max="35" width="1.109375" style="297" customWidth="1"/>
    <col min="36" max="36" width="11.109375" style="297" bestFit="1" customWidth="1"/>
    <col min="37" max="37" width="8.6640625" style="297"/>
    <col min="38" max="16384" width="8.6640625" style="214"/>
  </cols>
  <sheetData>
    <row r="1" spans="1:37" ht="16.5" customHeight="1">
      <c r="A1" s="644" t="s">
        <v>963</v>
      </c>
    </row>
    <row r="2" spans="1:37" ht="16.5" customHeight="1">
      <c r="A2" s="824"/>
    </row>
    <row r="3" spans="1:37" ht="23.1" customHeight="1">
      <c r="A3" s="222" t="s">
        <v>0</v>
      </c>
      <c r="B3" s="225"/>
      <c r="C3" s="225"/>
      <c r="D3" s="225"/>
      <c r="E3" s="225"/>
      <c r="F3" s="225"/>
      <c r="G3" s="225"/>
      <c r="H3" s="225"/>
      <c r="I3" s="225"/>
      <c r="J3" s="225"/>
      <c r="K3" s="225"/>
      <c r="L3" s="225"/>
      <c r="M3" s="225"/>
      <c r="N3" s="225"/>
      <c r="O3" s="3123"/>
      <c r="P3" s="225"/>
      <c r="Q3" s="3123"/>
      <c r="R3" s="225"/>
      <c r="S3" s="225"/>
      <c r="T3" s="225"/>
      <c r="U3" s="225"/>
      <c r="V3" s="225"/>
      <c r="W3" s="225"/>
      <c r="X3" s="225"/>
      <c r="Y3" s="225"/>
      <c r="Z3" s="225"/>
      <c r="AA3" s="225"/>
      <c r="AB3" s="3123"/>
      <c r="AC3" s="3123"/>
      <c r="AD3" s="3123"/>
      <c r="AE3" s="3123"/>
      <c r="AF3" s="3123"/>
      <c r="AG3" s="3123"/>
      <c r="AI3" s="3123"/>
    </row>
    <row r="4" spans="1:37" ht="23.25" customHeight="1">
      <c r="A4" s="222" t="s">
        <v>122</v>
      </c>
      <c r="B4" s="225"/>
      <c r="C4" s="225"/>
      <c r="D4" s="225"/>
      <c r="E4" s="225"/>
      <c r="F4" s="225"/>
      <c r="G4" s="225"/>
      <c r="H4" s="225"/>
      <c r="I4" s="225" t="s">
        <v>15</v>
      </c>
      <c r="J4" s="225"/>
      <c r="K4" s="225"/>
      <c r="L4" s="225"/>
      <c r="M4" s="225"/>
      <c r="N4" s="225"/>
      <c r="O4" s="3123"/>
      <c r="P4" s="225"/>
      <c r="Q4" s="3123"/>
      <c r="R4" s="225"/>
      <c r="S4" s="225"/>
      <c r="T4" s="225"/>
      <c r="U4" s="225"/>
      <c r="V4" s="225"/>
      <c r="W4" s="225"/>
      <c r="X4" s="225"/>
      <c r="Y4" s="225" t="s">
        <v>15</v>
      </c>
      <c r="Z4" s="225"/>
      <c r="AA4" s="225"/>
      <c r="AB4" s="3123"/>
      <c r="AC4" s="3123"/>
      <c r="AD4" s="3123"/>
      <c r="AE4" s="3123"/>
      <c r="AF4" s="3123"/>
      <c r="AG4" s="3123"/>
      <c r="AI4" s="3123"/>
    </row>
    <row r="5" spans="1:37" ht="23.25" customHeight="1">
      <c r="A5" s="224" t="s">
        <v>123</v>
      </c>
      <c r="B5" s="225"/>
      <c r="C5" s="225"/>
      <c r="D5" s="225"/>
      <c r="E5" s="225"/>
      <c r="F5" s="225"/>
      <c r="G5" s="225"/>
      <c r="H5" s="225"/>
      <c r="I5" s="225"/>
      <c r="J5" s="225"/>
      <c r="K5" s="225"/>
      <c r="L5" s="225"/>
      <c r="M5" s="225"/>
      <c r="N5" s="225"/>
      <c r="O5" s="3123"/>
      <c r="P5" s="225"/>
      <c r="Q5" s="3123"/>
      <c r="R5" s="225"/>
      <c r="S5" s="225"/>
      <c r="T5" s="225"/>
      <c r="U5" s="225"/>
      <c r="V5" s="225"/>
      <c r="W5" s="225"/>
      <c r="X5" s="225"/>
      <c r="Y5" s="225"/>
      <c r="Z5" s="225"/>
      <c r="AA5" s="225"/>
      <c r="AC5" s="3947"/>
      <c r="AD5" s="3948"/>
      <c r="AE5" s="3948"/>
      <c r="AF5" s="3948"/>
      <c r="AG5" s="3948"/>
      <c r="AH5" s="3948"/>
      <c r="AI5" s="3948"/>
      <c r="AJ5" s="3948"/>
    </row>
    <row r="6" spans="1:37" ht="23.25" customHeight="1">
      <c r="A6" s="224" t="s">
        <v>1466</v>
      </c>
      <c r="B6" s="225"/>
      <c r="C6" s="225"/>
      <c r="D6" s="225"/>
      <c r="E6" s="225"/>
      <c r="F6" s="225"/>
      <c r="G6" s="225"/>
      <c r="H6" s="225"/>
      <c r="I6" s="225"/>
      <c r="J6" s="225"/>
      <c r="K6" s="225"/>
      <c r="L6" s="225"/>
      <c r="M6" s="225"/>
      <c r="N6" s="225"/>
      <c r="O6" s="3123"/>
      <c r="P6" s="225"/>
      <c r="Q6" s="3123"/>
      <c r="R6" s="225"/>
      <c r="S6" s="225"/>
      <c r="T6" s="225"/>
      <c r="U6" s="225"/>
      <c r="V6" s="225"/>
      <c r="W6" s="225"/>
      <c r="X6" s="225"/>
      <c r="Y6" s="225"/>
      <c r="Z6" s="225"/>
      <c r="AA6" s="225"/>
      <c r="AB6" s="3123"/>
      <c r="AC6" s="3123"/>
      <c r="AD6" s="3123"/>
      <c r="AE6" s="3123"/>
      <c r="AF6" s="3123"/>
      <c r="AG6" s="3123"/>
      <c r="AI6" s="3123"/>
    </row>
    <row r="7" spans="1:37" ht="23.25" customHeight="1">
      <c r="A7" s="222" t="s">
        <v>1363</v>
      </c>
      <c r="B7" s="225"/>
      <c r="C7" s="225"/>
      <c r="D7" s="225"/>
      <c r="E7" s="225"/>
      <c r="F7" s="225"/>
      <c r="G7" s="225"/>
      <c r="H7" s="225"/>
      <c r="I7" s="225"/>
      <c r="J7" s="225"/>
      <c r="K7" s="225"/>
      <c r="L7" s="225"/>
      <c r="M7" s="225"/>
      <c r="N7" s="225"/>
      <c r="O7" s="3123"/>
      <c r="P7" s="225"/>
      <c r="Q7" s="3123"/>
      <c r="R7" s="225"/>
      <c r="S7" s="225"/>
      <c r="T7" s="225"/>
      <c r="U7" s="225"/>
      <c r="V7" s="225"/>
      <c r="W7" s="225"/>
      <c r="X7" s="225"/>
      <c r="Y7" s="225"/>
      <c r="Z7" s="225"/>
      <c r="AA7" s="225"/>
      <c r="AB7" s="3123"/>
      <c r="AC7" s="3123"/>
      <c r="AD7" s="3123"/>
      <c r="AE7" s="3123"/>
      <c r="AF7" s="3123"/>
      <c r="AG7" s="3123"/>
      <c r="AI7" s="3123"/>
    </row>
    <row r="8" spans="1:37" ht="16.5" customHeight="1">
      <c r="A8" s="225"/>
      <c r="B8" s="225"/>
      <c r="C8" s="225"/>
      <c r="D8" s="225"/>
      <c r="E8" s="225"/>
      <c r="F8" s="225"/>
      <c r="G8" s="225"/>
      <c r="H8" s="225"/>
      <c r="I8" s="225"/>
      <c r="J8" s="225"/>
      <c r="K8" s="225"/>
      <c r="L8" s="225"/>
      <c r="M8" s="225"/>
      <c r="N8" s="225"/>
      <c r="O8" s="3123"/>
      <c r="P8" s="225"/>
      <c r="Q8" s="3123"/>
      <c r="R8" s="225"/>
      <c r="S8" s="225"/>
      <c r="T8" s="225"/>
      <c r="U8" s="225"/>
      <c r="V8" s="225"/>
      <c r="W8" s="225"/>
      <c r="X8" s="225"/>
      <c r="Y8" s="225"/>
      <c r="Z8" s="225"/>
      <c r="AA8" s="225"/>
      <c r="AB8" s="3123"/>
      <c r="AC8" s="3123"/>
      <c r="AD8" s="3123"/>
      <c r="AE8" s="3123"/>
      <c r="AF8" s="3123"/>
      <c r="AG8" s="3123"/>
      <c r="AI8" s="3123"/>
    </row>
    <row r="9" spans="1:37" ht="16.5" customHeight="1">
      <c r="A9" s="225"/>
      <c r="B9" s="225"/>
      <c r="C9" s="225"/>
      <c r="D9" s="225"/>
      <c r="E9" s="225"/>
      <c r="F9" s="225"/>
      <c r="G9" s="225"/>
      <c r="H9" s="225"/>
      <c r="I9" s="225"/>
      <c r="J9" s="225"/>
      <c r="K9" s="225"/>
      <c r="L9" s="225"/>
      <c r="M9" s="225"/>
      <c r="N9" s="225"/>
      <c r="O9" s="3123"/>
      <c r="P9" s="225"/>
      <c r="Q9" s="3123"/>
      <c r="R9" s="225"/>
      <c r="S9" s="225"/>
      <c r="T9" s="225"/>
      <c r="U9" s="225"/>
      <c r="V9" s="225"/>
      <c r="W9" s="225"/>
      <c r="X9" s="225"/>
      <c r="Y9" s="225"/>
      <c r="Z9" s="225"/>
      <c r="AA9" s="225"/>
      <c r="AB9" s="3123"/>
      <c r="AC9" s="3123"/>
      <c r="AD9" s="3123"/>
      <c r="AE9" s="3123"/>
      <c r="AF9" s="3123"/>
      <c r="AG9" s="3123"/>
      <c r="AI9" s="3123"/>
    </row>
    <row r="10" spans="1:37" ht="16.5" customHeight="1">
      <c r="A10" s="225"/>
      <c r="B10" s="225"/>
      <c r="C10" s="225"/>
      <c r="D10" s="225"/>
      <c r="E10" s="225"/>
      <c r="F10" s="225"/>
      <c r="G10" s="225"/>
      <c r="H10" s="225"/>
      <c r="I10" s="225"/>
      <c r="J10" s="225"/>
      <c r="K10" s="225"/>
      <c r="L10" s="225"/>
      <c r="M10" s="225"/>
      <c r="N10" s="225"/>
      <c r="O10" s="3123"/>
      <c r="P10" s="225"/>
      <c r="Q10" s="3123"/>
      <c r="R10" s="225"/>
      <c r="S10" s="225"/>
      <c r="T10" s="225"/>
      <c r="U10" s="225"/>
      <c r="V10" s="225"/>
      <c r="W10" s="225"/>
      <c r="X10" s="225"/>
      <c r="Y10" s="225"/>
      <c r="Z10" s="225"/>
      <c r="AA10" s="225"/>
      <c r="AB10" s="3123"/>
      <c r="AC10" s="3123"/>
      <c r="AD10" s="3123"/>
      <c r="AE10" s="3123"/>
      <c r="AF10" s="3123"/>
      <c r="AG10" s="3123"/>
      <c r="AI10" s="3123"/>
    </row>
    <row r="11" spans="1:37" ht="16.5" customHeight="1">
      <c r="A11" s="225"/>
      <c r="B11" s="225"/>
      <c r="C11" s="225"/>
      <c r="D11" s="225"/>
      <c r="E11" s="225"/>
      <c r="F11" s="225"/>
      <c r="G11" s="225"/>
      <c r="H11" s="225"/>
      <c r="I11" s="225"/>
      <c r="J11" s="225"/>
      <c r="K11" s="225"/>
      <c r="L11" s="225"/>
      <c r="M11" s="225"/>
      <c r="N11" s="225"/>
      <c r="O11" s="3123"/>
      <c r="P11" s="225"/>
      <c r="Q11" s="3123"/>
      <c r="R11" s="225"/>
      <c r="S11" s="225"/>
      <c r="T11" s="225"/>
      <c r="U11" s="225"/>
      <c r="V11" s="225"/>
      <c r="W11" s="225"/>
      <c r="X11" s="225"/>
      <c r="Y11" s="225"/>
      <c r="Z11" s="225"/>
      <c r="AA11" s="225"/>
      <c r="AC11" s="3123"/>
      <c r="AD11" s="3123"/>
      <c r="AE11" s="3123"/>
      <c r="AF11" s="3123"/>
      <c r="AG11" s="3123"/>
      <c r="AI11" s="3123"/>
    </row>
    <row r="12" spans="1:37" ht="16.5" customHeight="1">
      <c r="A12" s="225"/>
      <c r="B12" s="225"/>
      <c r="C12" s="225"/>
      <c r="D12" s="225"/>
      <c r="E12" s="225"/>
      <c r="F12" s="225"/>
      <c r="G12" s="225"/>
      <c r="H12" s="225"/>
      <c r="I12" s="225"/>
      <c r="J12" s="225"/>
      <c r="K12" s="225"/>
      <c r="L12" s="225"/>
      <c r="M12" s="225"/>
      <c r="N12" s="225"/>
      <c r="O12" s="3123"/>
      <c r="P12" s="225"/>
      <c r="Q12" s="3123"/>
      <c r="R12" s="225"/>
      <c r="S12" s="225"/>
      <c r="T12" s="225"/>
      <c r="U12" s="225"/>
      <c r="V12" s="225"/>
      <c r="W12" s="225"/>
      <c r="X12" s="225"/>
      <c r="Z12" s="225"/>
      <c r="AA12" s="516"/>
      <c r="AB12" s="3949" t="s">
        <v>1558</v>
      </c>
      <c r="AC12" s="3950"/>
      <c r="AD12" s="3950"/>
      <c r="AE12" s="3950"/>
      <c r="AF12" s="3950"/>
      <c r="AG12" s="3950"/>
      <c r="AH12" s="3950"/>
      <c r="AI12" s="3950"/>
      <c r="AJ12" s="3950"/>
    </row>
    <row r="13" spans="1:37" ht="16.5" customHeight="1">
      <c r="A13" s="225"/>
      <c r="B13" s="225"/>
      <c r="C13" s="1546" t="s">
        <v>1355</v>
      </c>
      <c r="D13" s="514"/>
      <c r="E13" s="514"/>
      <c r="F13" s="514"/>
      <c r="G13" s="514"/>
      <c r="H13" s="514"/>
      <c r="I13" s="514"/>
      <c r="J13" s="514"/>
      <c r="K13" s="514"/>
      <c r="L13" s="514"/>
      <c r="M13" s="514"/>
      <c r="N13" s="514"/>
      <c r="O13" s="3124"/>
      <c r="P13" s="514"/>
      <c r="Q13" s="3124"/>
      <c r="R13" s="514"/>
      <c r="S13" s="514"/>
      <c r="T13" s="514"/>
      <c r="U13" s="1546">
        <v>2021</v>
      </c>
      <c r="V13" s="514"/>
      <c r="W13" s="514"/>
      <c r="X13" s="514"/>
      <c r="Y13" s="514"/>
      <c r="Z13" s="514"/>
      <c r="AA13" s="514"/>
      <c r="AB13" s="3124"/>
      <c r="AC13" s="3125"/>
      <c r="AD13" s="3125"/>
      <c r="AE13" s="3125"/>
      <c r="AF13" s="3124"/>
      <c r="AG13" s="3124"/>
      <c r="AH13" s="3318" t="s">
        <v>8</v>
      </c>
      <c r="AI13" s="3319"/>
      <c r="AJ13" s="3318" t="s">
        <v>9</v>
      </c>
    </row>
    <row r="14" spans="1:37" ht="16.5" customHeight="1">
      <c r="A14" s="225"/>
      <c r="B14" s="225"/>
      <c r="C14" s="745" t="s">
        <v>124</v>
      </c>
      <c r="D14" s="514"/>
      <c r="E14" s="745" t="s">
        <v>125</v>
      </c>
      <c r="F14" s="514"/>
      <c r="G14" s="745" t="s">
        <v>126</v>
      </c>
      <c r="H14" s="514"/>
      <c r="I14" s="745" t="s">
        <v>127</v>
      </c>
      <c r="J14" s="514"/>
      <c r="K14" s="745" t="s">
        <v>128</v>
      </c>
      <c r="L14" s="514"/>
      <c r="M14" s="745" t="s">
        <v>129</v>
      </c>
      <c r="N14" s="514"/>
      <c r="O14" s="3318" t="s">
        <v>130</v>
      </c>
      <c r="P14" s="514"/>
      <c r="Q14" s="3318" t="s">
        <v>131</v>
      </c>
      <c r="R14" s="514"/>
      <c r="S14" s="745" t="s">
        <v>132</v>
      </c>
      <c r="T14" s="514"/>
      <c r="U14" s="745" t="s">
        <v>133</v>
      </c>
      <c r="V14" s="514"/>
      <c r="W14" s="745" t="s">
        <v>134</v>
      </c>
      <c r="X14" s="514"/>
      <c r="Y14" s="745" t="s">
        <v>135</v>
      </c>
      <c r="Z14" s="514"/>
      <c r="AA14" s="514"/>
      <c r="AB14" s="3126">
        <v>2021</v>
      </c>
      <c r="AC14" s="3124"/>
      <c r="AD14" s="3124"/>
      <c r="AE14" s="3126">
        <v>2020</v>
      </c>
      <c r="AF14" s="3124"/>
      <c r="AG14" s="3124"/>
      <c r="AH14" s="3320" t="s">
        <v>12</v>
      </c>
      <c r="AI14" s="3319"/>
      <c r="AJ14" s="3320" t="s">
        <v>13</v>
      </c>
    </row>
    <row r="15" spans="1:37" ht="6" customHeight="1">
      <c r="A15" s="225"/>
      <c r="B15" s="225"/>
      <c r="C15" s="517"/>
      <c r="D15" s="225"/>
      <c r="E15" s="517"/>
      <c r="F15" s="225"/>
      <c r="G15" s="517"/>
      <c r="H15" s="225"/>
      <c r="I15" s="517"/>
      <c r="J15" s="225"/>
      <c r="K15" s="517"/>
      <c r="L15" s="225"/>
      <c r="M15" s="517"/>
      <c r="N15" s="225"/>
      <c r="O15" s="3127" t="s">
        <v>15</v>
      </c>
      <c r="P15" s="225"/>
      <c r="Q15" s="3127"/>
      <c r="R15" s="225"/>
      <c r="S15" s="517"/>
      <c r="T15" s="225"/>
      <c r="U15" s="517" t="s">
        <v>15</v>
      </c>
      <c r="V15" s="225"/>
      <c r="W15" s="517"/>
      <c r="X15" s="225"/>
      <c r="Y15" s="517"/>
      <c r="Z15" s="225"/>
      <c r="AA15" s="225"/>
      <c r="AB15" s="3127"/>
      <c r="AC15" s="3123"/>
      <c r="AD15" s="3123"/>
      <c r="AE15" s="3127"/>
      <c r="AF15" s="3123"/>
      <c r="AG15" s="3123"/>
      <c r="AI15" s="3123"/>
    </row>
    <row r="16" spans="1:37" ht="16.5" customHeight="1">
      <c r="A16" s="515" t="s">
        <v>136</v>
      </c>
      <c r="B16" s="225"/>
      <c r="C16" s="1732">
        <f>'Exhibit F'!D12+'Exhibit G'!D13+'Exhibit H'!B12+'Exhibit I'!E15</f>
        <v>14284.8</v>
      </c>
      <c r="D16" s="518"/>
      <c r="E16" s="518">
        <f>C146</f>
        <v>20544.400000000001</v>
      </c>
      <c r="F16" s="518"/>
      <c r="G16" s="518">
        <f>E146</f>
        <v>17650.3</v>
      </c>
      <c r="H16" s="518"/>
      <c r="I16" s="518">
        <f>G146</f>
        <v>20623.599999999999</v>
      </c>
      <c r="J16" s="518"/>
      <c r="K16" s="518">
        <f>I146</f>
        <v>28288</v>
      </c>
      <c r="L16" s="518"/>
      <c r="M16" s="518">
        <f>K146</f>
        <v>27457.200000000001</v>
      </c>
      <c r="N16" s="518"/>
      <c r="O16" s="1732">
        <f>M146</f>
        <v>25800.5</v>
      </c>
      <c r="P16" s="518"/>
      <c r="Q16" s="1732">
        <f>O146</f>
        <v>28991.8</v>
      </c>
      <c r="R16" s="518"/>
      <c r="S16" s="518">
        <f>Q146</f>
        <v>27525</v>
      </c>
      <c r="T16" s="518"/>
      <c r="U16" s="518">
        <f>S146</f>
        <v>29610.1</v>
      </c>
      <c r="V16" s="518"/>
      <c r="W16" s="518"/>
      <c r="X16" s="518"/>
      <c r="Y16" s="518"/>
      <c r="Z16" s="518"/>
      <c r="AA16" s="519"/>
      <c r="AB16" s="1732">
        <f>C16</f>
        <v>14284.8</v>
      </c>
      <c r="AC16" s="1732"/>
      <c r="AD16" s="3321"/>
      <c r="AE16" s="1732">
        <f>'Exhibit F'!AF12+'Exhibit G'!AG13+'Exhibit H'!AD12+'Exhibit I'!AI15</f>
        <v>9975</v>
      </c>
      <c r="AF16" s="1732"/>
      <c r="AG16" s="1732"/>
      <c r="AH16" s="1732">
        <f>ROUND(SUM(AB16-AE16),1)</f>
        <v>4309.8</v>
      </c>
      <c r="AI16" s="3124"/>
      <c r="AJ16" s="3322">
        <f>ROUND(SUM(AH16/AE16),3)</f>
        <v>0.432</v>
      </c>
      <c r="AK16" s="3323"/>
    </row>
    <row r="17" spans="1:36" ht="16.5" customHeight="1">
      <c r="A17" s="225"/>
      <c r="B17" s="225"/>
      <c r="C17" s="225" t="s">
        <v>15</v>
      </c>
      <c r="D17" s="225"/>
      <c r="E17" s="520"/>
      <c r="F17" s="225"/>
      <c r="G17" s="520"/>
      <c r="H17" s="225"/>
      <c r="I17" s="520"/>
      <c r="J17" s="225"/>
      <c r="K17" s="520"/>
      <c r="L17" s="225"/>
      <c r="M17" s="520"/>
      <c r="N17" s="225"/>
      <c r="O17" s="3327"/>
      <c r="P17" s="225"/>
      <c r="Q17" s="3327"/>
      <c r="R17" s="225"/>
      <c r="S17" s="520"/>
      <c r="T17" s="225"/>
      <c r="U17" s="520"/>
      <c r="V17" s="225"/>
      <c r="W17" s="520"/>
      <c r="X17" s="225"/>
      <c r="Y17" s="520"/>
      <c r="Z17" s="225"/>
      <c r="AA17" s="521"/>
      <c r="AB17" s="3123" t="s">
        <v>15</v>
      </c>
      <c r="AC17" s="3123"/>
      <c r="AD17" s="3324"/>
      <c r="AE17" s="3123" t="s">
        <v>15</v>
      </c>
      <c r="AF17" s="3123"/>
      <c r="AG17" s="3123"/>
      <c r="AH17" s="891"/>
      <c r="AI17" s="3123"/>
      <c r="AJ17" s="891"/>
    </row>
    <row r="18" spans="1:36" ht="16.5" customHeight="1">
      <c r="A18" s="207" t="s">
        <v>14</v>
      </c>
      <c r="B18" s="225"/>
      <c r="C18" s="225"/>
      <c r="D18" s="225"/>
      <c r="E18" s="520"/>
      <c r="F18" s="225"/>
      <c r="G18" s="520"/>
      <c r="H18" s="225"/>
      <c r="I18" s="520"/>
      <c r="J18" s="225"/>
      <c r="K18" s="520"/>
      <c r="L18" s="225"/>
      <c r="M18" s="520"/>
      <c r="N18" s="225"/>
      <c r="O18" s="3327"/>
      <c r="P18" s="225"/>
      <c r="Q18" s="3327"/>
      <c r="R18" s="225"/>
      <c r="S18" s="520"/>
      <c r="T18" s="225"/>
      <c r="U18" s="520"/>
      <c r="V18" s="225"/>
      <c r="W18" s="520"/>
      <c r="X18" s="225"/>
      <c r="Y18" s="520"/>
      <c r="Z18" s="225"/>
      <c r="AA18" s="521"/>
      <c r="AB18" s="3123"/>
      <c r="AC18" s="3123"/>
      <c r="AD18" s="3324"/>
      <c r="AE18" s="3123"/>
      <c r="AF18" s="3123"/>
      <c r="AG18" s="3123"/>
      <c r="AH18" s="891"/>
      <c r="AI18" s="3123"/>
      <c r="AJ18" s="891"/>
    </row>
    <row r="19" spans="1:36" ht="16.5" customHeight="1">
      <c r="A19" s="261" t="s">
        <v>1078</v>
      </c>
      <c r="B19" s="225"/>
      <c r="C19" s="225"/>
      <c r="D19" s="225"/>
      <c r="E19" s="520"/>
      <c r="F19" s="225"/>
      <c r="G19" s="520"/>
      <c r="H19" s="225"/>
      <c r="I19" s="520"/>
      <c r="J19" s="225"/>
      <c r="K19" s="520"/>
      <c r="L19" s="225"/>
      <c r="M19" s="520"/>
      <c r="N19" s="225"/>
      <c r="O19" s="3327"/>
      <c r="P19" s="225"/>
      <c r="Q19" s="3327"/>
      <c r="R19" s="225"/>
      <c r="S19" s="520"/>
      <c r="T19" s="225"/>
      <c r="U19" s="520"/>
      <c r="V19" s="225"/>
      <c r="W19" s="520"/>
      <c r="X19" s="225"/>
      <c r="Y19" s="520"/>
      <c r="Z19" s="225"/>
      <c r="AA19" s="521"/>
      <c r="AB19" s="3123"/>
      <c r="AC19" s="3123"/>
      <c r="AD19" s="3324"/>
      <c r="AE19" s="3123"/>
      <c r="AF19" s="3123"/>
      <c r="AG19" s="3123"/>
      <c r="AH19" s="891"/>
      <c r="AI19" s="3123"/>
      <c r="AJ19" s="891"/>
    </row>
    <row r="20" spans="1:36" ht="16.5" customHeight="1">
      <c r="A20" s="1051" t="s">
        <v>1354</v>
      </c>
      <c r="B20" s="671"/>
      <c r="C20" s="613"/>
      <c r="D20" s="613"/>
      <c r="E20" s="613"/>
      <c r="F20" s="613"/>
      <c r="G20" s="613"/>
      <c r="H20" s="225"/>
      <c r="I20" s="520"/>
      <c r="J20" s="225"/>
      <c r="K20" s="520"/>
      <c r="L20" s="225"/>
      <c r="M20" s="520"/>
      <c r="N20" s="225"/>
      <c r="O20" s="3327"/>
      <c r="P20" s="225"/>
      <c r="Q20" s="3327"/>
      <c r="R20" s="225"/>
      <c r="S20" s="520"/>
      <c r="T20" s="225"/>
      <c r="U20" s="520"/>
      <c r="V20" s="225"/>
      <c r="W20" s="520"/>
      <c r="X20" s="225"/>
      <c r="Y20" s="520"/>
      <c r="Z20" s="225"/>
      <c r="AA20" s="960"/>
      <c r="AB20" s="3123"/>
      <c r="AC20" s="3123"/>
      <c r="AD20" s="3324"/>
      <c r="AE20" s="3123"/>
      <c r="AF20" s="3123"/>
      <c r="AG20" s="3123"/>
      <c r="AH20" s="891"/>
      <c r="AI20" s="3123"/>
      <c r="AJ20" s="891"/>
    </row>
    <row r="21" spans="1:36" ht="16.5" customHeight="1">
      <c r="A21" s="671" t="s">
        <v>1084</v>
      </c>
      <c r="B21" s="671"/>
      <c r="C21" s="361">
        <f>+'Exhibit F'!D17</f>
        <v>3187.3</v>
      </c>
      <c r="D21" s="615"/>
      <c r="E21" s="361">
        <f>+'Exhibit F'!F17</f>
        <v>2928.2999999999993</v>
      </c>
      <c r="F21" s="615"/>
      <c r="G21" s="361">
        <f>+'Exhibit F'!H17</f>
        <v>3096.3</v>
      </c>
      <c r="H21" s="522"/>
      <c r="I21" s="361">
        <f>+'Exhibit F'!J17</f>
        <v>3400.300000000002</v>
      </c>
      <c r="J21" s="522"/>
      <c r="K21" s="361">
        <f>+'Exhibit F'!L17</f>
        <v>2876.5999999999985</v>
      </c>
      <c r="L21" s="225"/>
      <c r="M21" s="361">
        <f>+'Exhibit F'!N17</f>
        <v>3147.2</v>
      </c>
      <c r="N21" s="225"/>
      <c r="O21" s="3325">
        <f>+'Exhibit F'!P17</f>
        <v>2919.5000000000009</v>
      </c>
      <c r="P21" s="225"/>
      <c r="Q21" s="3325">
        <f>+'Exhibit F'!R17</f>
        <v>3032.2999999999993</v>
      </c>
      <c r="R21" s="225"/>
      <c r="S21" s="361">
        <f>+'Exhibit F'!T17</f>
        <v>4647.9999999999991</v>
      </c>
      <c r="T21" s="225"/>
      <c r="U21" s="361">
        <f>+'Exhibit F'!V17</f>
        <v>4626.5000000000045</v>
      </c>
      <c r="V21" s="225"/>
      <c r="W21" s="361"/>
      <c r="X21" s="225"/>
      <c r="Y21" s="361"/>
      <c r="Z21" s="225"/>
      <c r="AA21" s="960"/>
      <c r="AB21" s="1636">
        <f>ROUND(SUM(C21:Y21),1)</f>
        <v>33862.300000000003</v>
      </c>
      <c r="AC21" s="3123"/>
      <c r="AD21" s="3324"/>
      <c r="AE21" s="3325">
        <f>+'Exhibit F'!AF17</f>
        <v>33882.400000000001</v>
      </c>
      <c r="AF21" s="3123"/>
      <c r="AG21" s="3123"/>
      <c r="AH21" s="895">
        <f>ROUND(SUM(+AB21-AE21),1)</f>
        <v>-20.100000000000001</v>
      </c>
      <c r="AI21" s="3326"/>
      <c r="AJ21" s="1725">
        <f>ROUND(IF(AE21=0,0,AH21/ABS(AE21)),3)</f>
        <v>-1E-3</v>
      </c>
    </row>
    <row r="22" spans="1:36" ht="16.5" customHeight="1">
      <c r="A22" s="671" t="s">
        <v>1352</v>
      </c>
      <c r="B22" s="675"/>
      <c r="C22" s="361">
        <f>+'Exhibit F'!D18</f>
        <v>211.6</v>
      </c>
      <c r="D22" s="615"/>
      <c r="E22" s="361">
        <f>+'Exhibit F'!F18</f>
        <v>70.900000000000006</v>
      </c>
      <c r="F22" s="615"/>
      <c r="G22" s="361">
        <f>+'Exhibit F'!H18</f>
        <v>1493</v>
      </c>
      <c r="H22" s="522"/>
      <c r="I22" s="361">
        <f>+'Exhibit F'!J18</f>
        <v>6329</v>
      </c>
      <c r="J22" s="522"/>
      <c r="K22" s="361">
        <f>+'Exhibit F'!L18</f>
        <v>121.3</v>
      </c>
      <c r="L22" s="225"/>
      <c r="M22" s="361">
        <f>+'Exhibit F'!N18</f>
        <v>2510</v>
      </c>
      <c r="N22" s="225"/>
      <c r="O22" s="3325">
        <f>+'Exhibit F'!P18</f>
        <v>176.80000000000018</v>
      </c>
      <c r="P22" s="225"/>
      <c r="Q22" s="361">
        <f>+'Exhibit F'!R18</f>
        <v>99.600000000000364</v>
      </c>
      <c r="R22" s="225"/>
      <c r="S22" s="361">
        <f>+'Exhibit F'!T18</f>
        <v>335.5</v>
      </c>
      <c r="T22" s="225"/>
      <c r="U22" s="361">
        <f>+'Exhibit F'!V18</f>
        <v>4810.1999999999989</v>
      </c>
      <c r="V22" s="225"/>
      <c r="W22" s="361"/>
      <c r="X22" s="225"/>
      <c r="Y22" s="361"/>
      <c r="Z22" s="225"/>
      <c r="AA22" s="960"/>
      <c r="AB22" s="1636">
        <f>ROUND(SUM(C22:Y22),1)</f>
        <v>16157.9</v>
      </c>
      <c r="AC22" s="3123"/>
      <c r="AD22" s="3324"/>
      <c r="AE22" s="3325">
        <f>+'Exhibit F'!AF18</f>
        <v>16798</v>
      </c>
      <c r="AF22" s="3123"/>
      <c r="AG22" s="3123"/>
      <c r="AH22" s="895">
        <f>ROUND(SUM(+AB22-AE22),1)</f>
        <v>-640.1</v>
      </c>
      <c r="AI22" s="3326"/>
      <c r="AJ22" s="1725">
        <f>ROUND(IF(AE22=0,0,AH22/ABS(AE22)),3)</f>
        <v>-3.7999999999999999E-2</v>
      </c>
    </row>
    <row r="23" spans="1:36" ht="16.5" customHeight="1">
      <c r="A23" s="671" t="s">
        <v>1085</v>
      </c>
      <c r="B23" s="671"/>
      <c r="C23" s="361">
        <f>+'Exhibit F'!D19</f>
        <v>339.1</v>
      </c>
      <c r="D23" s="615"/>
      <c r="E23" s="361">
        <f>+'Exhibit F'!F19</f>
        <v>124.69999999999999</v>
      </c>
      <c r="F23" s="615"/>
      <c r="G23" s="361">
        <f>+'Exhibit F'!H19</f>
        <v>260.90000000000003</v>
      </c>
      <c r="H23" s="522"/>
      <c r="I23" s="361">
        <f>+'Exhibit F'!J19</f>
        <v>1765.1000000000001</v>
      </c>
      <c r="J23" s="522"/>
      <c r="K23" s="361">
        <f>+'Exhibit F'!L19</f>
        <v>69.299999999999955</v>
      </c>
      <c r="L23" s="225"/>
      <c r="M23" s="361">
        <f>+'Exhibit F'!N19</f>
        <v>83.4</v>
      </c>
      <c r="N23" s="225"/>
      <c r="O23" s="3325">
        <f>+'Exhibit F'!P19</f>
        <v>528.00000000000011</v>
      </c>
      <c r="P23" s="225"/>
      <c r="Q23" s="361">
        <f>+'Exhibit F'!R19</f>
        <v>51.400000000000091</v>
      </c>
      <c r="R23" s="225"/>
      <c r="S23" s="361">
        <f>+'Exhibit F'!T19</f>
        <v>32.299999999999727</v>
      </c>
      <c r="T23" s="225"/>
      <c r="U23" s="361">
        <f>+'Exhibit F'!V19</f>
        <v>22.5</v>
      </c>
      <c r="V23" s="225"/>
      <c r="W23" s="361"/>
      <c r="X23" s="225"/>
      <c r="Y23" s="361"/>
      <c r="Z23" s="225"/>
      <c r="AA23" s="960"/>
      <c r="AB23" s="1636">
        <f>ROUND(SUM(C23:Y23),1)</f>
        <v>3276.7</v>
      </c>
      <c r="AC23" s="3123"/>
      <c r="AD23" s="3324"/>
      <c r="AE23" s="3325">
        <f>+'Exhibit F'!AF19</f>
        <v>3224.5</v>
      </c>
      <c r="AF23" s="3123"/>
      <c r="AG23" s="3123"/>
      <c r="AH23" s="895">
        <f>ROUND(SUM(+AB23-AE23),1)</f>
        <v>52.2</v>
      </c>
      <c r="AI23" s="3326"/>
      <c r="AJ23" s="1725">
        <f>ROUND(IF(AE23=0,0,AH23/ABS(AE23)),3)</f>
        <v>1.6E-2</v>
      </c>
    </row>
    <row r="24" spans="1:36" ht="16.5" customHeight="1">
      <c r="A24" s="1076" t="s">
        <v>1086</v>
      </c>
      <c r="B24" s="671"/>
      <c r="C24" s="361">
        <f>+'Exhibit F'!D20</f>
        <v>-69.8</v>
      </c>
      <c r="D24" s="615"/>
      <c r="E24" s="361">
        <f>+'Exhibit F'!F20</f>
        <v>-39.799999999999997</v>
      </c>
      <c r="F24" s="615"/>
      <c r="G24" s="361">
        <f>+'Exhibit F'!H20</f>
        <v>-58.400000000000006</v>
      </c>
      <c r="H24" s="522"/>
      <c r="I24" s="361">
        <f>+'Exhibit F'!J20</f>
        <v>-186.99999999999997</v>
      </c>
      <c r="J24" s="522"/>
      <c r="K24" s="361">
        <f>+'Exhibit F'!L20</f>
        <v>-28.100000000000023</v>
      </c>
      <c r="L24" s="225"/>
      <c r="M24" s="361">
        <f>+'Exhibit F'!N20</f>
        <v>-71.7</v>
      </c>
      <c r="N24" s="225"/>
      <c r="O24" s="3325">
        <f>+'Exhibit F'!P20</f>
        <v>-444.90000000000015</v>
      </c>
      <c r="P24" s="225"/>
      <c r="Q24" s="361">
        <f>+'Exhibit F'!R20</f>
        <v>-65.899999999999977</v>
      </c>
      <c r="R24" s="225"/>
      <c r="S24" s="361">
        <f>+'Exhibit F'!T20</f>
        <v>-58.299999999999898</v>
      </c>
      <c r="T24" s="225"/>
      <c r="U24" s="361">
        <f>+'Exhibit F'!V20</f>
        <v>-3.5000000000001137</v>
      </c>
      <c r="V24" s="225"/>
      <c r="W24" s="361"/>
      <c r="X24" s="225"/>
      <c r="Y24" s="361"/>
      <c r="Z24" s="225"/>
      <c r="AA24" s="960"/>
      <c r="AB24" s="1636">
        <f t="shared" ref="AB24:AB30" si="0">ROUND(SUM(C24:Y24),1)</f>
        <v>-1027.4000000000001</v>
      </c>
      <c r="AC24" s="3123"/>
      <c r="AD24" s="3324"/>
      <c r="AE24" s="3325">
        <f>+'Exhibit F'!AF20</f>
        <v>-1005.2</v>
      </c>
      <c r="AF24" s="3123"/>
      <c r="AG24" s="3123"/>
      <c r="AH24" s="895">
        <f>-ROUND(SUM(+AB24-AE24),1)</f>
        <v>22.2</v>
      </c>
      <c r="AI24" s="3326"/>
      <c r="AJ24" s="1724">
        <f>ROUND(IF(AE24=0,0,AH24/ABS(AE24)),3)</f>
        <v>2.1999999999999999E-2</v>
      </c>
    </row>
    <row r="25" spans="1:36" ht="16.5" customHeight="1">
      <c r="A25" s="1076" t="s">
        <v>1351</v>
      </c>
      <c r="B25" s="671"/>
      <c r="C25" s="361">
        <f>+'Exhibit F'!D21</f>
        <v>107.4</v>
      </c>
      <c r="D25" s="615"/>
      <c r="E25" s="361">
        <f>+'Exhibit F'!F21</f>
        <v>60.099999999999994</v>
      </c>
      <c r="F25" s="615"/>
      <c r="G25" s="361">
        <f>+'Exhibit F'!H21</f>
        <v>63</v>
      </c>
      <c r="H25" s="522"/>
      <c r="I25" s="361">
        <f>+'Exhibit F'!J21</f>
        <v>103.10000000000002</v>
      </c>
      <c r="J25" s="522"/>
      <c r="K25" s="361">
        <f>+'Exhibit F'!L21</f>
        <v>75.000000000000028</v>
      </c>
      <c r="L25" s="225"/>
      <c r="M25" s="361">
        <f>+'Exhibit F'!N21</f>
        <v>97.9</v>
      </c>
      <c r="N25" s="225"/>
      <c r="O25" s="3325">
        <f>+'Exhibit F'!P21</f>
        <v>133.2999999999999</v>
      </c>
      <c r="P25" s="225"/>
      <c r="Q25" s="361">
        <f>+'Exhibit F'!R21</f>
        <v>90.900000000000119</v>
      </c>
      <c r="R25" s="225"/>
      <c r="S25" s="361">
        <f>+'Exhibit F'!T21</f>
        <v>119.29999999999998</v>
      </c>
      <c r="T25" s="225"/>
      <c r="U25" s="361">
        <f>+'Exhibit F'!V21</f>
        <v>116.10000000000002</v>
      </c>
      <c r="V25" s="225"/>
      <c r="W25" s="361"/>
      <c r="X25" s="225"/>
      <c r="Y25" s="361"/>
      <c r="Z25" s="225"/>
      <c r="AA25" s="960"/>
      <c r="AB25" s="1636">
        <f t="shared" si="0"/>
        <v>966.1</v>
      </c>
      <c r="AC25" s="3123"/>
      <c r="AD25" s="3324"/>
      <c r="AE25" s="3325">
        <f>+'Exhibit F'!AF21</f>
        <v>1096.1000000000001</v>
      </c>
      <c r="AF25" s="3123"/>
      <c r="AG25" s="3123"/>
      <c r="AH25" s="895">
        <f>ROUND(SUM(+AB25-AE25),1)</f>
        <v>-130</v>
      </c>
      <c r="AI25" s="3326"/>
      <c r="AJ25" s="1724">
        <f t="shared" ref="AJ25:AJ30" si="1">ROUND(IF(AE25=0,0,AH25/ABS(AE25)),3)</f>
        <v>-0.11899999999999999</v>
      </c>
    </row>
    <row r="26" spans="1:36" ht="16.5" customHeight="1">
      <c r="A26" s="672" t="s">
        <v>1087</v>
      </c>
      <c r="B26" s="672"/>
      <c r="C26" s="674">
        <f>ROUND(SUM(C21:C25),1)</f>
        <v>3775.6</v>
      </c>
      <c r="D26" s="26"/>
      <c r="E26" s="674">
        <f>ROUND(SUM(E21:E25),1)</f>
        <v>3144.2</v>
      </c>
      <c r="F26" s="26"/>
      <c r="G26" s="674">
        <f>ROUND(SUM(G21:G25),1)</f>
        <v>4854.8</v>
      </c>
      <c r="H26" s="225"/>
      <c r="I26" s="886">
        <f>ROUND(SUM(I21:I25),1)</f>
        <v>11410.5</v>
      </c>
      <c r="J26" s="225"/>
      <c r="K26" s="886">
        <f>ROUND(SUM(K21:K25),1)</f>
        <v>3114.1</v>
      </c>
      <c r="L26" s="225"/>
      <c r="M26" s="886">
        <f>ROUND(SUM(M21:M25),1)</f>
        <v>5766.8</v>
      </c>
      <c r="N26" s="225"/>
      <c r="O26" s="3129">
        <f>ROUND(SUM(O21:O25),1)</f>
        <v>3312.7</v>
      </c>
      <c r="P26" s="225"/>
      <c r="Q26" s="3129">
        <f>ROUND(SUM(Q21:Q25),1)</f>
        <v>3208.3</v>
      </c>
      <c r="R26" s="225"/>
      <c r="S26" s="886">
        <f>ROUND(SUM(S21:S25),1)</f>
        <v>5076.8</v>
      </c>
      <c r="T26" s="225"/>
      <c r="U26" s="886">
        <f>ROUND(SUM(U21:U25),1)</f>
        <v>9571.7999999999993</v>
      </c>
      <c r="V26" s="225"/>
      <c r="W26" s="886">
        <f>ROUND(SUM(W21:W25),1)</f>
        <v>0</v>
      </c>
      <c r="X26" s="225"/>
      <c r="Y26" s="886">
        <f>ROUND(SUM(Y21:Y25),1)</f>
        <v>0</v>
      </c>
      <c r="Z26" s="225"/>
      <c r="AA26" s="960"/>
      <c r="AB26" s="3128">
        <f>ROUND(SUM(C26:Y26),1)</f>
        <v>53235.6</v>
      </c>
      <c r="AC26" s="3123"/>
      <c r="AD26" s="3324"/>
      <c r="AE26" s="3129">
        <f>ROUND(SUM(AE21:AE25),1)</f>
        <v>53995.8</v>
      </c>
      <c r="AF26" s="3123"/>
      <c r="AG26" s="3123"/>
      <c r="AH26" s="1538">
        <f>ROUND(SUM(AB26-AE26),1)</f>
        <v>-760.2</v>
      </c>
      <c r="AI26" s="3326"/>
      <c r="AJ26" s="2197">
        <f t="shared" si="1"/>
        <v>-1.4E-2</v>
      </c>
    </row>
    <row r="27" spans="1:36" ht="16.5" customHeight="1">
      <c r="A27" s="1076" t="s">
        <v>1089</v>
      </c>
      <c r="B27" s="671"/>
      <c r="C27" s="1366">
        <v>0</v>
      </c>
      <c r="D27" s="616"/>
      <c r="E27" s="1366">
        <v>0</v>
      </c>
      <c r="F27" s="616"/>
      <c r="G27" s="1366">
        <v>0</v>
      </c>
      <c r="H27" s="1439"/>
      <c r="I27" s="1366">
        <v>0</v>
      </c>
      <c r="J27" s="1439"/>
      <c r="K27" s="1366">
        <v>0</v>
      </c>
      <c r="L27" s="1440"/>
      <c r="M27" s="1366">
        <v>0</v>
      </c>
      <c r="N27" s="1440"/>
      <c r="O27" s="3872">
        <v>0</v>
      </c>
      <c r="P27" s="225"/>
      <c r="Q27" s="1366">
        <v>0</v>
      </c>
      <c r="R27" s="225"/>
      <c r="S27" s="1366">
        <v>0</v>
      </c>
      <c r="T27" s="225"/>
      <c r="U27" s="1366">
        <v>0</v>
      </c>
      <c r="V27" s="225"/>
      <c r="W27" s="1366"/>
      <c r="X27" s="225"/>
      <c r="Y27" s="1366"/>
      <c r="Z27" s="225"/>
      <c r="AA27" s="960"/>
      <c r="AB27" s="1636">
        <f t="shared" si="0"/>
        <v>0</v>
      </c>
      <c r="AC27" s="3123"/>
      <c r="AD27" s="3324"/>
      <c r="AE27" s="3872">
        <f>+'Exhibit F'!AF23+'Exhibit G'!AG17</f>
        <v>0</v>
      </c>
      <c r="AF27" s="3123"/>
      <c r="AG27" s="3123"/>
      <c r="AH27" s="895">
        <f>ROUND(SUM(+AB27-AE27),1)</f>
        <v>0</v>
      </c>
      <c r="AI27" s="3326"/>
      <c r="AJ27" s="1724">
        <f t="shared" si="1"/>
        <v>0</v>
      </c>
    </row>
    <row r="28" spans="1:36" ht="16.5" customHeight="1">
      <c r="A28" s="1076" t="s">
        <v>1090</v>
      </c>
      <c r="B28" s="671"/>
      <c r="C28" s="618">
        <f>'Exhibit F'!D24+'Exhibit H'!B16</f>
        <v>0</v>
      </c>
      <c r="D28" s="616"/>
      <c r="E28" s="618">
        <f>'Exhibit F'!F24+'Exhibit H'!D16</f>
        <v>0</v>
      </c>
      <c r="F28" s="616"/>
      <c r="G28" s="618">
        <f>'Exhibit F'!H24+'Exhibit H'!F16</f>
        <v>0</v>
      </c>
      <c r="H28" s="1439"/>
      <c r="I28" s="618">
        <f>'Exhibit F'!J24+'Exhibit H'!H16</f>
        <v>0</v>
      </c>
      <c r="J28" s="1439"/>
      <c r="K28" s="618">
        <f>'Exhibit F'!L24+'Exhibit H'!J16</f>
        <v>0</v>
      </c>
      <c r="L28" s="1440"/>
      <c r="M28" s="618">
        <f>'Exhibit F'!N24+'Exhibit H'!L16</f>
        <v>0</v>
      </c>
      <c r="N28" s="1440"/>
      <c r="O28" s="1790">
        <f>'Exhibit F'!P24+'Exhibit H'!N16</f>
        <v>0</v>
      </c>
      <c r="P28" s="225"/>
      <c r="Q28" s="618">
        <f>'Exhibit F'!R24+'Exhibit H'!P16</f>
        <v>0</v>
      </c>
      <c r="R28" s="225"/>
      <c r="S28" s="618">
        <f>'Exhibit F'!T24+'Exhibit H'!R16</f>
        <v>0</v>
      </c>
      <c r="T28" s="225"/>
      <c r="U28" s="618">
        <f>'Exhibit F'!V24+'Exhibit H'!T16</f>
        <v>0</v>
      </c>
      <c r="V28" s="225"/>
      <c r="W28" s="618"/>
      <c r="X28" s="225"/>
      <c r="Y28" s="618"/>
      <c r="Z28" s="225"/>
      <c r="AA28" s="960"/>
      <c r="AB28" s="1636">
        <f t="shared" si="0"/>
        <v>0</v>
      </c>
      <c r="AC28" s="3123"/>
      <c r="AD28" s="3324"/>
      <c r="AE28" s="1790">
        <f>+'Exhibit F'!AF24+'Exhibit H'!AD16</f>
        <v>0</v>
      </c>
      <c r="AF28" s="3123"/>
      <c r="AG28" s="3123"/>
      <c r="AH28" s="895">
        <f>ROUND(SUM(+AB28-AE28),1)</f>
        <v>0</v>
      </c>
      <c r="AI28" s="3326"/>
      <c r="AJ28" s="1724">
        <f>ROUND(IF(AE28=0,0,AH28/ABS(AE28)),3)</f>
        <v>0</v>
      </c>
    </row>
    <row r="29" spans="1:36" ht="16.5" customHeight="1">
      <c r="A29" s="671" t="s">
        <v>1353</v>
      </c>
      <c r="B29" s="671"/>
      <c r="C29" s="361">
        <f>+'Exhibit F'!D25</f>
        <v>-1709.4</v>
      </c>
      <c r="D29" s="615"/>
      <c r="E29" s="361">
        <f>+'Exhibit F'!F25</f>
        <v>-945</v>
      </c>
      <c r="F29" s="615"/>
      <c r="G29" s="361">
        <f>+'Exhibit F'!H25</f>
        <v>-486.29999999999973</v>
      </c>
      <c r="H29" s="522"/>
      <c r="I29" s="361">
        <f>+'Exhibit F'!J25</f>
        <v>-1179.8000000000002</v>
      </c>
      <c r="J29" s="522"/>
      <c r="K29" s="361">
        <f>+'Exhibit F'!L25</f>
        <v>-391.1</v>
      </c>
      <c r="L29" s="225"/>
      <c r="M29" s="361">
        <f>+'Exhibit F'!N25</f>
        <v>-495.4</v>
      </c>
      <c r="N29" s="225"/>
      <c r="O29" s="3325">
        <f>+'Exhibit F'!P25</f>
        <v>-781.10000000000093</v>
      </c>
      <c r="P29" s="225"/>
      <c r="Q29" s="361">
        <f>+'Exhibit F'!R25</f>
        <v>-633.49999999999989</v>
      </c>
      <c r="R29" s="225"/>
      <c r="S29" s="361">
        <f>+'Exhibit F'!T25</f>
        <v>-244</v>
      </c>
      <c r="T29" s="225"/>
      <c r="U29" s="361">
        <f>+'Exhibit F'!V25</f>
        <v>-118.79999999999927</v>
      </c>
      <c r="V29" s="225"/>
      <c r="W29" s="361"/>
      <c r="X29" s="225"/>
      <c r="Y29" s="361"/>
      <c r="Z29" s="225"/>
      <c r="AA29" s="960"/>
      <c r="AB29" s="1636">
        <f t="shared" si="0"/>
        <v>-6984.4</v>
      </c>
      <c r="AC29" s="3123"/>
      <c r="AD29" s="3324"/>
      <c r="AE29" s="3325">
        <f>+'Exhibit F'!AF25</f>
        <v>-7779.4</v>
      </c>
      <c r="AF29" s="3123"/>
      <c r="AG29" s="3123"/>
      <c r="AH29" s="895">
        <f>-ROUND(SUM(+AB29-AE29),1)</f>
        <v>-795</v>
      </c>
      <c r="AI29" s="3326"/>
      <c r="AJ29" s="1724">
        <f t="shared" si="1"/>
        <v>-0.10199999999999999</v>
      </c>
    </row>
    <row r="30" spans="1:36" ht="16.5" customHeight="1">
      <c r="A30" s="310" t="s">
        <v>1088</v>
      </c>
      <c r="B30" s="671"/>
      <c r="C30" s="886">
        <f>ROUND(SUM(C26)+SUM(C27)+SUM(C28)+SUM(C29),1)</f>
        <v>2066.1999999999998</v>
      </c>
      <c r="D30" s="26"/>
      <c r="E30" s="886">
        <f>ROUND(SUM(E26)+SUM(E27)+SUM(E28)+SUM(E29),1)</f>
        <v>2199.1999999999998</v>
      </c>
      <c r="F30" s="26"/>
      <c r="G30" s="886">
        <f>ROUND(SUM(G26)+SUM(G27)+SUM(G28)+SUM(G29),1)</f>
        <v>4368.5</v>
      </c>
      <c r="H30" s="225"/>
      <c r="I30" s="886">
        <f>ROUND(SUM(I26)+SUM(I27)+SUM(I28)+SUM(I29),1)</f>
        <v>10230.700000000001</v>
      </c>
      <c r="J30" s="225"/>
      <c r="K30" s="886">
        <f>ROUND(SUM(K26)+SUM(K27)+SUM(K28)+SUM(K29),1)</f>
        <v>2723</v>
      </c>
      <c r="L30" s="225"/>
      <c r="M30" s="886">
        <f>ROUND(SUM(M26)+SUM(M27)+SUM(M28)+SUM(M29),1)</f>
        <v>5271.4</v>
      </c>
      <c r="N30" s="225"/>
      <c r="O30" s="3129">
        <f>ROUND(SUM(O26)+SUM(O27)+SUM(O28)+SUM(O29),1)</f>
        <v>2531.6</v>
      </c>
      <c r="P30" s="225"/>
      <c r="Q30" s="3129">
        <f>ROUND(SUM(Q26)+SUM(Q27)+SUM(Q28)+SUM(Q29),1)</f>
        <v>2574.8000000000002</v>
      </c>
      <c r="R30" s="225"/>
      <c r="S30" s="886">
        <f>ROUND(SUM(S26)+SUM(S27)+SUM(S28)+SUM(S29),1)</f>
        <v>4832.8</v>
      </c>
      <c r="T30" s="225"/>
      <c r="U30" s="886">
        <f>ROUND(SUM(U26)+SUM(U27)+SUM(U28)+SUM(U29),1)</f>
        <v>9453</v>
      </c>
      <c r="V30" s="225"/>
      <c r="W30" s="886">
        <f>ROUND(SUM(W26)+SUM(W27)+SUM(W28)+SUM(W29),1)</f>
        <v>0</v>
      </c>
      <c r="X30" s="225"/>
      <c r="Y30" s="886">
        <f>ROUND(SUM(Y26)+SUM(Y27)+SUM(Y28)+SUM(Y29),1)</f>
        <v>0</v>
      </c>
      <c r="Z30" s="225"/>
      <c r="AA30" s="960"/>
      <c r="AB30" s="3128">
        <f t="shared" si="0"/>
        <v>46251.199999999997</v>
      </c>
      <c r="AC30" s="3123"/>
      <c r="AD30" s="3324"/>
      <c r="AE30" s="3129">
        <f>ROUND(SUM(AE26)+SUM(AE27)+SUM(AE28)+SUM(AE29),1)</f>
        <v>46216.4</v>
      </c>
      <c r="AF30" s="3123"/>
      <c r="AG30" s="3123"/>
      <c r="AH30" s="1538">
        <f>ROUND(SUM(AH26+AH27+AH28-AH29),1)</f>
        <v>34.799999999999997</v>
      </c>
      <c r="AI30" s="1024"/>
      <c r="AJ30" s="2197">
        <f t="shared" si="1"/>
        <v>1E-3</v>
      </c>
    </row>
    <row r="31" spans="1:36" ht="16.5" customHeight="1">
      <c r="A31" s="1051" t="s">
        <v>1140</v>
      </c>
      <c r="B31" s="675"/>
      <c r="C31" s="611"/>
      <c r="D31" s="611"/>
      <c r="E31" s="611"/>
      <c r="F31" s="611"/>
      <c r="G31" s="611"/>
      <c r="H31" s="225"/>
      <c r="I31" s="611"/>
      <c r="J31" s="225"/>
      <c r="K31" s="611"/>
      <c r="L31" s="225"/>
      <c r="M31" s="611"/>
      <c r="N31" s="225"/>
      <c r="O31" s="3409"/>
      <c r="P31" s="225"/>
      <c r="Q31" s="3409"/>
      <c r="R31" s="225"/>
      <c r="S31" s="611"/>
      <c r="T31" s="225"/>
      <c r="U31" s="611"/>
      <c r="V31" s="225"/>
      <c r="W31" s="611"/>
      <c r="X31" s="225"/>
      <c r="Y31" s="611"/>
      <c r="Z31" s="225"/>
      <c r="AA31" s="960"/>
      <c r="AB31" s="3123"/>
      <c r="AC31" s="3123"/>
      <c r="AD31" s="3324"/>
      <c r="AE31" s="3327"/>
      <c r="AF31" s="3123"/>
      <c r="AG31" s="3123"/>
      <c r="AH31" s="115"/>
      <c r="AI31" s="1024"/>
      <c r="AJ31" s="3328"/>
    </row>
    <row r="32" spans="1:36" ht="16.5" customHeight="1">
      <c r="A32" s="671" t="s">
        <v>1093</v>
      </c>
      <c r="B32" s="675"/>
      <c r="C32" s="361">
        <f>+'Exhibit F'!D28+'Exhibit G'!D20+'Exhibit H'!B19</f>
        <v>869.4</v>
      </c>
      <c r="D32" s="615"/>
      <c r="E32" s="361">
        <f>+'Exhibit F'!F28+'Exhibit G'!F20+'Exhibit H'!D19</f>
        <v>790.8</v>
      </c>
      <c r="F32" s="615"/>
      <c r="G32" s="361">
        <f>+'Exhibit F'!H28+'Exhibit G'!H20+'Exhibit H'!F19</f>
        <v>1210</v>
      </c>
      <c r="H32" s="522"/>
      <c r="I32" s="361">
        <f>+'Exhibit F'!J28+'Exhibit G'!J20+'Exhibit H'!H19</f>
        <v>1132.3999999999999</v>
      </c>
      <c r="J32" s="522"/>
      <c r="K32" s="361">
        <f>+'Exhibit F'!L28+'Exhibit G'!L20+'Exhibit H'!J19</f>
        <v>1146.3999999999996</v>
      </c>
      <c r="L32" s="225"/>
      <c r="M32" s="361">
        <f>+'Exhibit F'!N28+'Exhibit G'!N20+'Exhibit H'!L19</f>
        <v>1540.2000000000005</v>
      </c>
      <c r="N32" s="225"/>
      <c r="O32" s="3325">
        <f>+'Exhibit F'!P28+'Exhibit G'!P20+'Exhibit H'!N19</f>
        <v>1140.5999999999995</v>
      </c>
      <c r="P32" s="225"/>
      <c r="Q32" s="361">
        <f>+'Exhibit F'!R28+'Exhibit G'!R20+'Exhibit H'!P19</f>
        <v>1166.8000000000006</v>
      </c>
      <c r="R32" s="225"/>
      <c r="S32" s="361">
        <f>+'Exhibit F'!T28+'Exhibit G'!T20+'Exhibit H'!R19</f>
        <v>1500.2000000000007</v>
      </c>
      <c r="T32" s="225"/>
      <c r="U32" s="361">
        <f>+'Exhibit F'!V28+'Exhibit G'!V20+'Exhibit H'!T19</f>
        <v>1280.6999999999998</v>
      </c>
      <c r="V32" s="225"/>
      <c r="W32" s="361"/>
      <c r="X32" s="225"/>
      <c r="Y32" s="361"/>
      <c r="Z32" s="225"/>
      <c r="AA32" s="960"/>
      <c r="AB32" s="1636">
        <f t="shared" ref="AB32:AB40" si="2">ROUND(SUM(C32:Y32),1)</f>
        <v>11777.5</v>
      </c>
      <c r="AC32" s="3123"/>
      <c r="AD32" s="3324"/>
      <c r="AE32" s="3325">
        <f>+'Exhibit F'!AF28+'Exhibit G'!AG20+'Exhibit H'!AD19</f>
        <v>13516.5</v>
      </c>
      <c r="AF32" s="3123"/>
      <c r="AG32" s="3123"/>
      <c r="AH32" s="895">
        <f t="shared" ref="AH32:AH38" si="3">ROUND(SUM(+AB32-AE32),1)</f>
        <v>-1739</v>
      </c>
      <c r="AI32" s="1024"/>
      <c r="AJ32" s="1725">
        <f t="shared" ref="AJ32:AJ41" si="4">ROUND(IF(AE32=0,0,AH32/ABS(AE32)),3)</f>
        <v>-0.129</v>
      </c>
    </row>
    <row r="33" spans="1:36" ht="16.5" customHeight="1">
      <c r="A33" s="671" t="s">
        <v>1094</v>
      </c>
      <c r="B33" s="675"/>
      <c r="C33" s="361">
        <f>+'Exhibit F'!D29+'Exhibit G'!D21+'Exhibit I'!E20</f>
        <v>0.5</v>
      </c>
      <c r="D33" s="615"/>
      <c r="E33" s="361">
        <f>+'Exhibit F'!F29+'Exhibit G'!F21+'Exhibit I'!G20</f>
        <v>-1.4</v>
      </c>
      <c r="F33" s="615"/>
      <c r="G33" s="361">
        <f>+'Exhibit F'!H29+'Exhibit G'!H21+'Exhibit I'!I20</f>
        <v>13.500000000000002</v>
      </c>
      <c r="H33" s="522"/>
      <c r="I33" s="361">
        <f>+'Exhibit F'!J29+'Exhibit G'!J21+'Exhibit I'!K20</f>
        <v>2.1</v>
      </c>
      <c r="J33" s="522"/>
      <c r="K33" s="361">
        <f>+'Exhibit F'!L29+'Exhibit G'!L21+'Exhibit I'!M20</f>
        <v>2.0999999999999992</v>
      </c>
      <c r="L33" s="225"/>
      <c r="M33" s="361">
        <f>+'Exhibit F'!N29+'Exhibit G'!N21+'Exhibit I'!O20</f>
        <v>14.499999999999995</v>
      </c>
      <c r="N33" s="225"/>
      <c r="O33" s="3325">
        <f>+'Exhibit F'!P29+'Exhibit G'!P21+'Exhibit I'!Q20</f>
        <v>0.10000000000000142</v>
      </c>
      <c r="P33" s="225"/>
      <c r="Q33" s="361">
        <f>+'Exhibit F'!R29+'Exhibit G'!R21+'Exhibit I'!S20</f>
        <v>0</v>
      </c>
      <c r="R33" s="225"/>
      <c r="S33" s="361">
        <f>+'Exhibit F'!T29+'Exhibit G'!T21+'Exhibit I'!U20</f>
        <v>19.099999999999994</v>
      </c>
      <c r="T33" s="225"/>
      <c r="U33" s="361">
        <f>+'Exhibit F'!V29+'Exhibit G'!V21+'Exhibit I'!W20</f>
        <v>0</v>
      </c>
      <c r="V33" s="225"/>
      <c r="W33" s="361"/>
      <c r="X33" s="225"/>
      <c r="Y33" s="361"/>
      <c r="Z33" s="225"/>
      <c r="AA33" s="960"/>
      <c r="AB33" s="1636">
        <f t="shared" si="2"/>
        <v>50.5</v>
      </c>
      <c r="AC33" s="3123"/>
      <c r="AD33" s="3324"/>
      <c r="AE33" s="3325">
        <f>+'Exhibit F'!AF29+'Exhibit G'!AG21+'Exhibit I'!AI20</f>
        <v>83.5</v>
      </c>
      <c r="AF33" s="3123"/>
      <c r="AG33" s="3123"/>
      <c r="AH33" s="895">
        <f t="shared" si="3"/>
        <v>-33</v>
      </c>
      <c r="AI33" s="1024"/>
      <c r="AJ33" s="1725">
        <f t="shared" si="4"/>
        <v>-0.39500000000000002</v>
      </c>
    </row>
    <row r="34" spans="1:36" ht="16.5" customHeight="1">
      <c r="A34" s="671" t="s">
        <v>1095</v>
      </c>
      <c r="B34" s="671"/>
      <c r="C34" s="361">
        <f>+'Exhibit F'!D30+'Exhibit G'!D22</f>
        <v>98.8</v>
      </c>
      <c r="D34" s="615"/>
      <c r="E34" s="361">
        <f>+'Exhibit F'!F30+'Exhibit G'!F22</f>
        <v>74</v>
      </c>
      <c r="F34" s="615"/>
      <c r="G34" s="361">
        <f>+'Exhibit F'!H30+'Exhibit G'!H22</f>
        <v>86.100000000000009</v>
      </c>
      <c r="H34" s="522"/>
      <c r="I34" s="361">
        <f>+'Exhibit F'!J30+'Exhibit G'!J22</f>
        <v>97.799999999999983</v>
      </c>
      <c r="J34" s="522"/>
      <c r="K34" s="361">
        <f>+'Exhibit F'!L30+'Exhibit G'!L22</f>
        <v>86.999999999999972</v>
      </c>
      <c r="L34" s="225"/>
      <c r="M34" s="361">
        <f>+'Exhibit F'!N30+'Exhibit G'!N22</f>
        <v>103.4</v>
      </c>
      <c r="N34" s="225"/>
      <c r="O34" s="3325">
        <f>+'Exhibit F'!P30+'Exhibit G'!P22</f>
        <v>80.999999999999986</v>
      </c>
      <c r="P34" s="225"/>
      <c r="Q34" s="361">
        <f>+'Exhibit F'!R30+'Exhibit G'!R22</f>
        <v>86.000000000000099</v>
      </c>
      <c r="R34" s="225"/>
      <c r="S34" s="361">
        <f>+'Exhibit F'!T30+'Exhibit G'!T22</f>
        <v>87.499999999999915</v>
      </c>
      <c r="T34" s="225"/>
      <c r="U34" s="361">
        <f>+'Exhibit F'!V30+'Exhibit G'!V22</f>
        <v>89.100000000000193</v>
      </c>
      <c r="V34" s="225"/>
      <c r="W34" s="361"/>
      <c r="X34" s="225"/>
      <c r="Y34" s="361"/>
      <c r="Z34" s="225"/>
      <c r="AA34" s="960"/>
      <c r="AB34" s="1636">
        <f t="shared" si="2"/>
        <v>890.7</v>
      </c>
      <c r="AC34" s="3123"/>
      <c r="AD34" s="3324"/>
      <c r="AE34" s="3325">
        <f>+'Exhibit F'!AF30+'Exhibit G'!AG22</f>
        <v>898.3</v>
      </c>
      <c r="AF34" s="3123"/>
      <c r="AG34" s="3123"/>
      <c r="AH34" s="895">
        <f t="shared" si="3"/>
        <v>-7.6</v>
      </c>
      <c r="AI34" s="1024"/>
      <c r="AJ34" s="1725">
        <f t="shared" si="4"/>
        <v>-8.0000000000000002E-3</v>
      </c>
    </row>
    <row r="35" spans="1:36" ht="16.5" customHeight="1">
      <c r="A35" s="671" t="s">
        <v>1237</v>
      </c>
      <c r="B35" s="671"/>
      <c r="C35" s="361">
        <f>+'Exhibit G'!D23</f>
        <v>0.5</v>
      </c>
      <c r="D35" s="615"/>
      <c r="E35" s="361">
        <f>+'Exhibit G'!F23</f>
        <v>0.60000000000000009</v>
      </c>
      <c r="F35" s="615"/>
      <c r="G35" s="361">
        <f>+'Exhibit G'!H23</f>
        <v>0.7</v>
      </c>
      <c r="H35" s="522"/>
      <c r="I35" s="361">
        <f>+'Exhibit G'!J23</f>
        <v>0.59999999999999987</v>
      </c>
      <c r="J35" s="522"/>
      <c r="K35" s="361">
        <f>+'Exhibit G'!L23</f>
        <v>0.80000000000000027</v>
      </c>
      <c r="L35" s="1533"/>
      <c r="M35" s="361">
        <f>+'Exhibit G'!N23</f>
        <v>0.69999999999999951</v>
      </c>
      <c r="N35" s="1533"/>
      <c r="O35" s="3325">
        <f>+'Exhibit G'!P23</f>
        <v>0.80000000000000093</v>
      </c>
      <c r="P35" s="1533"/>
      <c r="Q35" s="361">
        <f>+'Exhibit G'!R23</f>
        <v>0.70000000000000018</v>
      </c>
      <c r="R35" s="1533"/>
      <c r="S35" s="361">
        <f>+'Exhibit G'!T23</f>
        <v>0.79999999999999871</v>
      </c>
      <c r="T35" s="1533"/>
      <c r="U35" s="361">
        <f>+'Exhibit G'!V23</f>
        <v>1.0000000000000002</v>
      </c>
      <c r="V35" s="1533"/>
      <c r="W35" s="361"/>
      <c r="X35" s="1533"/>
      <c r="Y35" s="361"/>
      <c r="Z35" s="1533"/>
      <c r="AA35" s="960"/>
      <c r="AB35" s="1636">
        <f>ROUND(SUM(C35:Y35),1)</f>
        <v>7.2</v>
      </c>
      <c r="AC35" s="3123"/>
      <c r="AD35" s="3324"/>
      <c r="AE35" s="3325">
        <f>'Exhibit G'!AG23</f>
        <v>4.8</v>
      </c>
      <c r="AF35" s="3123"/>
      <c r="AG35" s="3123"/>
      <c r="AH35" s="895">
        <f>ROUND(SUM(+AB35-AE35),1)</f>
        <v>2.4</v>
      </c>
      <c r="AI35" s="1024"/>
      <c r="AJ35" s="1725">
        <f>ROUND(IF(AE35=0,0,AH35/ABS(AE35)),3)</f>
        <v>0.5</v>
      </c>
    </row>
    <row r="36" spans="1:36" ht="16.5" customHeight="1">
      <c r="A36" s="671" t="s">
        <v>1096</v>
      </c>
      <c r="B36" s="671"/>
      <c r="C36" s="361">
        <f>+'Exhibit F'!D31+'Exhibit G'!D24+'Exhibit I'!E21</f>
        <v>30.299999999999997</v>
      </c>
      <c r="D36" s="615"/>
      <c r="E36" s="361">
        <f>+'Exhibit F'!F31+'Exhibit G'!F24+'Exhibit I'!G21</f>
        <v>21.400000000000002</v>
      </c>
      <c r="F36" s="615"/>
      <c r="G36" s="361">
        <f>+'Exhibit F'!H31+'Exhibit G'!H24+'Exhibit I'!I21</f>
        <v>31.500000000000004</v>
      </c>
      <c r="H36" s="522"/>
      <c r="I36" s="361">
        <f>+'Exhibit F'!J31+'Exhibit G'!J24+'Exhibit I'!K21</f>
        <v>39.699999999999989</v>
      </c>
      <c r="J36" s="522"/>
      <c r="K36" s="361">
        <f>+'Exhibit F'!L31+'Exhibit G'!L24+'Exhibit I'!M21</f>
        <v>42.5</v>
      </c>
      <c r="L36" s="225"/>
      <c r="M36" s="361">
        <f>+'Exhibit F'!N31+'Exhibit G'!N24+'Exhibit I'!O21</f>
        <v>41.600000000000023</v>
      </c>
      <c r="N36" s="225"/>
      <c r="O36" s="3325">
        <f>+'Exhibit F'!P31+'Exhibit G'!P24+'Exhibit I'!Q21</f>
        <v>39.59999999999998</v>
      </c>
      <c r="P36" s="225"/>
      <c r="Q36" s="361">
        <f>+'Exhibit F'!R31+'Exhibit G'!R24+'Exhibit I'!S21</f>
        <v>39.700000000000017</v>
      </c>
      <c r="R36" s="225"/>
      <c r="S36" s="361">
        <f>+'Exhibit F'!T31+'Exhibit G'!T24+'Exhibit I'!U21</f>
        <v>42.399999999999991</v>
      </c>
      <c r="T36" s="225"/>
      <c r="U36" s="361">
        <f>+'Exhibit F'!V31+'Exhibit G'!V24+'Exhibit I'!W21</f>
        <v>30.000000000000004</v>
      </c>
      <c r="V36" s="225"/>
      <c r="W36" s="361"/>
      <c r="X36" s="225"/>
      <c r="Y36" s="361"/>
      <c r="Z36" s="225"/>
      <c r="AA36" s="960"/>
      <c r="AB36" s="1636">
        <f t="shared" si="2"/>
        <v>358.7</v>
      </c>
      <c r="AC36" s="3123"/>
      <c r="AD36" s="3324"/>
      <c r="AE36" s="3325">
        <f>+'Exhibit F'!AF31+'Exhibit G'!AG24+'Exhibit I'!AI21</f>
        <v>437.7</v>
      </c>
      <c r="AF36" s="3123"/>
      <c r="AG36" s="3123"/>
      <c r="AH36" s="895">
        <f t="shared" si="3"/>
        <v>-79</v>
      </c>
      <c r="AI36" s="1024"/>
      <c r="AJ36" s="1725">
        <f t="shared" si="4"/>
        <v>-0.18</v>
      </c>
    </row>
    <row r="37" spans="1:36" ht="16.5" customHeight="1">
      <c r="A37" s="671" t="s">
        <v>1097</v>
      </c>
      <c r="B37" s="671"/>
      <c r="C37" s="361">
        <f>+'Exhibit F'!D32+'Exhibit G'!D25</f>
        <v>26.7</v>
      </c>
      <c r="D37" s="615"/>
      <c r="E37" s="361">
        <f>+'Exhibit F'!F32+'Exhibit G'!F25</f>
        <v>21.400000000000002</v>
      </c>
      <c r="F37" s="615"/>
      <c r="G37" s="361">
        <f>+'Exhibit F'!H32+'Exhibit G'!H25</f>
        <v>22.8</v>
      </c>
      <c r="H37" s="522"/>
      <c r="I37" s="361">
        <f>+'Exhibit F'!J32+'Exhibit G'!J25</f>
        <v>25.999999999999982</v>
      </c>
      <c r="J37" s="522"/>
      <c r="K37" s="361">
        <f>+'Exhibit F'!L32+'Exhibit G'!L25</f>
        <v>23.100000000000012</v>
      </c>
      <c r="L37" s="225"/>
      <c r="M37" s="361">
        <f>+'Exhibit F'!N32+'Exhibit G'!N25</f>
        <v>23.300000000000008</v>
      </c>
      <c r="N37" s="225"/>
      <c r="O37" s="3325">
        <f>+'Exhibit F'!P32+'Exhibit G'!P25</f>
        <v>23.700000000000006</v>
      </c>
      <c r="P37" s="225"/>
      <c r="Q37" s="361">
        <f>+'Exhibit F'!R32+'Exhibit G'!R25</f>
        <v>22.900000000000002</v>
      </c>
      <c r="R37" s="225"/>
      <c r="S37" s="361">
        <f>+'Exhibit F'!T32+'Exhibit G'!T25</f>
        <v>18.599999999999984</v>
      </c>
      <c r="T37" s="225"/>
      <c r="U37" s="361">
        <f>+'Exhibit F'!V32+'Exhibit G'!V25</f>
        <v>29.900000000000016</v>
      </c>
      <c r="V37" s="225"/>
      <c r="W37" s="361"/>
      <c r="X37" s="225"/>
      <c r="Y37" s="361"/>
      <c r="Z37" s="225"/>
      <c r="AA37" s="960"/>
      <c r="AB37" s="1636">
        <f t="shared" si="2"/>
        <v>238.4</v>
      </c>
      <c r="AC37" s="3123"/>
      <c r="AD37" s="3324"/>
      <c r="AE37" s="3325">
        <f>+'Exhibit F'!AF32+'Exhibit G'!AG25</f>
        <v>234.1</v>
      </c>
      <c r="AF37" s="3123"/>
      <c r="AG37" s="3123"/>
      <c r="AH37" s="895">
        <f t="shared" si="3"/>
        <v>4.3</v>
      </c>
      <c r="AI37" s="1024"/>
      <c r="AJ37" s="1725">
        <f t="shared" si="4"/>
        <v>1.7999999999999999E-2</v>
      </c>
    </row>
    <row r="38" spans="1:36" ht="16.5" customHeight="1">
      <c r="A38" s="671" t="s">
        <v>1098</v>
      </c>
      <c r="B38" s="671"/>
      <c r="C38" s="361">
        <f>+'Exhibit F'!D33+'Exhibit G'!D26+'Exhibit I'!E22</f>
        <v>11.6</v>
      </c>
      <c r="D38" s="615"/>
      <c r="E38" s="361">
        <f>+'Exhibit F'!F33+'Exhibit G'!F26+'Exhibit I'!G22</f>
        <v>8.8999999999999986</v>
      </c>
      <c r="F38" s="615"/>
      <c r="G38" s="361">
        <f>+'Exhibit F'!H33+'Exhibit G'!H26+'Exhibit I'!I22</f>
        <v>12.399999999999997</v>
      </c>
      <c r="H38" s="522"/>
      <c r="I38" s="361">
        <f>+'Exhibit F'!J33+'Exhibit G'!J26+'Exhibit I'!K22</f>
        <v>12.400000000000007</v>
      </c>
      <c r="J38" s="522"/>
      <c r="K38" s="361">
        <f>+'Exhibit F'!L33+'Exhibit G'!L26+'Exhibit I'!M22</f>
        <v>10.299999999999994</v>
      </c>
      <c r="L38" s="225"/>
      <c r="M38" s="361">
        <f>+'Exhibit F'!N33+'Exhibit G'!N26+'Exhibit I'!O22</f>
        <v>12.699999999999998</v>
      </c>
      <c r="N38" s="225"/>
      <c r="O38" s="3325">
        <f>+'Exhibit F'!P33+'Exhibit G'!P26+'Exhibit I'!Q22</f>
        <v>10.600000000000014</v>
      </c>
      <c r="P38" s="225"/>
      <c r="Q38" s="361">
        <f>+'Exhibit F'!R33+'Exhibit G'!R26+'Exhibit I'!S22</f>
        <v>11.499999999999993</v>
      </c>
      <c r="R38" s="225"/>
      <c r="S38" s="361">
        <f>+'Exhibit F'!T33+'Exhibit G'!T26+'Exhibit I'!U22</f>
        <v>12.700000000000014</v>
      </c>
      <c r="T38" s="225"/>
      <c r="U38" s="361">
        <f>+'Exhibit F'!V33+'Exhibit G'!V26+'Exhibit I'!W22</f>
        <v>11.599999999999996</v>
      </c>
      <c r="V38" s="225"/>
      <c r="W38" s="361"/>
      <c r="X38" s="225"/>
      <c r="Y38" s="361"/>
      <c r="Z38" s="225"/>
      <c r="AA38" s="960"/>
      <c r="AB38" s="1636">
        <f t="shared" si="2"/>
        <v>114.7</v>
      </c>
      <c r="AC38" s="3123"/>
      <c r="AD38" s="3324"/>
      <c r="AE38" s="3325">
        <f>+'Exhibit F'!AF33+'Exhibit G'!AG26+'Exhibit I'!AI22</f>
        <v>122.4</v>
      </c>
      <c r="AF38" s="3123"/>
      <c r="AG38" s="3123"/>
      <c r="AH38" s="895">
        <f t="shared" si="3"/>
        <v>-7.7</v>
      </c>
      <c r="AI38" s="1024"/>
      <c r="AJ38" s="3329">
        <f t="shared" si="4"/>
        <v>-6.3E-2</v>
      </c>
    </row>
    <row r="39" spans="1:36" ht="16.5" customHeight="1">
      <c r="A39" s="671" t="s">
        <v>1436</v>
      </c>
      <c r="B39" s="671"/>
      <c r="C39" s="361">
        <f>'Exhibit F'!D34+'Exhibit G'!D27</f>
        <v>0</v>
      </c>
      <c r="D39" s="615"/>
      <c r="E39" s="361">
        <f>'Exhibit F'!F34+'Exhibit G'!F27</f>
        <v>0.1</v>
      </c>
      <c r="F39" s="615"/>
      <c r="G39" s="361">
        <f>'Exhibit F'!H34+'Exhibit G'!H27</f>
        <v>11.700000000000001</v>
      </c>
      <c r="H39" s="522"/>
      <c r="I39" s="361">
        <f>'Exhibit F'!J34+'Exhibit G'!J27</f>
        <v>-0.40000000000000036</v>
      </c>
      <c r="J39" s="522"/>
      <c r="K39" s="361">
        <f>'Exhibit F'!L34+'Exhibit G'!L27</f>
        <v>-9.9999999999999645E-2</v>
      </c>
      <c r="L39" s="1533"/>
      <c r="M39" s="361">
        <f>'Exhibit F'!N34+'Exhibit G'!N27</f>
        <v>7.3999999999999968</v>
      </c>
      <c r="N39" s="1533"/>
      <c r="O39" s="3325">
        <f>'Exhibit F'!P34+'Exhibit G'!P27</f>
        <v>0</v>
      </c>
      <c r="P39" s="1533"/>
      <c r="Q39" s="361">
        <f>'Exhibit F'!R34+'Exhibit G'!R27</f>
        <v>0</v>
      </c>
      <c r="R39" s="1533"/>
      <c r="S39" s="361">
        <f>'Exhibit F'!T34+'Exhibit G'!T27</f>
        <v>6.8000000000000007</v>
      </c>
      <c r="T39" s="1533"/>
      <c r="U39" s="361">
        <f>'Exhibit F'!V34+'Exhibit G'!V27</f>
        <v>0</v>
      </c>
      <c r="V39" s="1533"/>
      <c r="W39" s="361"/>
      <c r="X39" s="1533"/>
      <c r="Y39" s="361"/>
      <c r="Z39" s="1533"/>
      <c r="AA39" s="960"/>
      <c r="AB39" s="1636">
        <f>ROUND(SUM(C39:Y39),1)</f>
        <v>25.5</v>
      </c>
      <c r="AC39" s="3123"/>
      <c r="AD39" s="3324"/>
      <c r="AE39" s="3325">
        <f>+'Exhibit F'!AF34</f>
        <v>0</v>
      </c>
      <c r="AF39" s="3123"/>
      <c r="AG39" s="3123"/>
      <c r="AH39" s="895">
        <f>ROUND(SUM(+AB39-AE39),1)</f>
        <v>25.5</v>
      </c>
      <c r="AI39" s="1024"/>
      <c r="AJ39" s="1729">
        <f>ROUND(IF(AE39=0,1,AH39/ABS(AE39)),3)</f>
        <v>1</v>
      </c>
    </row>
    <row r="40" spans="1:36" ht="16.5" customHeight="1">
      <c r="A40" s="671" t="s">
        <v>1438</v>
      </c>
      <c r="B40" s="671"/>
      <c r="C40" s="361">
        <f>'Exhibit F'!D35</f>
        <v>7.2</v>
      </c>
      <c r="D40" s="615"/>
      <c r="E40" s="361">
        <f>'Exhibit F'!F35</f>
        <v>0</v>
      </c>
      <c r="F40" s="615"/>
      <c r="G40" s="361">
        <f>'Exhibit F'!H35</f>
        <v>0</v>
      </c>
      <c r="H40" s="522"/>
      <c r="I40" s="361">
        <f>'Exhibit F'!J35</f>
        <v>8.9000000000000021</v>
      </c>
      <c r="J40" s="522"/>
      <c r="K40" s="361">
        <f>'Exhibit F'!L35</f>
        <v>0</v>
      </c>
      <c r="L40" s="1533"/>
      <c r="M40" s="361">
        <f>'Exhibit F'!N35</f>
        <v>0.29999999999999716</v>
      </c>
      <c r="N40" s="1533"/>
      <c r="O40" s="3325">
        <f>'Exhibit F'!P35</f>
        <v>6.1000000000000014</v>
      </c>
      <c r="P40" s="1533"/>
      <c r="Q40" s="361">
        <f>'Exhibit F'!R35</f>
        <v>0.10000000000000142</v>
      </c>
      <c r="R40" s="1533"/>
      <c r="S40" s="361">
        <f>'Exhibit F'!T35</f>
        <v>0.19999999999999574</v>
      </c>
      <c r="T40" s="1533"/>
      <c r="U40" s="361">
        <f>'Exhibit F'!V35</f>
        <v>7.1000000000000014</v>
      </c>
      <c r="V40" s="1533"/>
      <c r="W40" s="361"/>
      <c r="X40" s="1533"/>
      <c r="Y40" s="361"/>
      <c r="Z40" s="1533"/>
      <c r="AA40" s="521"/>
      <c r="AB40" s="1636">
        <f t="shared" si="2"/>
        <v>29.9</v>
      </c>
      <c r="AC40" s="3123"/>
      <c r="AD40" s="3324"/>
      <c r="AE40" s="3325">
        <f>+'Exhibit F'!AF35</f>
        <v>16.899999999999999</v>
      </c>
      <c r="AF40" s="3123"/>
      <c r="AG40" s="3123"/>
      <c r="AH40" s="895">
        <f t="shared" ref="AH40" si="5">ROUND(SUM(+AB40-AE40),1)</f>
        <v>13</v>
      </c>
      <c r="AI40" s="1024"/>
      <c r="AJ40" s="1729">
        <f>ROUND(IF(AE40=0,1,AH40/ABS(AE40)),3)</f>
        <v>0.76900000000000002</v>
      </c>
    </row>
    <row r="41" spans="1:36" ht="16.5" customHeight="1">
      <c r="A41" s="310" t="s">
        <v>1092</v>
      </c>
      <c r="B41" s="671"/>
      <c r="C41" s="886">
        <f>ROUND(SUM(C32:C40),1)</f>
        <v>1045</v>
      </c>
      <c r="D41" s="26"/>
      <c r="E41" s="886">
        <f>ROUND(SUM(E32:E40),1)</f>
        <v>915.8</v>
      </c>
      <c r="F41" s="26"/>
      <c r="G41" s="886">
        <f>ROUND(SUM(G32:G40),1)</f>
        <v>1388.7</v>
      </c>
      <c r="H41" s="225"/>
      <c r="I41" s="886">
        <f>ROUND(SUM(I32:I40),1)</f>
        <v>1319.5</v>
      </c>
      <c r="J41" s="225"/>
      <c r="K41" s="886">
        <f>ROUND(SUM(K32:K40),1)</f>
        <v>1312.1</v>
      </c>
      <c r="L41" s="225"/>
      <c r="M41" s="886">
        <f>ROUND(SUM(M32:M40),1)</f>
        <v>1744.1</v>
      </c>
      <c r="N41" s="225"/>
      <c r="O41" s="3129">
        <f>ROUND(SUM(O32:O40),1)</f>
        <v>1302.5</v>
      </c>
      <c r="P41" s="225"/>
      <c r="Q41" s="3129">
        <f>ROUND(SUM(Q32:Q40),1)</f>
        <v>1327.7</v>
      </c>
      <c r="R41" s="225"/>
      <c r="S41" s="886">
        <f>ROUND(SUM(S32:S40),1)</f>
        <v>1688.3</v>
      </c>
      <c r="T41" s="225"/>
      <c r="U41" s="886">
        <f>ROUND(SUM(U32:U40),1)</f>
        <v>1449.4</v>
      </c>
      <c r="V41" s="225"/>
      <c r="W41" s="886">
        <f>ROUND(SUM(W32:W40),1)</f>
        <v>0</v>
      </c>
      <c r="X41" s="225"/>
      <c r="Y41" s="886">
        <f>ROUND(SUM(Y32:Y40),1)</f>
        <v>0</v>
      </c>
      <c r="Z41" s="225"/>
      <c r="AA41" s="960"/>
      <c r="AB41" s="3129">
        <f>ROUND(SUM(AB32:AB40),1)</f>
        <v>13493.1</v>
      </c>
      <c r="AC41" s="3123"/>
      <c r="AD41" s="3324"/>
      <c r="AE41" s="3129">
        <f>ROUND(SUM(AE32:AE40),1)</f>
        <v>15314.2</v>
      </c>
      <c r="AF41" s="3123"/>
      <c r="AG41" s="3123"/>
      <c r="AH41" s="1538">
        <f>ROUND(SUM(AH32:AH40),1)</f>
        <v>-1821.1</v>
      </c>
      <c r="AI41" s="115"/>
      <c r="AJ41" s="3330">
        <f t="shared" si="4"/>
        <v>-0.11899999999999999</v>
      </c>
    </row>
    <row r="42" spans="1:36" ht="16.5" customHeight="1">
      <c r="A42" s="1051" t="s">
        <v>1141</v>
      </c>
      <c r="B42" s="671"/>
      <c r="C42" s="611"/>
      <c r="D42" s="611"/>
      <c r="E42" s="611"/>
      <c r="F42" s="611"/>
      <c r="G42" s="611"/>
      <c r="H42" s="225"/>
      <c r="I42" s="611"/>
      <c r="J42" s="225"/>
      <c r="K42" s="611"/>
      <c r="L42" s="225"/>
      <c r="M42" s="611"/>
      <c r="N42" s="225"/>
      <c r="O42" s="3409"/>
      <c r="P42" s="225"/>
      <c r="Q42" s="3409"/>
      <c r="R42" s="225"/>
      <c r="S42" s="611"/>
      <c r="T42" s="225"/>
      <c r="U42" s="611"/>
      <c r="V42" s="225"/>
      <c r="W42" s="611"/>
      <c r="X42" s="225"/>
      <c r="Y42" s="611"/>
      <c r="Z42" s="225"/>
      <c r="AA42" s="960"/>
      <c r="AB42" s="3123"/>
      <c r="AC42" s="3123"/>
      <c r="AD42" s="3324"/>
      <c r="AE42" s="3327"/>
      <c r="AF42" s="3123"/>
      <c r="AG42" s="3123"/>
      <c r="AH42" s="115"/>
      <c r="AI42" s="115"/>
      <c r="AJ42" s="3328"/>
    </row>
    <row r="43" spans="1:36" ht="16.5" customHeight="1">
      <c r="A43" s="671" t="s">
        <v>1100</v>
      </c>
      <c r="B43" s="671"/>
      <c r="C43" s="361">
        <f>+'Exhibit F'!D38+'Exhibit G'!D30+'Exhibit I'!E25</f>
        <v>254.4</v>
      </c>
      <c r="D43" s="615"/>
      <c r="E43" s="361">
        <f>+'Exhibit F'!F38+'Exhibit G'!F30+'Exhibit I'!G25</f>
        <v>-134.69999999999999</v>
      </c>
      <c r="F43" s="615"/>
      <c r="G43" s="361">
        <f>+'Exhibit F'!H38+'Exhibit G'!H30+'Exhibit I'!I25</f>
        <v>557.5</v>
      </c>
      <c r="H43" s="522"/>
      <c r="I43" s="361">
        <f>+'Exhibit F'!J38+'Exhibit G'!J30+'Exhibit I'!K25</f>
        <v>563.20000000000005</v>
      </c>
      <c r="J43" s="522"/>
      <c r="K43" s="361">
        <f>+'Exhibit F'!L38+'Exhibit G'!L30+'Exhibit I'!M25</f>
        <v>29.700000000000045</v>
      </c>
      <c r="L43" s="225"/>
      <c r="M43" s="361">
        <f>+'Exhibit F'!N38+'Exhibit G'!N30+'Exhibit I'!O25</f>
        <v>1000.6999999999997</v>
      </c>
      <c r="N43" s="225"/>
      <c r="O43" s="3325">
        <f>+'Exhibit F'!P38+'Exhibit G'!P30+'Exhibit I'!Q25</f>
        <v>115.00000000000023</v>
      </c>
      <c r="P43" s="225"/>
      <c r="Q43" s="361">
        <f>+'Exhibit F'!R38+'Exhibit G'!R30+'Exhibit I'!S25</f>
        <v>90.099999999999909</v>
      </c>
      <c r="R43" s="225"/>
      <c r="S43" s="361">
        <f>+'Exhibit F'!T38+'Exhibit G'!T30+'Exhibit I'!U25</f>
        <v>1079.0999999999999</v>
      </c>
      <c r="T43" s="225"/>
      <c r="U43" s="361">
        <f>+'Exhibit F'!V38+'Exhibit G'!V30+'Exhibit I'!W25</f>
        <v>45.999999999999915</v>
      </c>
      <c r="V43" s="225"/>
      <c r="W43" s="361"/>
      <c r="X43" s="225"/>
      <c r="Y43" s="361"/>
      <c r="Z43" s="225"/>
      <c r="AA43" s="960"/>
      <c r="AB43" s="1636">
        <f>ROUND(SUM(C43:Y43),1)</f>
        <v>3601</v>
      </c>
      <c r="AC43" s="3123"/>
      <c r="AD43" s="3324"/>
      <c r="AE43" s="3325">
        <f>+'Exhibit F'!AF38+'Exhibit G'!AG30+'Exhibit I'!AI25</f>
        <v>3688.5999999999995</v>
      </c>
      <c r="AF43" s="3123"/>
      <c r="AG43" s="3123"/>
      <c r="AH43" s="895">
        <f>ROUND(SUM(+AB43-AE43),1)</f>
        <v>-87.6</v>
      </c>
      <c r="AI43" s="115"/>
      <c r="AJ43" s="1725">
        <f t="shared" ref="AJ43:AJ48" si="6">ROUND(IF(AE43=0,0,AH43/ABS(AE43)),3)</f>
        <v>-2.4E-2</v>
      </c>
    </row>
    <row r="44" spans="1:36" ht="16.5" customHeight="1">
      <c r="A44" s="671" t="s">
        <v>1101</v>
      </c>
      <c r="B44" s="671"/>
      <c r="C44" s="361">
        <f>+'Exhibit F'!D39+'Exhibit G'!D31+'Exhibit I'!E26</f>
        <v>15.6</v>
      </c>
      <c r="D44" s="615"/>
      <c r="E44" s="361">
        <f>+'Exhibit F'!F39+'Exhibit G'!F31+'Exhibit I'!G26</f>
        <v>-11.000000000000002</v>
      </c>
      <c r="F44" s="615"/>
      <c r="G44" s="361">
        <f>+'Exhibit F'!H39+'Exhibit G'!H31+'Exhibit I'!I26</f>
        <v>94.9</v>
      </c>
      <c r="H44" s="522"/>
      <c r="I44" s="361">
        <f>+'Exhibit F'!J39+'Exhibit G'!J31+'Exhibit I'!K26</f>
        <v>33.29999999999999</v>
      </c>
      <c r="J44" s="522"/>
      <c r="K44" s="361">
        <f>+'Exhibit F'!L39+'Exhibit G'!L31+'Exhibit I'!M26</f>
        <v>2.300000000000002</v>
      </c>
      <c r="L44" s="225"/>
      <c r="M44" s="361">
        <f>+'Exhibit F'!N39+'Exhibit G'!N31+'Exhibit I'!O26</f>
        <v>106.29999999999998</v>
      </c>
      <c r="N44" s="225"/>
      <c r="O44" s="3325">
        <f>+'Exhibit F'!P39+'Exhibit G'!P31+'Exhibit I'!Q26</f>
        <v>10.200000000000006</v>
      </c>
      <c r="P44" s="225"/>
      <c r="Q44" s="361">
        <f>+'Exhibit F'!R39+'Exhibit G'!R31+'Exhibit I'!S26</f>
        <v>0.50000000000001421</v>
      </c>
      <c r="R44" s="225"/>
      <c r="S44" s="361">
        <f>+'Exhibit F'!T39+'Exhibit G'!T31+'Exhibit I'!U26</f>
        <v>102.00000000000001</v>
      </c>
      <c r="T44" s="225"/>
      <c r="U44" s="361">
        <f>+'Exhibit F'!V39+'Exhibit G'!V31+'Exhibit I'!W26</f>
        <v>9.9999999999999698</v>
      </c>
      <c r="V44" s="225"/>
      <c r="W44" s="361"/>
      <c r="X44" s="225"/>
      <c r="Y44" s="361"/>
      <c r="Z44" s="225"/>
      <c r="AA44" s="960"/>
      <c r="AB44" s="1636">
        <f>ROUND(SUM(C44:Y44),1)</f>
        <v>364.1</v>
      </c>
      <c r="AC44" s="3123"/>
      <c r="AD44" s="3324"/>
      <c r="AE44" s="3325">
        <f>+'Exhibit F'!AF39+'Exhibit G'!AG31+'Exhibit I'!AI26</f>
        <v>413.80000000000007</v>
      </c>
      <c r="AF44" s="3123"/>
      <c r="AG44" s="3123"/>
      <c r="AH44" s="895">
        <f>ROUND(SUM(+AB44-AE44),1)</f>
        <v>-49.7</v>
      </c>
      <c r="AI44" s="115"/>
      <c r="AJ44" s="1725">
        <f t="shared" si="6"/>
        <v>-0.12</v>
      </c>
    </row>
    <row r="45" spans="1:36" ht="16.5" customHeight="1">
      <c r="A45" s="671" t="s">
        <v>1102</v>
      </c>
      <c r="B45" s="671"/>
      <c r="C45" s="361">
        <f>+'Exhibit F'!D40+'Exhibit G'!D32</f>
        <v>70.2</v>
      </c>
      <c r="D45" s="615"/>
      <c r="E45" s="361">
        <f>+'Exhibit F'!F40+'Exhibit G'!F32</f>
        <v>6.5000000000000009</v>
      </c>
      <c r="F45" s="615"/>
      <c r="G45" s="361">
        <f>+'Exhibit F'!H40+'Exhibit G'!H32</f>
        <v>364</v>
      </c>
      <c r="H45" s="522"/>
      <c r="I45" s="361">
        <f>+'Exhibit F'!J40+'Exhibit G'!J32</f>
        <v>33.299999999999983</v>
      </c>
      <c r="J45" s="522"/>
      <c r="K45" s="361">
        <f>+'Exhibit F'!L40+'Exhibit G'!L32</f>
        <v>16.000000000000021</v>
      </c>
      <c r="L45" s="225"/>
      <c r="M45" s="361">
        <f>+'Exhibit F'!N40+'Exhibit G'!N32</f>
        <v>391.7000000000001</v>
      </c>
      <c r="N45" s="225"/>
      <c r="O45" s="3325">
        <f>+'Exhibit F'!P40+'Exhibit G'!P32</f>
        <v>23.09999999999998</v>
      </c>
      <c r="P45" s="225"/>
      <c r="Q45" s="361">
        <f>+'Exhibit F'!R40+'Exhibit G'!R32</f>
        <v>9.1999999999999744</v>
      </c>
      <c r="R45" s="225"/>
      <c r="S45" s="361">
        <f>+'Exhibit F'!T40+'Exhibit G'!T32</f>
        <v>421.59999999999991</v>
      </c>
      <c r="T45" s="225"/>
      <c r="U45" s="361">
        <f>+'Exhibit F'!V40+'Exhibit G'!V32</f>
        <v>-4.9000000000000909</v>
      </c>
      <c r="V45" s="225"/>
      <c r="W45" s="361"/>
      <c r="X45" s="225"/>
      <c r="Y45" s="361"/>
      <c r="Z45" s="225"/>
      <c r="AA45" s="960"/>
      <c r="AB45" s="1636">
        <f>ROUND(SUM(C45:Y45),1)</f>
        <v>1330.7</v>
      </c>
      <c r="AC45" s="3123"/>
      <c r="AD45" s="3324"/>
      <c r="AE45" s="3325">
        <f>+'Exhibit F'!AF40+'Exhibit G'!AG32</f>
        <v>1528</v>
      </c>
      <c r="AF45" s="3123"/>
      <c r="AG45" s="3123"/>
      <c r="AH45" s="895">
        <f>ROUND(SUM(+AB45-AE45),1)</f>
        <v>-197.3</v>
      </c>
      <c r="AI45" s="115"/>
      <c r="AJ45" s="1725">
        <f t="shared" si="6"/>
        <v>-0.129</v>
      </c>
    </row>
    <row r="46" spans="1:36" ht="16.5" customHeight="1">
      <c r="A46" s="671" t="s">
        <v>1103</v>
      </c>
      <c r="B46" s="671"/>
      <c r="C46" s="361">
        <f>+'Exhibit F'!D41+'Exhibit G'!D33</f>
        <v>7.3999999999999995</v>
      </c>
      <c r="D46" s="615"/>
      <c r="E46" s="361">
        <f>+'Exhibit F'!F41+'Exhibit G'!F33</f>
        <v>2.5999999999999996</v>
      </c>
      <c r="F46" s="615"/>
      <c r="G46" s="361">
        <f>+'Exhibit F'!H41+'Exhibit G'!H33</f>
        <v>91.800000000000011</v>
      </c>
      <c r="H46" s="522"/>
      <c r="I46" s="361">
        <f>+'Exhibit F'!J41+'Exhibit G'!J33</f>
        <v>0.70000000000000284</v>
      </c>
      <c r="J46" s="522"/>
      <c r="K46" s="361">
        <f>+'Exhibit F'!L41+'Exhibit G'!L33</f>
        <v>46.499999999999986</v>
      </c>
      <c r="L46" s="225"/>
      <c r="M46" s="361">
        <f>+'Exhibit F'!N41+'Exhibit G'!N33</f>
        <v>15.30000000000001</v>
      </c>
      <c r="N46" s="225"/>
      <c r="O46" s="3325">
        <f>+'Exhibit F'!P41+'Exhibit G'!P33</f>
        <v>0.40000000000000391</v>
      </c>
      <c r="P46" s="225"/>
      <c r="Q46" s="361">
        <f>+'Exhibit F'!R41+'Exhibit G'!R33</f>
        <v>-0.69999999999999929</v>
      </c>
      <c r="R46" s="225"/>
      <c r="S46" s="361">
        <f>+'Exhibit F'!T41+'Exhibit G'!T33</f>
        <v>1.5999999999999943</v>
      </c>
      <c r="T46" s="225"/>
      <c r="U46" s="361">
        <f>+'Exhibit F'!V41+'Exhibit G'!V33</f>
        <v>-10.10000000000001</v>
      </c>
      <c r="V46" s="225"/>
      <c r="W46" s="361"/>
      <c r="X46" s="225"/>
      <c r="Y46" s="361"/>
      <c r="Z46" s="225"/>
      <c r="AA46" s="960"/>
      <c r="AB46" s="1636">
        <f>ROUND(SUM(C46:Y46),1)</f>
        <v>155.5</v>
      </c>
      <c r="AC46" s="3123"/>
      <c r="AD46" s="3324"/>
      <c r="AE46" s="3325">
        <f>+'Exhibit F'!AF41+'Exhibit G'!AG33</f>
        <v>-30.299999999999997</v>
      </c>
      <c r="AF46" s="3123"/>
      <c r="AG46" s="3123"/>
      <c r="AH46" s="895">
        <f>ROUND(SUM(+AB46-AE46),1)</f>
        <v>185.8</v>
      </c>
      <c r="AI46" s="115"/>
      <c r="AJ46" s="3329">
        <f t="shared" si="6"/>
        <v>6.1319999999999997</v>
      </c>
    </row>
    <row r="47" spans="1:36" ht="16.5" customHeight="1">
      <c r="A47" s="671" t="s">
        <v>1104</v>
      </c>
      <c r="B47" s="671"/>
      <c r="C47" s="361">
        <f>+'Exhibit F'!D42+'Exhibit G'!D34+'Exhibit I'!E27</f>
        <v>68.3</v>
      </c>
      <c r="D47" s="615"/>
      <c r="E47" s="361">
        <f>+'Exhibit F'!F42+'Exhibit G'!F34+'Exhibit I'!G27</f>
        <v>39.799999999999997</v>
      </c>
      <c r="F47" s="615"/>
      <c r="G47" s="361">
        <f>+'Exhibit F'!H42+'Exhibit G'!H34+'Exhibit I'!I27</f>
        <v>85.7</v>
      </c>
      <c r="H47" s="522"/>
      <c r="I47" s="361">
        <f>+'Exhibit F'!J42+'Exhibit G'!J34+'Exhibit I'!K27</f>
        <v>87.899999999999991</v>
      </c>
      <c r="J47" s="522"/>
      <c r="K47" s="361">
        <f>+'Exhibit F'!L42+'Exhibit G'!L34+'Exhibit I'!M27</f>
        <v>86.999999999999972</v>
      </c>
      <c r="L47" s="225"/>
      <c r="M47" s="361">
        <f>+'Exhibit F'!N42+'Exhibit G'!N34+'Exhibit I'!O27</f>
        <v>98.400000000000063</v>
      </c>
      <c r="N47" s="225"/>
      <c r="O47" s="3325">
        <f>+'Exhibit F'!P42+'Exhibit G'!P34+'Exhibit I'!Q27</f>
        <v>89.5</v>
      </c>
      <c r="P47" s="225"/>
      <c r="Q47" s="361">
        <f>+'Exhibit F'!R42+'Exhibit G'!R34+'Exhibit I'!S27</f>
        <v>82.79999999999994</v>
      </c>
      <c r="R47" s="225"/>
      <c r="S47" s="361">
        <f>+'Exhibit F'!T42+'Exhibit G'!T34+'Exhibit I'!U27</f>
        <v>81.200000000000031</v>
      </c>
      <c r="T47" s="225"/>
      <c r="U47" s="361">
        <f>+'Exhibit F'!V42+'Exhibit G'!V34+'Exhibit I'!W27</f>
        <v>76.399999999999991</v>
      </c>
      <c r="V47" s="225"/>
      <c r="W47" s="361"/>
      <c r="X47" s="225"/>
      <c r="Y47" s="361"/>
      <c r="Z47" s="225"/>
      <c r="AA47" s="960"/>
      <c r="AB47" s="1636">
        <f>ROUND(SUM(C47:Y47),1)</f>
        <v>797</v>
      </c>
      <c r="AC47" s="3123"/>
      <c r="AD47" s="3324"/>
      <c r="AE47" s="3325">
        <f>+'Exhibit F'!AF42+'Exhibit G'!AG34+'Exhibit I'!AI27</f>
        <v>995.1</v>
      </c>
      <c r="AF47" s="3123"/>
      <c r="AG47" s="3123"/>
      <c r="AH47" s="895">
        <f>ROUND(SUM(+AB47-AE47),1)</f>
        <v>-198.1</v>
      </c>
      <c r="AI47" s="115"/>
      <c r="AJ47" s="1725">
        <f t="shared" si="6"/>
        <v>-0.19900000000000001</v>
      </c>
    </row>
    <row r="48" spans="1:36" ht="16.5" customHeight="1">
      <c r="A48" s="310" t="s">
        <v>1099</v>
      </c>
      <c r="B48" s="671"/>
      <c r="C48" s="886">
        <f>ROUND(SUM(C43:C47),1)</f>
        <v>415.9</v>
      </c>
      <c r="D48" s="26"/>
      <c r="E48" s="886">
        <f>ROUND(SUM(E43:E47),1)</f>
        <v>-96.8</v>
      </c>
      <c r="F48" s="26"/>
      <c r="G48" s="886">
        <f>ROUND(SUM(G43:G47),1)</f>
        <v>1193.9000000000001</v>
      </c>
      <c r="H48" s="225"/>
      <c r="I48" s="886">
        <f>ROUND(SUM(I43:I47),1)</f>
        <v>718.4</v>
      </c>
      <c r="J48" s="225"/>
      <c r="K48" s="886">
        <f>ROUND(SUM(K43:K47),1)</f>
        <v>181.5</v>
      </c>
      <c r="L48" s="225"/>
      <c r="M48" s="886">
        <f>ROUND(SUM(M43:M47),1)</f>
        <v>1612.4</v>
      </c>
      <c r="N48" s="225"/>
      <c r="O48" s="3129">
        <f>ROUND(SUM(O43:O47),1)</f>
        <v>238.2</v>
      </c>
      <c r="P48" s="225"/>
      <c r="Q48" s="3129">
        <f>ROUND(SUM(Q43:Q47),1)</f>
        <v>181.9</v>
      </c>
      <c r="R48" s="225"/>
      <c r="S48" s="886">
        <f>ROUND(SUM(S43:S47),1)</f>
        <v>1685.5</v>
      </c>
      <c r="T48" s="225"/>
      <c r="U48" s="886">
        <f>ROUND(SUM(U43:U47),1)</f>
        <v>117.4</v>
      </c>
      <c r="V48" s="225"/>
      <c r="W48" s="886">
        <f>ROUND(SUM(W43:W47),1)</f>
        <v>0</v>
      </c>
      <c r="X48" s="225"/>
      <c r="Y48" s="886">
        <f>ROUND(SUM(Y43:Y47),1)</f>
        <v>0</v>
      </c>
      <c r="Z48" s="225"/>
      <c r="AA48" s="960"/>
      <c r="AB48" s="3129">
        <f>ROUND(SUM(AB43:AB47),1)</f>
        <v>6248.3</v>
      </c>
      <c r="AC48" s="3123"/>
      <c r="AD48" s="3324"/>
      <c r="AE48" s="3129">
        <f>ROUND(SUM(AE43:AE47),1)</f>
        <v>6595.2</v>
      </c>
      <c r="AF48" s="3123"/>
      <c r="AG48" s="3123"/>
      <c r="AH48" s="3129">
        <f>ROUND(SUM(AH43:AH47),1)</f>
        <v>-346.9</v>
      </c>
      <c r="AI48" s="115"/>
      <c r="AJ48" s="3330">
        <f t="shared" si="6"/>
        <v>-5.2999999999999999E-2</v>
      </c>
    </row>
    <row r="49" spans="1:36" ht="16.5" customHeight="1">
      <c r="A49" s="1051" t="s">
        <v>1142</v>
      </c>
      <c r="B49" s="671"/>
      <c r="C49" s="611"/>
      <c r="D49" s="611"/>
      <c r="E49" s="611"/>
      <c r="F49" s="611"/>
      <c r="G49" s="611"/>
      <c r="H49" s="225"/>
      <c r="I49" s="611"/>
      <c r="J49" s="225"/>
      <c r="K49" s="611"/>
      <c r="L49" s="225"/>
      <c r="M49" s="611"/>
      <c r="N49" s="225"/>
      <c r="O49" s="3409"/>
      <c r="P49" s="225"/>
      <c r="Q49" s="3409"/>
      <c r="R49" s="225"/>
      <c r="S49" s="611"/>
      <c r="T49" s="225"/>
      <c r="U49" s="611"/>
      <c r="V49" s="225"/>
      <c r="W49" s="611"/>
      <c r="X49" s="225"/>
      <c r="Y49" s="611"/>
      <c r="Z49" s="225"/>
      <c r="AA49" s="960"/>
      <c r="AB49" s="3123"/>
      <c r="AC49" s="3123"/>
      <c r="AD49" s="3324"/>
      <c r="AE49" s="3327"/>
      <c r="AF49" s="3123"/>
      <c r="AG49" s="3123"/>
      <c r="AH49" s="115"/>
      <c r="AI49" s="115"/>
      <c r="AJ49" s="3328"/>
    </row>
    <row r="50" spans="1:36" ht="16.5" customHeight="1">
      <c r="A50" s="671" t="s">
        <v>1107</v>
      </c>
      <c r="B50" s="671"/>
      <c r="C50" s="1365">
        <f>+'Exhibit F'!D45</f>
        <v>0</v>
      </c>
      <c r="D50" s="615"/>
      <c r="E50" s="1365">
        <f>+'Exhibit F'!F45</f>
        <v>0</v>
      </c>
      <c r="F50" s="615"/>
      <c r="G50" s="1365">
        <f>+'Exhibit F'!H45</f>
        <v>0</v>
      </c>
      <c r="H50" s="522"/>
      <c r="I50" s="1365">
        <f>+'Exhibit F'!J45</f>
        <v>0</v>
      </c>
      <c r="J50" s="522"/>
      <c r="K50" s="1365">
        <f>+'Exhibit F'!L45</f>
        <v>0</v>
      </c>
      <c r="L50" s="225"/>
      <c r="M50" s="1365">
        <f>+'Exhibit F'!N45</f>
        <v>0</v>
      </c>
      <c r="N50" s="225"/>
      <c r="O50" s="1789">
        <f>+'Exhibit F'!P45</f>
        <v>0</v>
      </c>
      <c r="P50" s="225"/>
      <c r="Q50" s="1365">
        <f>+'Exhibit F'!R45</f>
        <v>0</v>
      </c>
      <c r="R50" s="225"/>
      <c r="S50" s="1365">
        <f>+'Exhibit F'!T45</f>
        <v>0</v>
      </c>
      <c r="T50" s="225"/>
      <c r="U50" s="1365">
        <f>+'Exhibit F'!V45</f>
        <v>0</v>
      </c>
      <c r="V50" s="225"/>
      <c r="W50" s="1365"/>
      <c r="X50" s="225"/>
      <c r="Y50" s="1365"/>
      <c r="Z50" s="225"/>
      <c r="AA50" s="960"/>
      <c r="AB50" s="1636">
        <f t="shared" ref="AB50:AB54" si="7">ROUND(SUM(C50:Y50),1)</f>
        <v>0</v>
      </c>
      <c r="AC50" s="3123"/>
      <c r="AD50" s="3324"/>
      <c r="AE50" s="1789">
        <f>+'Exhibit F'!AF45</f>
        <v>0</v>
      </c>
      <c r="AF50" s="3101"/>
      <c r="AG50" s="3101"/>
      <c r="AH50" s="2000">
        <f t="shared" ref="AH50:AH54" si="8">ROUND(SUM(+AB50-AE50),1)</f>
        <v>0</v>
      </c>
      <c r="AI50" s="1462"/>
      <c r="AJ50" s="1724">
        <f>-ROUND(IF(AE50=0,0,AH50/ABS(AE50)),3)</f>
        <v>0</v>
      </c>
    </row>
    <row r="51" spans="1:36" ht="16.5" customHeight="1">
      <c r="A51" s="671" t="s">
        <v>1108</v>
      </c>
      <c r="B51" s="671"/>
      <c r="C51" s="361">
        <f>+'Exhibit F'!D46</f>
        <v>72.7</v>
      </c>
      <c r="D51" s="615"/>
      <c r="E51" s="361">
        <f>+'Exhibit F'!F46</f>
        <v>52</v>
      </c>
      <c r="F51" s="615"/>
      <c r="G51" s="361">
        <f>+'Exhibit F'!H46</f>
        <v>147.30000000000001</v>
      </c>
      <c r="H51" s="522"/>
      <c r="I51" s="361">
        <f>+'Exhibit F'!J46</f>
        <v>147.69999999999999</v>
      </c>
      <c r="J51" s="522"/>
      <c r="K51" s="361">
        <f>+'Exhibit F'!L46</f>
        <v>55.800000000000011</v>
      </c>
      <c r="L51" s="522"/>
      <c r="M51" s="361">
        <f>+'Exhibit F'!N46</f>
        <v>91.299999999999955</v>
      </c>
      <c r="N51" s="225"/>
      <c r="O51" s="3325">
        <f>+'Exhibit F'!P46</f>
        <v>135.09999999999997</v>
      </c>
      <c r="P51" s="225"/>
      <c r="Q51" s="361">
        <f>+'Exhibit F'!R46</f>
        <v>131.49999999999994</v>
      </c>
      <c r="R51" s="225"/>
      <c r="S51" s="361">
        <f>+'Exhibit F'!T46</f>
        <v>123.10000000000008</v>
      </c>
      <c r="T51" s="225"/>
      <c r="U51" s="361">
        <f>+'Exhibit F'!V46</f>
        <v>293.50000000000011</v>
      </c>
      <c r="V51" s="225"/>
      <c r="W51" s="361"/>
      <c r="X51" s="225"/>
      <c r="Y51" s="361"/>
      <c r="Z51" s="225"/>
      <c r="AA51" s="960"/>
      <c r="AB51" s="1636">
        <f t="shared" si="7"/>
        <v>1250</v>
      </c>
      <c r="AC51" s="3123"/>
      <c r="AD51" s="3324"/>
      <c r="AE51" s="3325">
        <f>+'Exhibit F'!AF46</f>
        <v>907</v>
      </c>
      <c r="AF51" s="3123"/>
      <c r="AG51" s="3123"/>
      <c r="AH51" s="895">
        <f t="shared" si="8"/>
        <v>343</v>
      </c>
      <c r="AI51" s="115"/>
      <c r="AJ51" s="1725">
        <f t="shared" ref="AJ51:AJ56" si="9">ROUND(IF(AE51=0,0,AH51/ABS(AE51)),3)</f>
        <v>0.378</v>
      </c>
    </row>
    <row r="52" spans="1:36" ht="16.5" customHeight="1">
      <c r="A52" s="671" t="s">
        <v>1109</v>
      </c>
      <c r="B52" s="671"/>
      <c r="C52" s="361">
        <f>+'Exhibit F'!D47</f>
        <v>0.7</v>
      </c>
      <c r="D52" s="615"/>
      <c r="E52" s="361">
        <f>+'Exhibit F'!F47</f>
        <v>0.20000000000000007</v>
      </c>
      <c r="F52" s="615"/>
      <c r="G52" s="361">
        <f>+'Exhibit F'!H47</f>
        <v>0.79999999999999993</v>
      </c>
      <c r="H52" s="522"/>
      <c r="I52" s="361">
        <f>+'Exhibit F'!J47</f>
        <v>0.99999999999999989</v>
      </c>
      <c r="J52" s="522"/>
      <c r="K52" s="361">
        <f>+'Exhibit F'!L47</f>
        <v>1.3999999999999995</v>
      </c>
      <c r="L52" s="522"/>
      <c r="M52" s="361">
        <f>+'Exhibit F'!N47</f>
        <v>0.70000000000000018</v>
      </c>
      <c r="N52" s="225"/>
      <c r="O52" s="3325">
        <f>+'Exhibit F'!P47</f>
        <v>1.6000000000000005</v>
      </c>
      <c r="P52" s="225"/>
      <c r="Q52" s="361">
        <f>+'Exhibit F'!R47</f>
        <v>0.79999999999999982</v>
      </c>
      <c r="R52" s="225"/>
      <c r="S52" s="361">
        <f>+'Exhibit F'!T47</f>
        <v>0.89999999999999947</v>
      </c>
      <c r="T52" s="225"/>
      <c r="U52" s="361">
        <f>+'Exhibit F'!V47</f>
        <v>0.59999999999999964</v>
      </c>
      <c r="V52" s="225"/>
      <c r="W52" s="361"/>
      <c r="X52" s="225"/>
      <c r="Y52" s="361"/>
      <c r="Z52" s="225"/>
      <c r="AA52" s="960"/>
      <c r="AB52" s="1636">
        <f t="shared" si="7"/>
        <v>8.6999999999999993</v>
      </c>
      <c r="AC52" s="3123"/>
      <c r="AD52" s="3324"/>
      <c r="AE52" s="3325">
        <f>+'Exhibit F'!AF47</f>
        <v>12.9</v>
      </c>
      <c r="AF52" s="3123"/>
      <c r="AG52" s="3123"/>
      <c r="AH52" s="895">
        <f t="shared" si="8"/>
        <v>-4.2</v>
      </c>
      <c r="AI52" s="115"/>
      <c r="AJ52" s="1725">
        <f t="shared" si="9"/>
        <v>-0.32600000000000001</v>
      </c>
    </row>
    <row r="53" spans="1:36" ht="16.5" customHeight="1">
      <c r="A53" s="671" t="s">
        <v>1110</v>
      </c>
      <c r="B53" s="671"/>
      <c r="C53" s="361">
        <f>+'Exhibit F'!D48+'Exhibit H'!B22+'Exhibit I'!E30</f>
        <v>57.2</v>
      </c>
      <c r="D53" s="615"/>
      <c r="E53" s="361">
        <f>+'Exhibit F'!F48+'Exhibit H'!D22+'Exhibit I'!G30</f>
        <v>48.399999999999991</v>
      </c>
      <c r="F53" s="615"/>
      <c r="G53" s="361">
        <f>+'Exhibit F'!H48+'Exhibit H'!F22+'Exhibit I'!I30</f>
        <v>49.800000000000004</v>
      </c>
      <c r="H53" s="522"/>
      <c r="I53" s="3325">
        <f>+'Exhibit F'!J48+'Exhibit H'!H22+'Exhibit I'!K30</f>
        <v>64.90000000000002</v>
      </c>
      <c r="J53" s="522"/>
      <c r="K53" s="361">
        <f>+'Exhibit F'!L48+'Exhibit H'!J22+'Exhibit I'!M30</f>
        <v>68.3</v>
      </c>
      <c r="L53" s="522"/>
      <c r="M53" s="361">
        <f>+'Exhibit F'!N48+'Exhibit H'!L22+'Exhibit I'!O30</f>
        <v>82.200000000000017</v>
      </c>
      <c r="N53" s="225"/>
      <c r="O53" s="3325">
        <f>+'Exhibit F'!P48+'Exhibit H'!N22+'Exhibit I'!Q30</f>
        <v>77.800000000000011</v>
      </c>
      <c r="P53" s="225"/>
      <c r="Q53" s="361">
        <f>+'Exhibit F'!R48+'Exhibit H'!P22+'Exhibit I'!S30</f>
        <v>90.799999999999983</v>
      </c>
      <c r="R53" s="225"/>
      <c r="S53" s="361">
        <f>+'Exhibit F'!T48+'Exhibit H'!R22+'Exhibit I'!U30</f>
        <v>107.10000000000004</v>
      </c>
      <c r="T53" s="225"/>
      <c r="U53" s="361">
        <f>+'Exhibit F'!V48+'Exhibit H'!T22+'Exhibit I'!W30</f>
        <v>122.79999999999997</v>
      </c>
      <c r="V53" s="225"/>
      <c r="W53" s="361"/>
      <c r="X53" s="225"/>
      <c r="Y53" s="361"/>
      <c r="Z53" s="225"/>
      <c r="AA53" s="960"/>
      <c r="AB53" s="1636">
        <f t="shared" si="7"/>
        <v>769.3</v>
      </c>
      <c r="AC53" s="3123"/>
      <c r="AD53" s="3324"/>
      <c r="AE53" s="3325">
        <f>+'Exhibit F'!AF48+'Exhibit H'!AD22+'Exhibit I'!AI30</f>
        <v>952</v>
      </c>
      <c r="AF53" s="3123"/>
      <c r="AG53" s="3123"/>
      <c r="AH53" s="895">
        <f t="shared" si="8"/>
        <v>-182.7</v>
      </c>
      <c r="AI53" s="115"/>
      <c r="AJ53" s="1725">
        <f t="shared" si="9"/>
        <v>-0.192</v>
      </c>
    </row>
    <row r="54" spans="1:36" ht="16.5" customHeight="1">
      <c r="A54" s="671" t="s">
        <v>1111</v>
      </c>
      <c r="B54" s="671"/>
      <c r="C54" s="361">
        <f>+'Exhibit F'!D49</f>
        <v>0.1</v>
      </c>
      <c r="D54" s="615"/>
      <c r="E54" s="361">
        <f>+'Exhibit F'!F49</f>
        <v>0</v>
      </c>
      <c r="F54" s="615"/>
      <c r="G54" s="361">
        <f>+'Exhibit F'!H49</f>
        <v>0</v>
      </c>
      <c r="H54" s="522"/>
      <c r="I54" s="361">
        <f>+'Exhibit F'!J49</f>
        <v>0</v>
      </c>
      <c r="J54" s="522"/>
      <c r="K54" s="361">
        <f>+'Exhibit F'!L49</f>
        <v>0</v>
      </c>
      <c r="L54" s="522"/>
      <c r="M54" s="361">
        <f>+'Exhibit F'!N49</f>
        <v>0</v>
      </c>
      <c r="N54" s="225"/>
      <c r="O54" s="3325">
        <f>+'Exhibit F'!P49</f>
        <v>0</v>
      </c>
      <c r="P54" s="225"/>
      <c r="Q54" s="361">
        <f>+'Exhibit F'!R49</f>
        <v>0</v>
      </c>
      <c r="R54" s="225"/>
      <c r="S54" s="361">
        <f>+'Exhibit F'!T49</f>
        <v>0</v>
      </c>
      <c r="T54" s="225"/>
      <c r="U54" s="361">
        <f>+'Exhibit F'!V49</f>
        <v>0</v>
      </c>
      <c r="V54" s="225"/>
      <c r="W54" s="361"/>
      <c r="X54" s="225"/>
      <c r="Y54" s="361"/>
      <c r="Z54" s="225"/>
      <c r="AA54" s="960"/>
      <c r="AB54" s="1636">
        <f t="shared" si="7"/>
        <v>0.1</v>
      </c>
      <c r="AC54" s="3123"/>
      <c r="AD54" s="3324"/>
      <c r="AE54" s="3325">
        <f>+'Exhibit F'!AF49</f>
        <v>1.9</v>
      </c>
      <c r="AF54" s="3123"/>
      <c r="AG54" s="3123"/>
      <c r="AH54" s="895">
        <f t="shared" si="8"/>
        <v>-1.8</v>
      </c>
      <c r="AI54" s="115"/>
      <c r="AJ54" s="1725">
        <f>ROUND(IF(AE54=0,0,AH54/ABS(AE54)),3)</f>
        <v>-0.94699999999999995</v>
      </c>
    </row>
    <row r="55" spans="1:36" ht="16.5" customHeight="1">
      <c r="A55" s="2768" t="s">
        <v>1370</v>
      </c>
      <c r="B55" s="671"/>
      <c r="C55" s="361">
        <f>+'Exhibit F'!D50+'Exhibit H'!B23</f>
        <v>0.2</v>
      </c>
      <c r="D55" s="615"/>
      <c r="E55" s="361">
        <f>+'Exhibit F'!F50+'Exhibit H'!D23</f>
        <v>-0.2</v>
      </c>
      <c r="F55" s="615"/>
      <c r="G55" s="361">
        <f>+'Exhibit F'!H50+'Exhibit H'!F23</f>
        <v>0.2</v>
      </c>
      <c r="H55" s="522"/>
      <c r="I55" s="361">
        <f>+'Exhibit F'!J50+'Exhibit H'!H23</f>
        <v>0.2</v>
      </c>
      <c r="J55" s="522"/>
      <c r="K55" s="361">
        <f>+'Exhibit F'!L50+'Exhibit H'!J23</f>
        <v>0.19999999999999996</v>
      </c>
      <c r="L55" s="1533"/>
      <c r="M55" s="361">
        <f>+'Exhibit F'!N50+'Exhibit H'!L23</f>
        <v>0.20000000000000012</v>
      </c>
      <c r="N55" s="1533"/>
      <c r="O55" s="3325">
        <f>+'Exhibit F'!P50+'Exhibit H'!N23</f>
        <v>0.3</v>
      </c>
      <c r="P55" s="1533"/>
      <c r="Q55" s="361">
        <f>+'Exhibit F'!R50+'Exhibit H'!P23</f>
        <v>0.19999999999999993</v>
      </c>
      <c r="R55" s="1533"/>
      <c r="S55" s="361">
        <f>+'Exhibit F'!T50+'Exhibit H'!R23</f>
        <v>0.8</v>
      </c>
      <c r="T55" s="1533"/>
      <c r="U55" s="361">
        <f>+'Exhibit F'!V50+'Exhibit H'!T23</f>
        <v>0.69999999999999918</v>
      </c>
      <c r="V55" s="1533"/>
      <c r="W55" s="361"/>
      <c r="X55" s="1533"/>
      <c r="Y55" s="361"/>
      <c r="Z55" s="1533"/>
      <c r="AA55" s="960"/>
      <c r="AB55" s="1636">
        <f t="shared" ref="AB55" si="10">ROUND(SUM(C55:Y55),1)</f>
        <v>2.8</v>
      </c>
      <c r="AC55" s="3123"/>
      <c r="AD55" s="3324"/>
      <c r="AE55" s="3325">
        <f>+'Exhibit F'!AF50+1</f>
        <v>1.9</v>
      </c>
      <c r="AF55" s="3123"/>
      <c r="AG55" s="3123"/>
      <c r="AH55" s="895">
        <f>ROUND(SUM(+AB55-AE55),1)</f>
        <v>0.9</v>
      </c>
      <c r="AI55" s="3326"/>
      <c r="AJ55" s="1812">
        <f>ROUND(IF(AE55=0,1,AH55/ABS(AE55)),3)</f>
        <v>0.47399999999999998</v>
      </c>
    </row>
    <row r="56" spans="1:36" ht="16.5" customHeight="1">
      <c r="A56" s="310" t="s">
        <v>1105</v>
      </c>
      <c r="B56" s="671"/>
      <c r="C56" s="886">
        <f>ROUND(SUM(C50:C55),1)</f>
        <v>130.9</v>
      </c>
      <c r="D56" s="26"/>
      <c r="E56" s="886">
        <f>ROUND(SUM(E50:E55),1)</f>
        <v>100.4</v>
      </c>
      <c r="F56" s="26"/>
      <c r="G56" s="886">
        <f>ROUND(SUM(G50:G55),1)</f>
        <v>198.1</v>
      </c>
      <c r="H56" s="225"/>
      <c r="I56" s="886">
        <f>ROUND(SUM(I50:I55),1)</f>
        <v>213.8</v>
      </c>
      <c r="J56" s="225"/>
      <c r="K56" s="886">
        <f>ROUND(SUM(K50:K55),1)</f>
        <v>125.7</v>
      </c>
      <c r="L56" s="225"/>
      <c r="M56" s="886">
        <f>ROUND(SUM(M50:M55),1)</f>
        <v>174.4</v>
      </c>
      <c r="N56" s="225"/>
      <c r="O56" s="3129">
        <f>ROUND(SUM(O50:O55),1)</f>
        <v>214.8</v>
      </c>
      <c r="P56" s="225"/>
      <c r="Q56" s="3129">
        <f>ROUND(SUM(Q50:Q55),1)</f>
        <v>223.3</v>
      </c>
      <c r="R56" s="225"/>
      <c r="S56" s="886">
        <f>ROUND(SUM(S50:S55),1)</f>
        <v>231.9</v>
      </c>
      <c r="T56" s="225"/>
      <c r="U56" s="886">
        <f>ROUND(SUM(U50:U55),1)</f>
        <v>417.6</v>
      </c>
      <c r="V56" s="225"/>
      <c r="W56" s="886">
        <f>ROUND(SUM(W50:W55),1)</f>
        <v>0</v>
      </c>
      <c r="X56" s="225"/>
      <c r="Y56" s="886">
        <f>ROUND(SUM(Y50:Y55),1)</f>
        <v>0</v>
      </c>
      <c r="Z56" s="225"/>
      <c r="AA56" s="960"/>
      <c r="AB56" s="3129">
        <f>ROUND(SUM(AB50:AB55),1)</f>
        <v>2030.9</v>
      </c>
      <c r="AC56" s="3123"/>
      <c r="AD56" s="3324"/>
      <c r="AE56" s="3129">
        <f>ROUND(SUM(AE50:AE55),1)</f>
        <v>1875.7</v>
      </c>
      <c r="AF56" s="3123"/>
      <c r="AG56" s="3123"/>
      <c r="AH56" s="3129">
        <f>ROUND(SUM(AH50:AH55),1)</f>
        <v>155.19999999999999</v>
      </c>
      <c r="AI56" s="115"/>
      <c r="AJ56" s="3330">
        <f t="shared" si="9"/>
        <v>8.3000000000000004E-2</v>
      </c>
    </row>
    <row r="57" spans="1:36" ht="16.5" customHeight="1">
      <c r="A57" s="310"/>
      <c r="B57" s="671"/>
      <c r="C57" s="27"/>
      <c r="D57" s="27"/>
      <c r="E57" s="27"/>
      <c r="F57" s="27"/>
      <c r="G57" s="27"/>
      <c r="H57" s="1075"/>
      <c r="I57" s="27"/>
      <c r="J57" s="1075"/>
      <c r="K57" s="27"/>
      <c r="L57" s="1075"/>
      <c r="M57" s="27"/>
      <c r="N57" s="1075"/>
      <c r="O57" s="3410"/>
      <c r="P57" s="1075"/>
      <c r="Q57" s="3410"/>
      <c r="R57" s="1075"/>
      <c r="S57" s="27"/>
      <c r="T57" s="1075"/>
      <c r="U57" s="27"/>
      <c r="V57" s="1075"/>
      <c r="W57" s="27"/>
      <c r="X57" s="1075"/>
      <c r="Y57" s="27"/>
      <c r="Z57" s="225"/>
      <c r="AA57" s="521"/>
      <c r="AB57" s="3130"/>
      <c r="AC57" s="3123"/>
      <c r="AD57" s="3324"/>
      <c r="AE57" s="3130"/>
      <c r="AF57" s="3123"/>
      <c r="AG57" s="3123"/>
      <c r="AH57" s="649"/>
      <c r="AI57" s="3123"/>
      <c r="AJ57" s="649"/>
    </row>
    <row r="58" spans="1:36" ht="16.5" customHeight="1">
      <c r="A58" s="310" t="s">
        <v>1106</v>
      </c>
      <c r="B58" s="30"/>
      <c r="C58" s="28">
        <f>ROUND(SUM(C56+C48+C41+C30),1)</f>
        <v>3658</v>
      </c>
      <c r="D58" s="66"/>
      <c r="E58" s="28">
        <f>ROUND(SUM(E56+E48+E41+E30),1)</f>
        <v>3118.6</v>
      </c>
      <c r="F58" s="66"/>
      <c r="G58" s="28">
        <f>ROUND(SUM(G56+G48+G41+G30),1)</f>
        <v>7149.2</v>
      </c>
      <c r="H58" s="66"/>
      <c r="I58" s="28">
        <f>ROUND(SUM(I56+I48+I41+I30),1)</f>
        <v>12482.4</v>
      </c>
      <c r="J58" s="66"/>
      <c r="K58" s="28">
        <f>ROUND(SUM(K56+K48+K41+K30),1)</f>
        <v>4342.3</v>
      </c>
      <c r="L58" s="66"/>
      <c r="M58" s="28">
        <f>ROUND(SUM(M56+M48+M41+M30),1)</f>
        <v>8802.2999999999993</v>
      </c>
      <c r="N58" s="66"/>
      <c r="O58" s="3411">
        <f>ROUND(SUM(O56+O48+O41+O30),1)</f>
        <v>4287.1000000000004</v>
      </c>
      <c r="P58" s="66"/>
      <c r="Q58" s="3411">
        <f>ROUND(SUM(Q56+Q48+Q41+Q30),1)</f>
        <v>4307.7</v>
      </c>
      <c r="R58" s="66"/>
      <c r="S58" s="28">
        <f>ROUND(SUM(S56+S48+S41+S30),1)</f>
        <v>8438.5</v>
      </c>
      <c r="T58" s="66"/>
      <c r="U58" s="28">
        <f>ROUND(SUM(U56+U48+U41+U30),1)</f>
        <v>11437.4</v>
      </c>
      <c r="V58" s="66"/>
      <c r="W58" s="28">
        <f>ROUND(SUM(W56+W48+W41+W30),1)</f>
        <v>0</v>
      </c>
      <c r="X58" s="165"/>
      <c r="Y58" s="28">
        <f>ROUND(SUM(Y56+Y48+Y41+Y30),1)</f>
        <v>0</v>
      </c>
      <c r="Z58" s="165"/>
      <c r="AA58" s="45"/>
      <c r="AB58" s="313">
        <f>ROUND(+AB56+AB48+AB41+AB30,1)</f>
        <v>68023.5</v>
      </c>
      <c r="AC58" s="118"/>
      <c r="AD58" s="678"/>
      <c r="AE58" s="313">
        <f>ROUND(+AE56+AE48+AE41+AE30,1)</f>
        <v>70001.5</v>
      </c>
      <c r="AF58" s="67"/>
      <c r="AG58" s="3331"/>
      <c r="AH58" s="313">
        <f>ROUND(+AH56+AH48+AH41+AH30,1)</f>
        <v>-1978</v>
      </c>
      <c r="AI58" s="1024"/>
      <c r="AJ58" s="3332">
        <f>ROUND(IF(AE58=0,0,AH58/ABS(AE58)),3)</f>
        <v>-2.8000000000000001E-2</v>
      </c>
    </row>
    <row r="59" spans="1:36" ht="16.5" customHeight="1">
      <c r="A59" s="225"/>
      <c r="B59" s="225"/>
      <c r="C59" s="522"/>
      <c r="D59" s="522"/>
      <c r="E59" s="522"/>
      <c r="F59" s="522"/>
      <c r="G59" s="522"/>
      <c r="H59" s="522"/>
      <c r="I59" s="522"/>
      <c r="J59" s="522"/>
      <c r="K59" s="522"/>
      <c r="L59" s="522"/>
      <c r="M59" s="522"/>
      <c r="N59" s="522"/>
      <c r="O59" s="1636"/>
      <c r="P59" s="522"/>
      <c r="Q59" s="1636"/>
      <c r="R59" s="522"/>
      <c r="S59" s="522"/>
      <c r="T59" s="522"/>
      <c r="U59" s="522"/>
      <c r="V59" s="522"/>
      <c r="W59" s="522"/>
      <c r="X59" s="522"/>
      <c r="Y59" s="522"/>
      <c r="Z59" s="522"/>
      <c r="AA59" s="523"/>
      <c r="AB59" s="1636"/>
      <c r="AC59" s="1636"/>
      <c r="AD59" s="3333"/>
      <c r="AE59" s="1636"/>
      <c r="AF59" s="1636"/>
      <c r="AG59" s="1636"/>
      <c r="AH59" s="1636"/>
      <c r="AI59" s="3123"/>
      <c r="AJ59" s="3334"/>
    </row>
    <row r="60" spans="1:36" ht="16.5" customHeight="1">
      <c r="A60" s="261" t="s">
        <v>1014</v>
      </c>
      <c r="B60" s="890"/>
      <c r="C60" s="522"/>
      <c r="D60" s="522"/>
      <c r="E60" s="522"/>
      <c r="F60" s="522"/>
      <c r="G60" s="522" t="s">
        <v>15</v>
      </c>
      <c r="H60" s="522"/>
      <c r="I60" s="522" t="s">
        <v>15</v>
      </c>
      <c r="J60" s="522"/>
      <c r="K60" s="522" t="s">
        <v>15</v>
      </c>
      <c r="L60" s="522"/>
      <c r="M60" s="522"/>
      <c r="N60" s="522"/>
      <c r="O60" s="1636"/>
      <c r="P60" s="522"/>
      <c r="Q60" s="1636"/>
      <c r="R60" s="522"/>
      <c r="S60" s="522"/>
      <c r="T60" s="522"/>
      <c r="U60" s="522"/>
      <c r="V60" s="522"/>
      <c r="W60" s="522"/>
      <c r="X60" s="522"/>
      <c r="Y60" s="522"/>
      <c r="Z60" s="522"/>
      <c r="AA60" s="523"/>
      <c r="AB60" s="1636"/>
      <c r="AC60" s="1636"/>
      <c r="AD60" s="3333"/>
      <c r="AE60" s="1636"/>
      <c r="AF60" s="1636"/>
      <c r="AG60" s="1636"/>
      <c r="AH60" s="1636"/>
      <c r="AI60" s="3123"/>
      <c r="AJ60" s="3334"/>
    </row>
    <row r="61" spans="1:36" ht="16.5" customHeight="1">
      <c r="A61" s="892" t="s">
        <v>1133</v>
      </c>
      <c r="B61" s="890"/>
      <c r="C61" s="522"/>
      <c r="D61" s="522"/>
      <c r="E61" s="522"/>
      <c r="F61" s="522"/>
      <c r="G61" s="522"/>
      <c r="H61" s="522"/>
      <c r="I61" s="522"/>
      <c r="J61" s="522"/>
      <c r="K61" s="522"/>
      <c r="L61" s="522"/>
      <c r="M61" s="522"/>
      <c r="N61" s="522"/>
      <c r="O61" s="1636"/>
      <c r="P61" s="522"/>
      <c r="Q61" s="1636"/>
      <c r="R61" s="522"/>
      <c r="S61" s="522"/>
      <c r="T61" s="522"/>
      <c r="U61" s="522"/>
      <c r="V61" s="522"/>
      <c r="W61" s="522"/>
      <c r="X61" s="522"/>
      <c r="Y61" s="522"/>
      <c r="Z61" s="522"/>
      <c r="AA61" s="523"/>
      <c r="AB61" s="1636"/>
      <c r="AC61" s="1636"/>
      <c r="AD61" s="3333"/>
      <c r="AE61" s="1636"/>
      <c r="AF61" s="1636"/>
      <c r="AG61" s="1636"/>
      <c r="AH61" s="1636"/>
      <c r="AI61" s="3123"/>
      <c r="AJ61" s="3334"/>
    </row>
    <row r="62" spans="1:36" ht="16.5" customHeight="1">
      <c r="A62" s="892" t="s">
        <v>1012</v>
      </c>
      <c r="B62" s="892"/>
      <c r="C62" s="522">
        <f>+'Exhibit F'!D57+'Exhibit G'!D41</f>
        <v>1.6</v>
      </c>
      <c r="D62" s="522"/>
      <c r="E62" s="522">
        <f>+'Exhibit F'!F57+'Exhibit G'!F41</f>
        <v>0.69999999999999973</v>
      </c>
      <c r="F62" s="522"/>
      <c r="G62" s="522">
        <f>+'Exhibit F'!H57+'Exhibit G'!H41</f>
        <v>0.80000000000000027</v>
      </c>
      <c r="H62" s="522"/>
      <c r="I62" s="522">
        <f>+'Exhibit F'!J57+'Exhibit G'!J41</f>
        <v>0.89999999999999991</v>
      </c>
      <c r="J62" s="522"/>
      <c r="K62" s="522">
        <f>+'Exhibit F'!L57+'Exhibit G'!L41</f>
        <v>25.900000000000002</v>
      </c>
      <c r="L62" s="522"/>
      <c r="M62" s="522">
        <f>+'Exhibit F'!N57+'Exhibit G'!N41</f>
        <v>85.999999999999986</v>
      </c>
      <c r="N62" s="522"/>
      <c r="O62" s="1636">
        <f>+'Exhibit F'!P57+'Exhibit G'!P41</f>
        <v>11.400000000000023</v>
      </c>
      <c r="P62" s="522"/>
      <c r="Q62" s="522">
        <f>+'Exhibit F'!R57+'Exhibit G'!R41</f>
        <v>215.89999999999998</v>
      </c>
      <c r="R62" s="522"/>
      <c r="S62" s="522">
        <f>+'Exhibit F'!T57+'Exhibit G'!T41</f>
        <v>31.40000000000002</v>
      </c>
      <c r="T62" s="522"/>
      <c r="U62" s="522">
        <f>+'Exhibit F'!V57+'Exhibit G'!V41</f>
        <v>6.0000000000000533</v>
      </c>
      <c r="V62" s="522"/>
      <c r="W62" s="522"/>
      <c r="X62" s="522"/>
      <c r="Y62" s="522"/>
      <c r="Z62" s="522"/>
      <c r="AA62" s="523"/>
      <c r="AB62" s="1636">
        <f t="shared" ref="AB62:AB102" si="11">ROUND(SUM(C62:Y62),1)</f>
        <v>380.6</v>
      </c>
      <c r="AC62" s="1636"/>
      <c r="AD62" s="3333"/>
      <c r="AE62" s="1636">
        <f>+'Exhibit F'!AF57+'Exhibit G'!AG41</f>
        <v>296</v>
      </c>
      <c r="AF62" s="1636"/>
      <c r="AG62" s="1636"/>
      <c r="AH62" s="1636">
        <f t="shared" ref="AH62:AH102" si="12">ROUND(SUM(AB62-AE62),1)</f>
        <v>84.6</v>
      </c>
      <c r="AI62" s="3123"/>
      <c r="AJ62" s="1725">
        <f>ROUND(IF(AE62=0,0,AH62/ABS(AE62)),3)</f>
        <v>0.28599999999999998</v>
      </c>
    </row>
    <row r="63" spans="1:36" ht="16.5" customHeight="1">
      <c r="A63" s="892" t="s">
        <v>1013</v>
      </c>
      <c r="B63" s="892"/>
      <c r="C63" s="522">
        <f>+'Exhibit F'!D58+'Exhibit I'!E37</f>
        <v>0.7</v>
      </c>
      <c r="D63" s="522"/>
      <c r="E63" s="522">
        <f>+'Exhibit F'!F58+'Exhibit I'!G37</f>
        <v>0.30000000000000004</v>
      </c>
      <c r="F63" s="522"/>
      <c r="G63" s="522">
        <f>+'Exhibit F'!H58+'Exhibit I'!I37</f>
        <v>20.6</v>
      </c>
      <c r="H63" s="522"/>
      <c r="I63" s="522">
        <f>+'Exhibit F'!J58+'Exhibit I'!K37</f>
        <v>18.399999999999999</v>
      </c>
      <c r="J63" s="522"/>
      <c r="K63" s="522">
        <f>+'Exhibit F'!L58+'Exhibit I'!M37</f>
        <v>0.1</v>
      </c>
      <c r="L63" s="522"/>
      <c r="M63" s="522">
        <f>+'Exhibit F'!N58+'Exhibit I'!O37</f>
        <v>43.199999999999996</v>
      </c>
      <c r="N63" s="522"/>
      <c r="O63" s="1636">
        <f>+'Exhibit F'!P58+'Exhibit I'!Q37</f>
        <v>2.1000000000000014</v>
      </c>
      <c r="P63" s="522"/>
      <c r="Q63" s="522">
        <f>+'Exhibit F'!R58+'Exhibit I'!S37</f>
        <v>0.70000000000000284</v>
      </c>
      <c r="R63" s="522"/>
      <c r="S63" s="522">
        <f>+'Exhibit F'!T58+'Exhibit I'!U37</f>
        <v>21.400000000000006</v>
      </c>
      <c r="T63" s="522"/>
      <c r="U63" s="522">
        <f>+'Exhibit F'!V58+'Exhibit I'!W37</f>
        <v>0.79999999999999716</v>
      </c>
      <c r="V63" s="522"/>
      <c r="W63" s="522"/>
      <c r="X63" s="522"/>
      <c r="Y63" s="522"/>
      <c r="Z63" s="522"/>
      <c r="AA63" s="523"/>
      <c r="AB63" s="1636">
        <f t="shared" si="11"/>
        <v>108.3</v>
      </c>
      <c r="AC63" s="1636"/>
      <c r="AD63" s="3333"/>
      <c r="AE63" s="1636">
        <f>+'Exhibit F'!AF58+'Exhibit I'!AI37</f>
        <v>95.6</v>
      </c>
      <c r="AF63" s="1636"/>
      <c r="AG63" s="1636"/>
      <c r="AH63" s="1636">
        <f t="shared" si="12"/>
        <v>12.7</v>
      </c>
      <c r="AI63" s="3123"/>
      <c r="AJ63" s="1725">
        <f>ROUND(IF(AE63=0,0,AH63/ABS(AE63)),3)</f>
        <v>0.13300000000000001</v>
      </c>
    </row>
    <row r="64" spans="1:36" ht="16.5" customHeight="1">
      <c r="A64" s="892" t="s">
        <v>1134</v>
      </c>
      <c r="B64" s="892"/>
      <c r="C64" s="522"/>
      <c r="D64" s="522"/>
      <c r="E64" s="522"/>
      <c r="F64" s="522"/>
      <c r="G64" s="522"/>
      <c r="H64" s="522"/>
      <c r="I64" s="522"/>
      <c r="J64" s="522"/>
      <c r="K64" s="522"/>
      <c r="L64" s="522"/>
      <c r="M64" s="522"/>
      <c r="N64" s="522"/>
      <c r="O64" s="1636"/>
      <c r="P64" s="522"/>
      <c r="Q64" s="522"/>
      <c r="R64" s="522"/>
      <c r="S64" s="522"/>
      <c r="T64" s="522"/>
      <c r="U64" s="522"/>
      <c r="V64" s="522"/>
      <c r="W64" s="522"/>
      <c r="X64" s="522"/>
      <c r="Y64" s="522"/>
      <c r="Z64" s="522"/>
      <c r="AA64" s="523"/>
      <c r="AB64" s="1636"/>
      <c r="AC64" s="1636"/>
      <c r="AD64" s="3333"/>
      <c r="AE64" s="1636"/>
      <c r="AF64" s="1636"/>
      <c r="AG64" s="1636"/>
      <c r="AH64" s="1636"/>
      <c r="AI64" s="3123"/>
      <c r="AJ64" s="1725"/>
    </row>
    <row r="65" spans="1:36" ht="16.5" customHeight="1">
      <c r="A65" s="892" t="s">
        <v>1017</v>
      </c>
      <c r="B65" s="892"/>
      <c r="C65" s="522">
        <f>+'Exhibit F'!D60+'Exhibit G'!D43+'Exhibit I'!E39</f>
        <v>54.6</v>
      </c>
      <c r="D65" s="522"/>
      <c r="E65" s="522">
        <f>+'Exhibit F'!F60+'Exhibit G'!F43+'Exhibit I'!G39</f>
        <v>66</v>
      </c>
      <c r="F65" s="522"/>
      <c r="G65" s="522">
        <f>+'Exhibit F'!H60+'Exhibit G'!H43+'Exhibit I'!I39</f>
        <v>88</v>
      </c>
      <c r="H65" s="522"/>
      <c r="I65" s="522">
        <f>+'Exhibit F'!J60+'Exhibit G'!J43+'Exhibit I'!K39</f>
        <v>78.499999999999986</v>
      </c>
      <c r="J65" s="522"/>
      <c r="K65" s="522">
        <f>+'Exhibit F'!L60+'Exhibit G'!L43+'Exhibit I'!M39</f>
        <v>48.59999999999998</v>
      </c>
      <c r="L65" s="522"/>
      <c r="M65" s="522">
        <f>+'Exhibit F'!N60+'Exhibit G'!N43+'Exhibit I'!O39</f>
        <v>72.700000000000045</v>
      </c>
      <c r="N65" s="522"/>
      <c r="O65" s="1636">
        <f>+'Exhibit F'!P60+'Exhibit G'!P43+'Exhibit I'!Q39</f>
        <v>97.600000000000009</v>
      </c>
      <c r="P65" s="522"/>
      <c r="Q65" s="522">
        <f>+'Exhibit F'!R60+'Exhibit G'!R43+'Exhibit I'!S39</f>
        <v>19</v>
      </c>
      <c r="R65" s="522"/>
      <c r="S65" s="522">
        <f>+'Exhibit F'!T60+'Exhibit G'!T43+'Exhibit I'!U39</f>
        <v>97.399999999999977</v>
      </c>
      <c r="T65" s="522"/>
      <c r="U65" s="522">
        <f>+'Exhibit F'!V60+'Exhibit G'!V43+'Exhibit I'!W39</f>
        <v>63.599999999999959</v>
      </c>
      <c r="V65" s="522"/>
      <c r="W65" s="522"/>
      <c r="X65" s="522"/>
      <c r="Y65" s="522"/>
      <c r="Z65" s="522"/>
      <c r="AA65" s="523"/>
      <c r="AB65" s="1636">
        <f>ROUND(SUM(C65:Y65),1)</f>
        <v>686</v>
      </c>
      <c r="AC65" s="1636"/>
      <c r="AD65" s="3333"/>
      <c r="AE65" s="1636">
        <f>+'Exhibit F'!AF60+'Exhibit G'!AG43+'Exhibit I'!AI39</f>
        <v>770.3</v>
      </c>
      <c r="AF65" s="1636"/>
      <c r="AG65" s="1636"/>
      <c r="AH65" s="1636">
        <f t="shared" si="12"/>
        <v>-84.3</v>
      </c>
      <c r="AI65" s="3123"/>
      <c r="AJ65" s="1725">
        <f>ROUND(IF(AE65=0,0,AH65/ABS(AE65)),3)</f>
        <v>-0.109</v>
      </c>
    </row>
    <row r="66" spans="1:36" ht="16.5" customHeight="1">
      <c r="A66" s="892" t="s">
        <v>1018</v>
      </c>
      <c r="B66" s="892"/>
      <c r="C66" s="522">
        <f>+'Exhibit F'!D61+'Exhibit G'!D44</f>
        <v>571.19999999999993</v>
      </c>
      <c r="D66" s="522"/>
      <c r="E66" s="522">
        <f>+'Exhibit F'!F61+'Exhibit G'!F44</f>
        <v>466.80000000000007</v>
      </c>
      <c r="F66" s="522"/>
      <c r="G66" s="522">
        <f>+'Exhibit F'!H61+'Exhibit G'!H44</f>
        <v>506.10000000000008</v>
      </c>
      <c r="H66" s="522"/>
      <c r="I66" s="522">
        <f>+'Exhibit F'!J61+'Exhibit G'!J44</f>
        <v>442.59999999999997</v>
      </c>
      <c r="J66" s="522"/>
      <c r="K66" s="522">
        <f>+'Exhibit F'!L61+'Exhibit G'!L44</f>
        <v>463.5999999999998</v>
      </c>
      <c r="L66" s="522"/>
      <c r="M66" s="522">
        <f>+'Exhibit F'!N61+'Exhibit G'!N44</f>
        <v>520</v>
      </c>
      <c r="N66" s="522"/>
      <c r="O66" s="1636">
        <f>+'Exhibit F'!P61+'Exhibit G'!P44</f>
        <v>509.00000000000006</v>
      </c>
      <c r="P66" s="522"/>
      <c r="Q66" s="522">
        <f>+'Exhibit F'!R61+'Exhibit G'!R44</f>
        <v>477.10000000000019</v>
      </c>
      <c r="R66" s="522"/>
      <c r="S66" s="522">
        <f>+'Exhibit F'!T61+'Exhibit G'!T44</f>
        <v>507.20000000000005</v>
      </c>
      <c r="T66" s="522"/>
      <c r="U66" s="522">
        <f>+'Exhibit F'!V61+'Exhibit G'!V44</f>
        <v>460.99999999999994</v>
      </c>
      <c r="V66" s="522"/>
      <c r="W66" s="522"/>
      <c r="X66" s="522"/>
      <c r="Y66" s="522"/>
      <c r="Z66" s="522"/>
      <c r="AA66" s="523"/>
      <c r="AB66" s="1636">
        <f t="shared" si="11"/>
        <v>4924.6000000000004</v>
      </c>
      <c r="AC66" s="1636"/>
      <c r="AD66" s="3333"/>
      <c r="AE66" s="1636">
        <f>+'Exhibit F'!AF61+'Exhibit G'!AG44+'Exhibit H'!AD30</f>
        <v>5403.5999999999995</v>
      </c>
      <c r="AF66" s="1636"/>
      <c r="AG66" s="1636"/>
      <c r="AH66" s="1636">
        <f t="shared" si="12"/>
        <v>-479</v>
      </c>
      <c r="AI66" s="3123"/>
      <c r="AJ66" s="1725">
        <f>ROUND(IF(AE66=0,0,AH66/ABS(AE66)),3)</f>
        <v>-8.8999999999999996E-2</v>
      </c>
    </row>
    <row r="67" spans="1:36" ht="16.5" customHeight="1">
      <c r="A67" s="892" t="s">
        <v>1019</v>
      </c>
      <c r="B67" s="892"/>
      <c r="C67" s="522">
        <f>+'Exhibit F'!D62+'Exhibit G'!D45</f>
        <v>0.1</v>
      </c>
      <c r="D67" s="522"/>
      <c r="E67" s="522">
        <f>+'Exhibit F'!F62+'Exhibit G'!F45</f>
        <v>0</v>
      </c>
      <c r="F67" s="522"/>
      <c r="G67" s="522">
        <f>+'Exhibit F'!H62+'Exhibit G'!H45</f>
        <v>0.4</v>
      </c>
      <c r="H67" s="522"/>
      <c r="I67" s="522">
        <f>+'Exhibit F'!J62+'Exhibit G'!J45</f>
        <v>4.4000000000000004</v>
      </c>
      <c r="J67" s="522"/>
      <c r="K67" s="522">
        <f>+'Exhibit F'!L62+'Exhibit G'!L45</f>
        <v>0.39999999999999947</v>
      </c>
      <c r="L67" s="522"/>
      <c r="M67" s="522">
        <f>+'Exhibit F'!N62+'Exhibit G'!N45</f>
        <v>45.400000000000006</v>
      </c>
      <c r="N67" s="522"/>
      <c r="O67" s="1636">
        <f>+'Exhibit F'!P62+'Exhibit G'!P45</f>
        <v>-10.100000000000001</v>
      </c>
      <c r="P67" s="522"/>
      <c r="Q67" s="522">
        <f>+'Exhibit F'!R62+'Exhibit G'!R45</f>
        <v>-1.6000000000000014</v>
      </c>
      <c r="R67" s="522"/>
      <c r="S67" s="522">
        <f>+'Exhibit F'!T62+'Exhibit G'!T45</f>
        <v>0.70000000000000284</v>
      </c>
      <c r="T67" s="522"/>
      <c r="U67" s="522">
        <f>+'Exhibit F'!V62+'Exhibit G'!V45</f>
        <v>0</v>
      </c>
      <c r="V67" s="522"/>
      <c r="W67" s="522"/>
      <c r="X67" s="522"/>
      <c r="Y67" s="522"/>
      <c r="Z67" s="522"/>
      <c r="AA67" s="523"/>
      <c r="AB67" s="1636">
        <f t="shared" si="11"/>
        <v>39.700000000000003</v>
      </c>
      <c r="AC67" s="1636"/>
      <c r="AD67" s="3333"/>
      <c r="AE67" s="1636">
        <f>+'Exhibit F'!AF62+'Exhibit G'!AG45</f>
        <v>44</v>
      </c>
      <c r="AF67" s="1636"/>
      <c r="AG67" s="1636"/>
      <c r="AH67" s="1636">
        <f t="shared" si="12"/>
        <v>-4.3</v>
      </c>
      <c r="AI67" s="3123"/>
      <c r="AJ67" s="1725">
        <f>ROUND(IF(AE67=0,0,AH67/ABS(AE67)),3)</f>
        <v>-9.8000000000000004E-2</v>
      </c>
    </row>
    <row r="68" spans="1:36" ht="16.5" customHeight="1">
      <c r="A68" s="892" t="s">
        <v>1020</v>
      </c>
      <c r="B68" s="892"/>
      <c r="C68" s="522">
        <f>+'Exhibit F'!D63+'Exhibit G'!D46</f>
        <v>0</v>
      </c>
      <c r="D68" s="522"/>
      <c r="E68" s="522">
        <f>+'Exhibit F'!F63+'Exhibit G'!F46</f>
        <v>0.1</v>
      </c>
      <c r="F68" s="522"/>
      <c r="G68" s="522">
        <f>+'Exhibit F'!H63+'Exhibit G'!H46</f>
        <v>0</v>
      </c>
      <c r="H68" s="522"/>
      <c r="I68" s="522">
        <f>+'Exhibit F'!J63+'Exhibit G'!J46</f>
        <v>0</v>
      </c>
      <c r="J68" s="522"/>
      <c r="K68" s="522">
        <f>+'Exhibit F'!L63+'Exhibit G'!L46</f>
        <v>0</v>
      </c>
      <c r="L68" s="522"/>
      <c r="M68" s="522">
        <f>+'Exhibit F'!N63+'Exhibit G'!N46</f>
        <v>0</v>
      </c>
      <c r="N68" s="522"/>
      <c r="O68" s="1636">
        <f>+'Exhibit F'!P63+'Exhibit G'!P46</f>
        <v>0</v>
      </c>
      <c r="P68" s="522"/>
      <c r="Q68" s="522">
        <f>+'Exhibit F'!R63+'Exhibit G'!R46</f>
        <v>0.1</v>
      </c>
      <c r="R68" s="522"/>
      <c r="S68" s="522">
        <f>+'Exhibit F'!T63+'Exhibit G'!T46</f>
        <v>0</v>
      </c>
      <c r="T68" s="522"/>
      <c r="U68" s="522">
        <f>+'Exhibit F'!V63+'Exhibit G'!V46</f>
        <v>0</v>
      </c>
      <c r="V68" s="522"/>
      <c r="W68" s="522"/>
      <c r="X68" s="522"/>
      <c r="Y68" s="522"/>
      <c r="Z68" s="522"/>
      <c r="AA68" s="523"/>
      <c r="AB68" s="1636">
        <f t="shared" si="11"/>
        <v>0.2</v>
      </c>
      <c r="AC68" s="1636"/>
      <c r="AD68" s="3333"/>
      <c r="AE68" s="1636">
        <f>+'Exhibit F'!AF63+'Exhibit G'!AG46</f>
        <v>0.9</v>
      </c>
      <c r="AF68" s="1636"/>
      <c r="AG68" s="1636"/>
      <c r="AH68" s="1636">
        <f t="shared" si="12"/>
        <v>-0.7</v>
      </c>
      <c r="AI68" s="3123"/>
      <c r="AJ68" s="1725">
        <f>ROUND(IF(AE68=0,0,AH68/ABS(AE68)),3)</f>
        <v>-0.77800000000000002</v>
      </c>
    </row>
    <row r="69" spans="1:36" ht="16.5" customHeight="1">
      <c r="A69" s="892" t="s">
        <v>1139</v>
      </c>
      <c r="B69" s="892"/>
      <c r="C69" s="522"/>
      <c r="D69" s="522"/>
      <c r="E69" s="522"/>
      <c r="F69" s="522"/>
      <c r="G69" s="522"/>
      <c r="H69" s="522"/>
      <c r="I69" s="522"/>
      <c r="J69" s="522"/>
      <c r="K69" s="522"/>
      <c r="L69" s="522"/>
      <c r="M69" s="522"/>
      <c r="N69" s="522"/>
      <c r="O69" s="1636"/>
      <c r="P69" s="522"/>
      <c r="Q69" s="522"/>
      <c r="R69" s="522"/>
      <c r="S69" s="522"/>
      <c r="T69" s="522"/>
      <c r="U69" s="522"/>
      <c r="V69" s="522"/>
      <c r="W69" s="522"/>
      <c r="X69" s="522"/>
      <c r="Y69" s="522"/>
      <c r="Z69" s="522"/>
      <c r="AA69" s="523"/>
      <c r="AB69" s="1636"/>
      <c r="AC69" s="1636"/>
      <c r="AD69" s="3333"/>
      <c r="AE69" s="1636"/>
      <c r="AF69" s="1636"/>
      <c r="AG69" s="1636"/>
      <c r="AH69" s="1636"/>
      <c r="AI69" s="3123"/>
      <c r="AJ69" s="1725"/>
    </row>
    <row r="70" spans="1:36" ht="16.5" customHeight="1">
      <c r="A70" s="892" t="s">
        <v>1021</v>
      </c>
      <c r="B70" s="892"/>
      <c r="C70" s="522">
        <f>+'Exhibit F'!D65+'Exhibit H'!B32</f>
        <v>2.2000000000000002</v>
      </c>
      <c r="D70" s="522"/>
      <c r="E70" s="522">
        <f>+'Exhibit F'!F65+'Exhibit H'!D32</f>
        <v>2.8999999999999995</v>
      </c>
      <c r="F70" s="522"/>
      <c r="G70" s="522">
        <f>+'Exhibit F'!H65+'Exhibit H'!F32</f>
        <v>2.9000000000000004</v>
      </c>
      <c r="H70" s="522"/>
      <c r="I70" s="522">
        <f>+'Exhibit F'!J65+'Exhibit H'!H32</f>
        <v>4.8999999999999995</v>
      </c>
      <c r="J70" s="522"/>
      <c r="K70" s="522">
        <f>+'Exhibit F'!L65+'Exhibit H'!J32</f>
        <v>4.8000000000000016</v>
      </c>
      <c r="L70" s="522"/>
      <c r="M70" s="522">
        <f>+'Exhibit F'!N65+'Exhibit H'!L32</f>
        <v>5.4000000000000012</v>
      </c>
      <c r="N70" s="522"/>
      <c r="O70" s="1636">
        <f>+'Exhibit F'!P65+'Exhibit H'!N32</f>
        <v>5.0000000000000009</v>
      </c>
      <c r="P70" s="522"/>
      <c r="Q70" s="522">
        <f>+'Exhibit F'!R65+'Exhibit H'!P32</f>
        <v>3.7999999999999963</v>
      </c>
      <c r="R70" s="522"/>
      <c r="S70" s="522">
        <f>+'Exhibit F'!T65+'Exhibit H'!R32</f>
        <v>3</v>
      </c>
      <c r="T70" s="522"/>
      <c r="U70" s="522">
        <f>+'Exhibit F'!V65+'Exhibit H'!T32</f>
        <v>4.8999999999999995</v>
      </c>
      <c r="V70" s="522"/>
      <c r="W70" s="522"/>
      <c r="X70" s="522"/>
      <c r="Y70" s="522"/>
      <c r="Z70" s="522"/>
      <c r="AA70" s="523"/>
      <c r="AB70" s="1636">
        <f t="shared" si="11"/>
        <v>39.799999999999997</v>
      </c>
      <c r="AC70" s="1636"/>
      <c r="AD70" s="3333"/>
      <c r="AE70" s="1636">
        <f>+'Exhibit F'!AF65+'Exhibit H'!AD32</f>
        <v>62.8</v>
      </c>
      <c r="AF70" s="1636"/>
      <c r="AG70" s="1636"/>
      <c r="AH70" s="1636">
        <f t="shared" si="12"/>
        <v>-23</v>
      </c>
      <c r="AI70" s="3123"/>
      <c r="AJ70" s="1725">
        <f t="shared" ref="AJ70:AJ77" si="13">ROUND(IF(AE70=0,0,AH70/ABS(AE70)),3)</f>
        <v>-0.36599999999999999</v>
      </c>
    </row>
    <row r="71" spans="1:36" ht="16.5" customHeight="1">
      <c r="A71" s="892" t="s">
        <v>1231</v>
      </c>
      <c r="B71" s="892"/>
      <c r="C71" s="522">
        <f>'Exhibit G'!D48</f>
        <v>0</v>
      </c>
      <c r="D71" s="522"/>
      <c r="E71" s="522">
        <f>'Exhibit G'!F48</f>
        <v>0</v>
      </c>
      <c r="F71" s="522"/>
      <c r="G71" s="522">
        <f>'Exhibit G'!H48</f>
        <v>0.1</v>
      </c>
      <c r="H71" s="522"/>
      <c r="I71" s="522">
        <f>'Exhibit G'!J48</f>
        <v>0.19999999999999998</v>
      </c>
      <c r="J71" s="522"/>
      <c r="K71" s="522">
        <f>'Exhibit G'!L48</f>
        <v>0.70000000000000007</v>
      </c>
      <c r="L71" s="522"/>
      <c r="M71" s="522">
        <f>'Exhibit G'!N48</f>
        <v>0.69999999999999984</v>
      </c>
      <c r="N71" s="522"/>
      <c r="O71" s="1636">
        <f>'Exhibit G'!P48</f>
        <v>0.10000000000000009</v>
      </c>
      <c r="P71" s="522"/>
      <c r="Q71" s="522">
        <f>'Exhibit G'!R48</f>
        <v>0.30000000000000016</v>
      </c>
      <c r="R71" s="522"/>
      <c r="S71" s="522">
        <f>'Exhibit G'!T48</f>
        <v>0.10000000000000009</v>
      </c>
      <c r="T71" s="522"/>
      <c r="U71" s="522">
        <f>'Exhibit G'!V48</f>
        <v>0</v>
      </c>
      <c r="V71" s="522"/>
      <c r="W71" s="522"/>
      <c r="X71" s="522"/>
      <c r="Y71" s="522"/>
      <c r="Z71" s="522"/>
      <c r="AA71" s="961"/>
      <c r="AB71" s="1636">
        <f t="shared" si="11"/>
        <v>2.2000000000000002</v>
      </c>
      <c r="AC71" s="1636"/>
      <c r="AD71" s="3333"/>
      <c r="AE71" s="1636">
        <f>'Exhibit G'!AG48</f>
        <v>2.6</v>
      </c>
      <c r="AF71" s="1636"/>
      <c r="AG71" s="1636"/>
      <c r="AH71" s="1636">
        <f>ROUND(SUM(AB71-AE71),1)</f>
        <v>-0.4</v>
      </c>
      <c r="AI71" s="3123"/>
      <c r="AJ71" s="1724">
        <f>ROUND(IF(AE71=0,0,AH71/ABS(AE71)),3)</f>
        <v>-0.154</v>
      </c>
    </row>
    <row r="72" spans="1:36" ht="16.5" customHeight="1">
      <c r="A72" s="892" t="s">
        <v>1135</v>
      </c>
      <c r="B72" s="892"/>
      <c r="C72" s="522">
        <f>+'Exhibit F'!D67+'Exhibit G'!D49+'Exhibit I'!E41+'Exhibit H'!B33</f>
        <v>69</v>
      </c>
      <c r="D72" s="522"/>
      <c r="E72" s="522">
        <f>+'Exhibit F'!F67+'Exhibit G'!F49+'Exhibit I'!G41+'Exhibit H'!D33</f>
        <v>71.899999999999977</v>
      </c>
      <c r="F72" s="522"/>
      <c r="G72" s="522">
        <f>+'Exhibit F'!H67+'Exhibit G'!H49+'Exhibit I'!I41+'Exhibit H'!F33</f>
        <v>115.99999999999997</v>
      </c>
      <c r="H72" s="522"/>
      <c r="I72" s="522">
        <f>+'Exhibit F'!J67+'Exhibit G'!J49+'Exhibit I'!K41+'Exhibit H'!H33</f>
        <v>55.600000000000009</v>
      </c>
      <c r="J72" s="522"/>
      <c r="K72" s="522">
        <f>+'Exhibit F'!L67+'Exhibit G'!L49+'Exhibit I'!M41+'Exhibit H'!J33</f>
        <v>55.300000000000026</v>
      </c>
      <c r="L72" s="522"/>
      <c r="M72" s="522">
        <f>+'Exhibit F'!N67+'Exhibit G'!N49+'Exhibit I'!O41+'Exhibit H'!L33</f>
        <v>128.6</v>
      </c>
      <c r="N72" s="522"/>
      <c r="O72" s="1636">
        <f>+'Exhibit F'!P67+'Exhibit G'!P49+'Exhibit I'!Q41+'Exhibit H'!N33</f>
        <v>66.5</v>
      </c>
      <c r="P72" s="522"/>
      <c r="Q72" s="522">
        <f>+'Exhibit F'!R67+'Exhibit G'!R49+'Exhibit I'!S41+'Exhibit H'!P33</f>
        <v>47.100000000000016</v>
      </c>
      <c r="R72" s="522"/>
      <c r="S72" s="522">
        <f>+'Exhibit F'!T67+'Exhibit G'!T49+'Exhibit I'!U41+'Exhibit H'!R33</f>
        <v>114.5</v>
      </c>
      <c r="T72" s="522"/>
      <c r="U72" s="522">
        <f>+'Exhibit F'!V67+'Exhibit G'!V49+'Exhibit I'!W41+'Exhibit H'!T33</f>
        <v>79.699999999999932</v>
      </c>
      <c r="V72" s="522"/>
      <c r="W72" s="522"/>
      <c r="X72" s="522"/>
      <c r="Y72" s="522"/>
      <c r="Z72" s="522"/>
      <c r="AA72" s="523"/>
      <c r="AB72" s="1636">
        <f t="shared" si="11"/>
        <v>804.2</v>
      </c>
      <c r="AC72" s="1636"/>
      <c r="AD72" s="3333"/>
      <c r="AE72" s="1636">
        <f>+'Exhibit F'!AF67+'Exhibit G'!AG49+'Exhibit I'!AI41+'Exhibit H'!AD33</f>
        <v>846.5</v>
      </c>
      <c r="AF72" s="1636"/>
      <c r="AG72" s="1636"/>
      <c r="AH72" s="1636">
        <f>ROUND(SUM(AB72-AE72),1)</f>
        <v>-42.3</v>
      </c>
      <c r="AI72" s="3123"/>
      <c r="AJ72" s="1725">
        <f>ROUND(IF(AE72=0,0,AH72/ABS(AE72)),3)</f>
        <v>-0.05</v>
      </c>
    </row>
    <row r="73" spans="1:36" ht="16.5" customHeight="1">
      <c r="A73" s="892" t="s">
        <v>1023</v>
      </c>
      <c r="B73" s="892"/>
      <c r="C73" s="522">
        <f>+'Exhibit F'!D68+'Exhibit G'!D50+'Exhibit H'!B34</f>
        <v>4.3000000000000007</v>
      </c>
      <c r="D73" s="522"/>
      <c r="E73" s="522">
        <f>+'Exhibit F'!F68+'Exhibit G'!F50+'Exhibit H'!D34</f>
        <v>3.2999999999999994</v>
      </c>
      <c r="F73" s="522"/>
      <c r="G73" s="522">
        <f>+'Exhibit F'!H68+'Exhibit G'!H50+'Exhibit H'!F34</f>
        <v>5.5</v>
      </c>
      <c r="H73" s="522"/>
      <c r="I73" s="522">
        <f>+'Exhibit F'!J68+'Exhibit G'!J50+'Exhibit H'!H34</f>
        <v>3.0999999999999996</v>
      </c>
      <c r="J73" s="522"/>
      <c r="K73" s="522">
        <f>+'Exhibit F'!L68+'Exhibit G'!L50+'Exhibit H'!J34</f>
        <v>88.799999999999983</v>
      </c>
      <c r="L73" s="522"/>
      <c r="M73" s="522">
        <f>+'Exhibit F'!N68+'Exhibit G'!N50+'Exhibit H'!L34</f>
        <v>-9.8000000000000007</v>
      </c>
      <c r="N73" s="522"/>
      <c r="O73" s="1636">
        <f>+'Exhibit F'!P68+'Exhibit G'!P50+'Exhibit H'!N34</f>
        <v>14.600000000000003</v>
      </c>
      <c r="P73" s="522"/>
      <c r="Q73" s="522">
        <f>+'Exhibit F'!R68+'Exhibit G'!R50+'Exhibit H'!P34</f>
        <v>33.4</v>
      </c>
      <c r="R73" s="522"/>
      <c r="S73" s="522">
        <f>+'Exhibit F'!T68+'Exhibit G'!T50+'Exhibit H'!R34</f>
        <v>28.500000000000014</v>
      </c>
      <c r="T73" s="522"/>
      <c r="U73" s="522">
        <f>+'Exhibit F'!V68+'Exhibit G'!V50+'Exhibit H'!T34</f>
        <v>16.699999999999996</v>
      </c>
      <c r="V73" s="522"/>
      <c r="W73" s="522"/>
      <c r="X73" s="522"/>
      <c r="Y73" s="522"/>
      <c r="Z73" s="522"/>
      <c r="AA73" s="523"/>
      <c r="AB73" s="1636">
        <f t="shared" si="11"/>
        <v>188.4</v>
      </c>
      <c r="AC73" s="1636"/>
      <c r="AD73" s="3333"/>
      <c r="AE73" s="1636">
        <f>+'Exhibit F'!AF68+'Exhibit G'!AG50+'Exhibit H'!AD34+'Exhibit I'!AI42</f>
        <v>236.5</v>
      </c>
      <c r="AF73" s="1636"/>
      <c r="AG73" s="1636"/>
      <c r="AH73" s="1636">
        <f t="shared" si="12"/>
        <v>-48.1</v>
      </c>
      <c r="AI73" s="3123"/>
      <c r="AJ73" s="1725">
        <f t="shared" si="13"/>
        <v>-0.20300000000000001</v>
      </c>
    </row>
    <row r="74" spans="1:36" ht="16.5" customHeight="1">
      <c r="A74" s="892" t="s">
        <v>1024</v>
      </c>
      <c r="B74" s="892"/>
      <c r="C74" s="522">
        <f>+'Exhibit F'!D69+'Exhibit G'!D51+'Exhibit H'!B35</f>
        <v>0.6</v>
      </c>
      <c r="D74" s="522"/>
      <c r="E74" s="522">
        <f>+'Exhibit F'!F69+'Exhibit G'!F51+'Exhibit H'!D35</f>
        <v>0.4</v>
      </c>
      <c r="F74" s="522"/>
      <c r="G74" s="522">
        <f>+'Exhibit F'!H69+'Exhibit G'!H51+'Exhibit H'!F35</f>
        <v>0.19999999999999996</v>
      </c>
      <c r="H74" s="522"/>
      <c r="I74" s="522">
        <f>+'Exhibit F'!J69+'Exhibit G'!J51+'Exhibit H'!H35</f>
        <v>1.6</v>
      </c>
      <c r="J74" s="522"/>
      <c r="K74" s="522">
        <f>+'Exhibit F'!L69+'Exhibit G'!L51+'Exhibit H'!J35</f>
        <v>0</v>
      </c>
      <c r="L74" s="522"/>
      <c r="M74" s="522">
        <f>+'Exhibit F'!N69+'Exhibit G'!N51+'Exhibit H'!L35</f>
        <v>0.19999999999999998</v>
      </c>
      <c r="N74" s="522"/>
      <c r="O74" s="1636">
        <f>+'Exhibit F'!P69+'Exhibit G'!P51+'Exhibit H'!N35</f>
        <v>0.49999999999999989</v>
      </c>
      <c r="P74" s="522"/>
      <c r="Q74" s="522">
        <f>+'Exhibit F'!R69+'Exhibit G'!R51+'Exhibit H'!P35</f>
        <v>0.10000000000000009</v>
      </c>
      <c r="R74" s="522"/>
      <c r="S74" s="522">
        <f>+'Exhibit F'!T69+'Exhibit G'!T51+'Exhibit H'!R35</f>
        <v>0.19999999999999965</v>
      </c>
      <c r="T74" s="522"/>
      <c r="U74" s="522">
        <f>+'Exhibit F'!V69+'Exhibit G'!V51+'Exhibit H'!T35</f>
        <v>0.70000000000000051</v>
      </c>
      <c r="V74" s="522"/>
      <c r="W74" s="522"/>
      <c r="X74" s="522"/>
      <c r="Y74" s="522"/>
      <c r="Z74" s="522"/>
      <c r="AA74" s="523"/>
      <c r="AB74" s="1636">
        <f t="shared" si="11"/>
        <v>4.5</v>
      </c>
      <c r="AC74" s="1636"/>
      <c r="AD74" s="3333"/>
      <c r="AE74" s="1636">
        <f>+'Exhibit F'!AF69+'Exhibit G'!AG51+'Exhibit H'!AD35</f>
        <v>7.4</v>
      </c>
      <c r="AF74" s="1636"/>
      <c r="AG74" s="1636"/>
      <c r="AH74" s="1636">
        <f t="shared" si="12"/>
        <v>-2.9</v>
      </c>
      <c r="AI74" s="3123"/>
      <c r="AJ74" s="1724">
        <f>ROUND(IF(AE74=0,0,AH74/ABS(AE74)),3)</f>
        <v>-0.39200000000000002</v>
      </c>
    </row>
    <row r="75" spans="1:36" ht="16.5" customHeight="1">
      <c r="A75" s="892" t="s">
        <v>1025</v>
      </c>
      <c r="B75" s="892"/>
      <c r="C75" s="522">
        <f>+'Exhibit F'!D70+'Exhibit G'!D52+'Exhibit I'!E43+'Exhibit H'!B36</f>
        <v>-29.799999999999997</v>
      </c>
      <c r="D75" s="522"/>
      <c r="E75" s="522">
        <f>ROUND((+'Exhibit F'!F70+'Exhibit G'!F52+'Exhibit I'!G43+'Exhibit H'!D36),1)</f>
        <v>0</v>
      </c>
      <c r="F75" s="522"/>
      <c r="G75" s="522">
        <f>ROUND((+'Exhibit F'!H70+'Exhibit G'!H52+'Exhibit I'!I43+'Exhibit H'!F36),1)</f>
        <v>187.3</v>
      </c>
      <c r="H75" s="522"/>
      <c r="I75" s="522">
        <f>ROUND((+'Exhibit F'!J70+'Exhibit G'!J52+'Exhibit I'!K43+'Exhibit H'!H36),1)</f>
        <v>200.9</v>
      </c>
      <c r="J75" s="522"/>
      <c r="K75" s="522">
        <f>ROUND((+'Exhibit F'!L70+'Exhibit G'!L52+'Exhibit I'!M43+'Exhibit H'!J36),1)</f>
        <v>103.6</v>
      </c>
      <c r="L75" s="522"/>
      <c r="M75" s="522">
        <f>ROUND((+'Exhibit F'!N70+'Exhibit G'!N52+'Exhibit I'!O43+'Exhibit H'!L36),1)</f>
        <v>128.9</v>
      </c>
      <c r="N75" s="522"/>
      <c r="O75" s="1636">
        <f>ROUND((+'Exhibit F'!P70+'Exhibit G'!P52+'Exhibit I'!Q43+'Exhibit H'!N36),1)</f>
        <v>105</v>
      </c>
      <c r="P75" s="522"/>
      <c r="Q75" s="522">
        <f>ROUND((+'Exhibit F'!R70+'Exhibit G'!R52+'Exhibit I'!S43+'Exhibit H'!P36),1)</f>
        <v>114.2</v>
      </c>
      <c r="R75" s="522"/>
      <c r="S75" s="522">
        <f>ROUND((+'Exhibit F'!T70+'Exhibit G'!T52+'Exhibit I'!U43+'Exhibit H'!R36),1)</f>
        <v>114.4</v>
      </c>
      <c r="T75" s="522"/>
      <c r="U75" s="522">
        <f>ROUND((+'Exhibit F'!V70+'Exhibit G'!V52+'Exhibit I'!W43+'Exhibit H'!T36),1)</f>
        <v>110.7</v>
      </c>
      <c r="V75" s="522"/>
      <c r="W75" s="522"/>
      <c r="X75" s="522"/>
      <c r="Y75" s="522"/>
      <c r="Z75" s="522"/>
      <c r="AA75" s="523"/>
      <c r="AB75" s="1636">
        <f t="shared" si="11"/>
        <v>1035.2</v>
      </c>
      <c r="AC75" s="1636"/>
      <c r="AD75" s="3333"/>
      <c r="AE75" s="1636">
        <f>+'Exhibit F'!AF70+'Exhibit G'!AG52+'Exhibit I'!AI43+'Exhibit H'!AD36</f>
        <v>1143.6999999999998</v>
      </c>
      <c r="AF75" s="1636"/>
      <c r="AG75" s="1636"/>
      <c r="AH75" s="1636">
        <f t="shared" si="12"/>
        <v>-108.5</v>
      </c>
      <c r="AI75" s="3123"/>
      <c r="AJ75" s="1725">
        <f t="shared" si="13"/>
        <v>-9.5000000000000001E-2</v>
      </c>
    </row>
    <row r="76" spans="1:36" ht="16.5" customHeight="1">
      <c r="A76" s="892" t="s">
        <v>1026</v>
      </c>
      <c r="B76" s="892"/>
      <c r="C76" s="522">
        <f>+'Exhibit F'!D71+'Exhibit G'!D53+'Exhibit I'!E44+'Exhibit H'!B37</f>
        <v>43</v>
      </c>
      <c r="D76" s="522"/>
      <c r="E76" s="522">
        <f>+'Exhibit F'!F71+'Exhibit G'!F53+'Exhibit I'!G44+'Exhibit H'!D37</f>
        <v>0</v>
      </c>
      <c r="F76" s="522"/>
      <c r="G76" s="522">
        <f>+'Exhibit F'!H71+'Exhibit G'!H53+'Exhibit I'!I44+'Exhibit H'!F37</f>
        <v>36.6</v>
      </c>
      <c r="H76" s="522"/>
      <c r="I76" s="522">
        <f>+'Exhibit F'!J71+'Exhibit G'!J53+'Exhibit I'!K44+'Exhibit H'!H37</f>
        <v>34.199999999999996</v>
      </c>
      <c r="J76" s="522"/>
      <c r="K76" s="522">
        <f>+'Exhibit F'!L71+'Exhibit G'!L53+'Exhibit I'!M44+'Exhibit H'!J37</f>
        <v>43.3</v>
      </c>
      <c r="L76" s="522"/>
      <c r="M76" s="522">
        <f>+'Exhibit F'!N71+'Exhibit G'!N53+'Exhibit I'!O44+'Exhibit H'!L37</f>
        <v>154.99999999999994</v>
      </c>
      <c r="N76" s="522"/>
      <c r="O76" s="1636">
        <f>+'Exhibit F'!P71+'Exhibit G'!P53+'Exhibit I'!Q44+'Exhibit H'!N37</f>
        <v>85.300000000000011</v>
      </c>
      <c r="P76" s="522"/>
      <c r="Q76" s="522">
        <f>+'Exhibit F'!R71+'Exhibit G'!R53+'Exhibit I'!S44+'Exhibit H'!P37</f>
        <v>60.700000000000024</v>
      </c>
      <c r="R76" s="522"/>
      <c r="S76" s="522">
        <f>+'Exhibit F'!T71+'Exhibit G'!T53+'Exhibit I'!U44+'Exhibit H'!R37</f>
        <v>57.800000000000011</v>
      </c>
      <c r="T76" s="522"/>
      <c r="U76" s="522">
        <f>+'Exhibit F'!V71+'Exhibit G'!V53+'Exhibit I'!W44+'Exhibit H'!T37</f>
        <v>46.299999999999926</v>
      </c>
      <c r="V76" s="522"/>
      <c r="W76" s="522"/>
      <c r="X76" s="522"/>
      <c r="Y76" s="522"/>
      <c r="Z76" s="522"/>
      <c r="AA76" s="523"/>
      <c r="AB76" s="1636">
        <f t="shared" si="11"/>
        <v>562.20000000000005</v>
      </c>
      <c r="AC76" s="1636"/>
      <c r="AD76" s="3333"/>
      <c r="AE76" s="1636">
        <f>+'Exhibit F'!AF71+'Exhibit G'!AG53+'Exhibit I'!AI44+'Exhibit H'!AD37</f>
        <v>737.69999999999993</v>
      </c>
      <c r="AF76" s="1636"/>
      <c r="AG76" s="1636"/>
      <c r="AH76" s="1636">
        <f t="shared" si="12"/>
        <v>-175.5</v>
      </c>
      <c r="AI76" s="3123"/>
      <c r="AJ76" s="1725">
        <f t="shared" si="13"/>
        <v>-0.23799999999999999</v>
      </c>
    </row>
    <row r="77" spans="1:36" ht="16.5" customHeight="1">
      <c r="A77" s="892" t="s">
        <v>1015</v>
      </c>
      <c r="B77" s="892"/>
      <c r="C77" s="522">
        <f>+'Exhibit F'!D72+'Exhibit G'!D54+'Exhibit I'!E45</f>
        <v>100.9</v>
      </c>
      <c r="D77" s="522"/>
      <c r="E77" s="522">
        <f>+'Exhibit F'!F72+'Exhibit G'!F54+'Exhibit I'!G45</f>
        <v>233.7</v>
      </c>
      <c r="F77" s="522"/>
      <c r="G77" s="522">
        <f>+'Exhibit F'!H72+'Exhibit G'!H54+'Exhibit I'!I45</f>
        <v>18.300000000000043</v>
      </c>
      <c r="H77" s="522"/>
      <c r="I77" s="522">
        <f>+'Exhibit F'!J72+'Exhibit G'!J54+'Exhibit I'!K45</f>
        <v>201.30000000000004</v>
      </c>
      <c r="J77" s="522"/>
      <c r="K77" s="522">
        <f>+'Exhibit F'!L72+'Exhibit G'!L54+'Exhibit I'!M45</f>
        <v>6.8999999999999995</v>
      </c>
      <c r="L77" s="522"/>
      <c r="M77" s="522">
        <f>+'Exhibit F'!N72+'Exhibit G'!N54+'Exhibit I'!O45</f>
        <v>16.299999999999997</v>
      </c>
      <c r="N77" s="522"/>
      <c r="O77" s="1636">
        <f>+'Exhibit F'!P72+'Exhibit G'!P54+'Exhibit I'!Q45</f>
        <v>80.099999999999937</v>
      </c>
      <c r="P77" s="522"/>
      <c r="Q77" s="522">
        <f>+'Exhibit F'!R72+'Exhibit G'!R54+'Exhibit I'!S45</f>
        <v>154.79999999999995</v>
      </c>
      <c r="R77" s="522"/>
      <c r="S77" s="522">
        <f>+'Exhibit F'!T72+'Exhibit G'!T54+'Exhibit I'!U45</f>
        <v>11.000000000000021</v>
      </c>
      <c r="T77" s="522"/>
      <c r="U77" s="522">
        <f>+'Exhibit F'!V72+'Exhibit G'!V54+'Exhibit I'!W45</f>
        <v>40.299999999999969</v>
      </c>
      <c r="V77" s="522"/>
      <c r="W77" s="522"/>
      <c r="X77" s="522"/>
      <c r="Y77" s="522"/>
      <c r="Z77" s="522"/>
      <c r="AA77" s="523"/>
      <c r="AB77" s="1636">
        <f t="shared" si="11"/>
        <v>863.6</v>
      </c>
      <c r="AC77" s="1636"/>
      <c r="AD77" s="3333"/>
      <c r="AE77" s="1636">
        <f>+'Exhibit F'!AF72+'Exhibit G'!AG54+'Exhibit I'!AI45</f>
        <v>1318.3000000000002</v>
      </c>
      <c r="AF77" s="1636"/>
      <c r="AG77" s="1636"/>
      <c r="AH77" s="1636">
        <f t="shared" si="12"/>
        <v>-454.7</v>
      </c>
      <c r="AI77" s="3123"/>
      <c r="AJ77" s="1725">
        <f t="shared" si="13"/>
        <v>-0.34499999999999997</v>
      </c>
    </row>
    <row r="78" spans="1:36" ht="16.5" customHeight="1">
      <c r="A78" s="892" t="s">
        <v>1136</v>
      </c>
      <c r="B78" s="892"/>
      <c r="C78" s="522"/>
      <c r="D78" s="522"/>
      <c r="E78" s="522"/>
      <c r="F78" s="522"/>
      <c r="G78" s="522"/>
      <c r="H78" s="522"/>
      <c r="I78" s="522"/>
      <c r="J78" s="522"/>
      <c r="K78" s="522"/>
      <c r="L78" s="522"/>
      <c r="M78" s="522"/>
      <c r="N78" s="522"/>
      <c r="O78" s="1636"/>
      <c r="P78" s="522"/>
      <c r="Q78" s="522"/>
      <c r="R78" s="522"/>
      <c r="S78" s="522"/>
      <c r="T78" s="522"/>
      <c r="U78" s="522"/>
      <c r="V78" s="522"/>
      <c r="W78" s="522"/>
      <c r="X78" s="522"/>
      <c r="Y78" s="522"/>
      <c r="Z78" s="522"/>
      <c r="AA78" s="523"/>
      <c r="AB78" s="1636"/>
      <c r="AC78" s="1636"/>
      <c r="AD78" s="3333"/>
      <c r="AE78" s="1636"/>
      <c r="AF78" s="1636"/>
      <c r="AG78" s="1636"/>
      <c r="AH78" s="1636"/>
      <c r="AI78" s="3123"/>
      <c r="AJ78" s="1725"/>
    </row>
    <row r="79" spans="1:36" ht="16.5" customHeight="1">
      <c r="A79" s="892" t="s">
        <v>1027</v>
      </c>
      <c r="B79" s="892"/>
      <c r="C79" s="522">
        <f>+'Exhibit G'!D56</f>
        <v>0</v>
      </c>
      <c r="D79" s="522"/>
      <c r="E79" s="522">
        <f>+'Exhibit G'!F56</f>
        <v>0</v>
      </c>
      <c r="F79" s="522"/>
      <c r="G79" s="522">
        <f>+'Exhibit G'!H56</f>
        <v>0</v>
      </c>
      <c r="H79" s="522"/>
      <c r="I79" s="522">
        <f>+'Exhibit G'!J56</f>
        <v>20.8</v>
      </c>
      <c r="J79" s="522"/>
      <c r="K79" s="522">
        <f>+'Exhibit G'!L56</f>
        <v>0</v>
      </c>
      <c r="L79" s="522"/>
      <c r="M79" s="522">
        <f>+'Exhibit G'!N56</f>
        <v>8</v>
      </c>
      <c r="N79" s="522"/>
      <c r="O79" s="1636">
        <f>+'Exhibit G'!P56</f>
        <v>33.400000000000006</v>
      </c>
      <c r="P79" s="522"/>
      <c r="Q79" s="522">
        <f>+'Exhibit G'!R56</f>
        <v>10</v>
      </c>
      <c r="R79" s="522"/>
      <c r="S79" s="522">
        <f>+'Exhibit G'!T56</f>
        <v>10.200000000000003</v>
      </c>
      <c r="T79" s="522"/>
      <c r="U79" s="522">
        <f>+'Exhibit G'!V56</f>
        <v>27.099999999999994</v>
      </c>
      <c r="V79" s="522"/>
      <c r="W79" s="522"/>
      <c r="X79" s="522"/>
      <c r="Y79" s="522"/>
      <c r="Z79" s="522"/>
      <c r="AA79" s="523"/>
      <c r="AB79" s="1636">
        <f>ROUND(SUM(C79:Y79),1)</f>
        <v>109.5</v>
      </c>
      <c r="AC79" s="1636"/>
      <c r="AD79" s="3333"/>
      <c r="AE79" s="1636">
        <f>+'Exhibit G'!AG56</f>
        <v>246.3</v>
      </c>
      <c r="AF79" s="1636"/>
      <c r="AG79" s="1636"/>
      <c r="AH79" s="1636">
        <f>ROUND(SUM(AB79-AE79),1)</f>
        <v>-136.80000000000001</v>
      </c>
      <c r="AI79" s="3123"/>
      <c r="AJ79" s="3329">
        <f>ROUND(IF(AE79=0,0,AH79/ABS(AE79)),3)</f>
        <v>-0.55500000000000005</v>
      </c>
    </row>
    <row r="80" spans="1:36" ht="16.5" customHeight="1">
      <c r="A80" s="892" t="s">
        <v>1028</v>
      </c>
      <c r="B80" s="892"/>
      <c r="C80" s="522">
        <f>+'Exhibit G'!D57</f>
        <v>157</v>
      </c>
      <c r="D80" s="522"/>
      <c r="E80" s="522">
        <f>+'Exhibit G'!F57</f>
        <v>142.10000000000002</v>
      </c>
      <c r="F80" s="522"/>
      <c r="G80" s="522">
        <f>+'Exhibit G'!H57</f>
        <v>173.79999999999995</v>
      </c>
      <c r="H80" s="522"/>
      <c r="I80" s="522">
        <f>+'Exhibit G'!J57</f>
        <v>202.20000000000005</v>
      </c>
      <c r="J80" s="522"/>
      <c r="K80" s="522">
        <f>+'Exhibit G'!L57</f>
        <v>195.89999999999998</v>
      </c>
      <c r="L80" s="522"/>
      <c r="M80" s="522">
        <f>+'Exhibit G'!N57</f>
        <v>199.29999999999995</v>
      </c>
      <c r="N80" s="522"/>
      <c r="O80" s="1636">
        <f>+'Exhibit G'!P57</f>
        <v>168.29999999999995</v>
      </c>
      <c r="P80" s="522"/>
      <c r="Q80" s="522">
        <f>+'Exhibit G'!R57</f>
        <v>171.00000000000011</v>
      </c>
      <c r="R80" s="522"/>
      <c r="S80" s="522">
        <f>+'Exhibit G'!T57</f>
        <v>215.59999999999991</v>
      </c>
      <c r="T80" s="522"/>
      <c r="U80" s="522">
        <f>+'Exhibit G'!V57</f>
        <v>256.5</v>
      </c>
      <c r="V80" s="522"/>
      <c r="W80" s="522"/>
      <c r="X80" s="522"/>
      <c r="Y80" s="522"/>
      <c r="Z80" s="522"/>
      <c r="AA80" s="523"/>
      <c r="AB80" s="1636">
        <f>ROUND(SUM(C80:Y80),1)</f>
        <v>1881.7</v>
      </c>
      <c r="AC80" s="1636"/>
      <c r="AD80" s="3333"/>
      <c r="AE80" s="1636">
        <f>+'Exhibit G'!AG57</f>
        <v>2054.3000000000002</v>
      </c>
      <c r="AF80" s="1636"/>
      <c r="AG80" s="1636"/>
      <c r="AH80" s="1636">
        <f>ROUND(SUM(AB80-AE80),1)</f>
        <v>-172.6</v>
      </c>
      <c r="AI80" s="3123"/>
      <c r="AJ80" s="3329">
        <f>ROUND(IF(AE80=0,0,AH80/ABS(AE80)),3)</f>
        <v>-8.4000000000000005E-2</v>
      </c>
    </row>
    <row r="81" spans="1:36" ht="16.5" customHeight="1">
      <c r="A81" s="892" t="s">
        <v>1029</v>
      </c>
      <c r="B81" s="892"/>
      <c r="C81" s="522">
        <f>+'Exhibit G'!D58</f>
        <v>0</v>
      </c>
      <c r="D81" s="522"/>
      <c r="E81" s="522">
        <f>+'Exhibit G'!F58</f>
        <v>0.6</v>
      </c>
      <c r="F81" s="522"/>
      <c r="G81" s="522">
        <f>+'Exhibit G'!H58</f>
        <v>0</v>
      </c>
      <c r="H81" s="522"/>
      <c r="I81" s="522">
        <f>+'Exhibit G'!J58</f>
        <v>-0.39999999999999997</v>
      </c>
      <c r="J81" s="522"/>
      <c r="K81" s="522">
        <f>+'Exhibit G'!L58</f>
        <v>0</v>
      </c>
      <c r="L81" s="522"/>
      <c r="M81" s="522">
        <f>+'Exhibit G'!N58</f>
        <v>33.799999999999997</v>
      </c>
      <c r="N81" s="522"/>
      <c r="O81" s="1636">
        <f>+'Exhibit G'!P58</f>
        <v>59.600000000000009</v>
      </c>
      <c r="P81" s="522"/>
      <c r="Q81" s="522">
        <f>+'Exhibit G'!R58</f>
        <v>54.200000000000017</v>
      </c>
      <c r="R81" s="522"/>
      <c r="S81" s="522">
        <f>+'Exhibit G'!T58</f>
        <v>57.999999999999986</v>
      </c>
      <c r="T81" s="522"/>
      <c r="U81" s="522">
        <f>+'Exhibit G'!V58</f>
        <v>58.899999999999906</v>
      </c>
      <c r="V81" s="522"/>
      <c r="W81" s="522"/>
      <c r="X81" s="522"/>
      <c r="Y81" s="522"/>
      <c r="Z81" s="522"/>
      <c r="AA81" s="523"/>
      <c r="AB81" s="1636">
        <f>ROUND(SUM(C81:Y81),1)</f>
        <v>264.7</v>
      </c>
      <c r="AC81" s="1636"/>
      <c r="AD81" s="3333"/>
      <c r="AE81" s="1636">
        <f>+'Exhibit G'!AG58</f>
        <v>808.7</v>
      </c>
      <c r="AF81" s="1636"/>
      <c r="AG81" s="1636"/>
      <c r="AH81" s="1636">
        <f>ROUND(SUM(AB81-AE81),1)</f>
        <v>-544</v>
      </c>
      <c r="AI81" s="3123"/>
      <c r="AJ81" s="3329">
        <f>ROUND(IF(AE81=0,0,AH81/ABS(AE81)),3)</f>
        <v>-0.67300000000000004</v>
      </c>
    </row>
    <row r="82" spans="1:36" ht="16.5" customHeight="1">
      <c r="A82" s="892" t="s">
        <v>1016</v>
      </c>
      <c r="B82" s="892"/>
      <c r="C82" s="522">
        <f>+'Exhibit F'!D73+'Exhibit G'!D59+'Exhibit H'!B38+'Exhibit I'!E46</f>
        <v>32.900000000000006</v>
      </c>
      <c r="D82" s="522"/>
      <c r="E82" s="522">
        <f>+'Exhibit F'!F73+'Exhibit G'!F59+'Exhibit H'!D38+'Exhibit I'!G46</f>
        <v>18.200000000000003</v>
      </c>
      <c r="F82" s="522"/>
      <c r="G82" s="522">
        <f>+'Exhibit F'!H73+'Exhibit G'!H59+'Exhibit H'!F38+'Exhibit I'!I46</f>
        <v>9.1999999999999993</v>
      </c>
      <c r="H82" s="522"/>
      <c r="I82" s="522">
        <f>+'Exhibit F'!J73+'Exhibit G'!J59+'Exhibit H'!H38+'Exhibit I'!K46</f>
        <v>5.1999999999999993</v>
      </c>
      <c r="J82" s="522"/>
      <c r="K82" s="522">
        <f>+'Exhibit F'!L73+'Exhibit G'!L59+'Exhibit H'!J38+'Exhibit I'!M46</f>
        <v>6.6999999999999957</v>
      </c>
      <c r="L82" s="522"/>
      <c r="M82" s="522">
        <f>+'Exhibit F'!N73+'Exhibit G'!N59+'Exhibit H'!L38+'Exhibit I'!O46</f>
        <v>6.2000000000000064</v>
      </c>
      <c r="N82" s="522"/>
      <c r="O82" s="1636">
        <f>+'Exhibit F'!P73+'Exhibit G'!P59+'Exhibit H'!N38+'Exhibit I'!Q46</f>
        <v>5.7999999999999972</v>
      </c>
      <c r="P82" s="522"/>
      <c r="Q82" s="522">
        <f>+'Exhibit F'!R73+'Exhibit G'!R59+'Exhibit H'!P38+'Exhibit I'!S46</f>
        <v>5.8999999999999986</v>
      </c>
      <c r="R82" s="522"/>
      <c r="S82" s="522">
        <f>+'Exhibit F'!T73+'Exhibit G'!T59+'Exhibit H'!R38+'Exhibit I'!U46</f>
        <v>5.8999999999999986</v>
      </c>
      <c r="T82" s="522"/>
      <c r="U82" s="522">
        <f>+'Exhibit F'!V73+'Exhibit G'!V59+'Exhibit H'!T38+'Exhibit I'!W46</f>
        <v>6.4000000000000021</v>
      </c>
      <c r="V82" s="522"/>
      <c r="W82" s="522"/>
      <c r="X82" s="522"/>
      <c r="Y82" s="522"/>
      <c r="Z82" s="522"/>
      <c r="AA82" s="523"/>
      <c r="AB82" s="1636">
        <f>ROUND(SUM(C82:Y82),1)</f>
        <v>102.4</v>
      </c>
      <c r="AC82" s="1636"/>
      <c r="AD82" s="3333"/>
      <c r="AE82" s="1636">
        <f>+'Exhibit F'!AF73+'Exhibit G'!AG59+'Exhibit H'!AD38+'Exhibit I'!AI46</f>
        <v>365.09999999999997</v>
      </c>
      <c r="AF82" s="1636"/>
      <c r="AG82" s="1636"/>
      <c r="AH82" s="1636">
        <f>ROUND(SUM(AB82-AE82),1)</f>
        <v>-262.7</v>
      </c>
      <c r="AI82" s="3123"/>
      <c r="AJ82" s="3329">
        <f>ROUND(IF(AE82=0,0,AH82/ABS(AE82)),3)</f>
        <v>-0.72</v>
      </c>
    </row>
    <row r="83" spans="1:36" ht="16.5" customHeight="1">
      <c r="A83" s="892" t="s">
        <v>1137</v>
      </c>
      <c r="B83" s="892"/>
      <c r="C83" s="522"/>
      <c r="D83" s="522"/>
      <c r="E83" s="522"/>
      <c r="F83" s="522"/>
      <c r="G83" s="522"/>
      <c r="H83" s="522"/>
      <c r="I83" s="522"/>
      <c r="J83" s="522"/>
      <c r="K83" s="522"/>
      <c r="L83" s="522"/>
      <c r="M83" s="522"/>
      <c r="N83" s="522"/>
      <c r="O83" s="1636"/>
      <c r="P83" s="522"/>
      <c r="Q83" s="522"/>
      <c r="R83" s="522"/>
      <c r="S83" s="522"/>
      <c r="T83" s="522"/>
      <c r="U83" s="522"/>
      <c r="V83" s="522"/>
      <c r="W83" s="522"/>
      <c r="X83" s="522"/>
      <c r="Y83" s="522"/>
      <c r="Z83" s="522"/>
      <c r="AA83" s="523"/>
      <c r="AB83" s="1636"/>
      <c r="AC83" s="1636"/>
      <c r="AD83" s="3333"/>
      <c r="AE83" s="1636"/>
      <c r="AF83" s="1636"/>
      <c r="AG83" s="1636"/>
      <c r="AH83" s="1636"/>
      <c r="AI83" s="3123"/>
      <c r="AJ83" s="1725"/>
    </row>
    <row r="84" spans="1:36" ht="16.5" customHeight="1">
      <c r="A84" s="892" t="s">
        <v>1030</v>
      </c>
      <c r="B84" s="892"/>
      <c r="C84" s="522">
        <f>+'Exhibit G'!D61+'Exhibit I'!E48</f>
        <v>1122.0999999999999</v>
      </c>
      <c r="D84" s="522"/>
      <c r="E84" s="522">
        <f>+'Exhibit G'!F61+'Exhibit I'!G48+'Exhibit F'!F75</f>
        <v>1019.1000000000001</v>
      </c>
      <c r="F84" s="522"/>
      <c r="G84" s="522">
        <f>+'Exhibit G'!H61+'Exhibit I'!I48+'Exhibit F'!H75</f>
        <v>3842.3999999999996</v>
      </c>
      <c r="H84" s="522"/>
      <c r="I84" s="522">
        <f>+'Exhibit G'!J61+'Exhibit I'!K48+'Exhibit F'!J75</f>
        <v>269.90000000000009</v>
      </c>
      <c r="J84" s="522"/>
      <c r="K84" s="522">
        <f>+'Exhibit G'!L61+'Exhibit I'!M48+'Exhibit F'!L75</f>
        <v>32.400000000000091</v>
      </c>
      <c r="L84" s="522"/>
      <c r="M84" s="522">
        <f>+'Exhibit G'!N61+'Exhibit I'!O48+'Exhibit F'!N75</f>
        <v>384.69999999999982</v>
      </c>
      <c r="N84" s="522"/>
      <c r="O84" s="1636">
        <f>+'Exhibit G'!P61+'Exhibit I'!Q48+'Exhibit F'!P75</f>
        <v>895.80000000000018</v>
      </c>
      <c r="P84" s="522"/>
      <c r="Q84" s="522">
        <f>+'Exhibit G'!R61+'Exhibit I'!S48+'Exhibit F'!R75</f>
        <v>1</v>
      </c>
      <c r="R84" s="522"/>
      <c r="S84" s="522">
        <f>+'Exhibit G'!T61+'Exhibit I'!U48+'Exhibit F'!T75+'Exhibit H'!R40</f>
        <v>982.30000000000052</v>
      </c>
      <c r="T84" s="522"/>
      <c r="U84" s="522">
        <f>+'Exhibit G'!V61+'Exhibit I'!W48+'Exhibit F'!V75+'Exhibit H'!T40</f>
        <v>3.8999999999996362</v>
      </c>
      <c r="V84" s="522"/>
      <c r="W84" s="522"/>
      <c r="X84" s="522"/>
      <c r="Y84" s="522"/>
      <c r="Z84" s="522"/>
      <c r="AA84" s="523"/>
      <c r="AB84" s="1636">
        <f t="shared" si="11"/>
        <v>8553.6</v>
      </c>
      <c r="AC84" s="1636"/>
      <c r="AD84" s="3333"/>
      <c r="AE84" s="1636">
        <f>+'Exhibit G'!AG61+'Exhibit I'!AI48+'Exhibit H'!AD40</f>
        <v>3543.1</v>
      </c>
      <c r="AF84" s="1636"/>
      <c r="AG84" s="1636"/>
      <c r="AH84" s="1636">
        <f t="shared" si="12"/>
        <v>5010.5</v>
      </c>
      <c r="AI84" s="3123"/>
      <c r="AJ84" s="1729">
        <f>ROUND(IF(AE84=0,1,AH84/ABS(AE84)),3)</f>
        <v>1.4139999999999999</v>
      </c>
    </row>
    <row r="85" spans="1:36" ht="16.5" customHeight="1">
      <c r="A85" s="892" t="s">
        <v>1031</v>
      </c>
      <c r="B85" s="892"/>
      <c r="C85" s="522">
        <f>+'Exhibit F'!D76+'Exhibit G'!D62</f>
        <v>0</v>
      </c>
      <c r="D85" s="522"/>
      <c r="E85" s="522">
        <f>+'Exhibit F'!F76+'Exhibit G'!F62</f>
        <v>0</v>
      </c>
      <c r="F85" s="522"/>
      <c r="G85" s="522">
        <f>+'Exhibit F'!H76+'Exhibit G'!H62</f>
        <v>0</v>
      </c>
      <c r="H85" s="522"/>
      <c r="I85" s="522">
        <f>+'Exhibit F'!J76+'Exhibit G'!J62</f>
        <v>0</v>
      </c>
      <c r="J85" s="522"/>
      <c r="K85" s="522">
        <f>+'Exhibit F'!L76+'Exhibit G'!L62</f>
        <v>0</v>
      </c>
      <c r="L85" s="522"/>
      <c r="M85" s="522">
        <f>+'Exhibit F'!N76+'Exhibit G'!N62</f>
        <v>0</v>
      </c>
      <c r="N85" s="522"/>
      <c r="O85" s="1636">
        <f>+'Exhibit F'!P76+'Exhibit G'!P62</f>
        <v>8.9</v>
      </c>
      <c r="P85" s="522"/>
      <c r="Q85" s="522">
        <f>+'Exhibit F'!R76+'Exhibit G'!R62</f>
        <v>0</v>
      </c>
      <c r="R85" s="522"/>
      <c r="S85" s="522">
        <f>+'Exhibit F'!T76+'Exhibit G'!T62</f>
        <v>0</v>
      </c>
      <c r="T85" s="522"/>
      <c r="U85" s="522">
        <f>+'Exhibit F'!V76+'Exhibit G'!V62</f>
        <v>0</v>
      </c>
      <c r="V85" s="522"/>
      <c r="W85" s="522"/>
      <c r="X85" s="522"/>
      <c r="Y85" s="522"/>
      <c r="Z85" s="522"/>
      <c r="AA85" s="523"/>
      <c r="AB85" s="1636">
        <f t="shared" si="11"/>
        <v>8.9</v>
      </c>
      <c r="AC85" s="1636"/>
      <c r="AD85" s="3333"/>
      <c r="AE85" s="1636">
        <f>+'Exhibit F'!AF76+'Exhibit G'!AG62</f>
        <v>40.5</v>
      </c>
      <c r="AF85" s="1636"/>
      <c r="AG85" s="1636"/>
      <c r="AH85" s="1636">
        <f t="shared" si="12"/>
        <v>-31.6</v>
      </c>
      <c r="AI85" s="3123"/>
      <c r="AJ85" s="1724">
        <f>ROUND(IF(AE85=0,0,AH85/ABS(AE85)),3)</f>
        <v>-0.78</v>
      </c>
    </row>
    <row r="86" spans="1:36" ht="16.5" customHeight="1">
      <c r="A86" s="892" t="s">
        <v>1032</v>
      </c>
      <c r="B86" s="892"/>
      <c r="C86" s="522">
        <f>+'Exhibit F'!D77+'Exhibit G'!D63</f>
        <v>0.5</v>
      </c>
      <c r="D86" s="522"/>
      <c r="E86" s="522">
        <f>+'Exhibit F'!F77+'Exhibit G'!F63</f>
        <v>1.4</v>
      </c>
      <c r="F86" s="522"/>
      <c r="G86" s="522">
        <f>+'Exhibit F'!H77+'Exhibit G'!H63</f>
        <v>25.5</v>
      </c>
      <c r="H86" s="522"/>
      <c r="I86" s="522">
        <f>+'Exhibit F'!J77+'Exhibit G'!J63</f>
        <v>24.7</v>
      </c>
      <c r="J86" s="522"/>
      <c r="K86" s="522">
        <f>+'Exhibit F'!L77+'Exhibit G'!L63</f>
        <v>0</v>
      </c>
      <c r="L86" s="522"/>
      <c r="M86" s="522">
        <f>+'Exhibit F'!N77+'Exhibit G'!N63</f>
        <v>1.8000000000000043</v>
      </c>
      <c r="N86" s="522"/>
      <c r="O86" s="1636">
        <f>+'Exhibit F'!P77+'Exhibit G'!P63</f>
        <v>30.199999999999996</v>
      </c>
      <c r="P86" s="522"/>
      <c r="Q86" s="522">
        <f>+'Exhibit F'!R77+'Exhibit G'!R63</f>
        <v>0.5</v>
      </c>
      <c r="R86" s="522"/>
      <c r="S86" s="522">
        <f>+'Exhibit F'!T77+'Exhibit G'!T63</f>
        <v>21.599999999999994</v>
      </c>
      <c r="T86" s="522"/>
      <c r="U86" s="522">
        <f>+'Exhibit F'!V77+'Exhibit G'!V63</f>
        <v>4.2999999999999972</v>
      </c>
      <c r="V86" s="522"/>
      <c r="W86" s="522"/>
      <c r="X86" s="522"/>
      <c r="Y86" s="522"/>
      <c r="Z86" s="522"/>
      <c r="AA86" s="523"/>
      <c r="AB86" s="1636">
        <f t="shared" si="11"/>
        <v>110.5</v>
      </c>
      <c r="AC86" s="1636"/>
      <c r="AD86" s="3333"/>
      <c r="AE86" s="1636">
        <f>+'Exhibit F'!AF77+'Exhibit G'!AG63</f>
        <v>83.5</v>
      </c>
      <c r="AF86" s="1636"/>
      <c r="AG86" s="1636"/>
      <c r="AH86" s="1636">
        <f t="shared" si="12"/>
        <v>27</v>
      </c>
      <c r="AI86" s="3123"/>
      <c r="AJ86" s="1729">
        <f t="shared" ref="AJ86:AJ89" si="14">ROUND(IF(AE86=0,0,AH86/ABS(AE86)),3)</f>
        <v>0.32300000000000001</v>
      </c>
    </row>
    <row r="87" spans="1:36" ht="16.5" customHeight="1">
      <c r="A87" s="892" t="s">
        <v>1033</v>
      </c>
      <c r="B87" s="892"/>
      <c r="C87" s="522">
        <f>+'Exhibit F'!D78+'Exhibit G'!D64+'Exhibit I'!E50</f>
        <v>9</v>
      </c>
      <c r="D87" s="522"/>
      <c r="E87" s="522">
        <f>+'Exhibit F'!F78+'Exhibit G'!F64+'Exhibit I'!G50</f>
        <v>0.29999999999999893</v>
      </c>
      <c r="F87" s="522"/>
      <c r="G87" s="522">
        <f>+'Exhibit F'!H78+'Exhibit G'!H64+'Exhibit I'!I50</f>
        <v>0.5</v>
      </c>
      <c r="H87" s="522"/>
      <c r="I87" s="522">
        <f>+'Exhibit F'!J78+'Exhibit G'!J64+'Exhibit I'!K50</f>
        <v>4.3000000000000007</v>
      </c>
      <c r="J87" s="522"/>
      <c r="K87" s="522">
        <f>+'Exhibit F'!L78+'Exhibit G'!L64+'Exhibit I'!M50</f>
        <v>2.2999999999999989</v>
      </c>
      <c r="L87" s="522"/>
      <c r="M87" s="522">
        <f>+'Exhibit F'!N78+'Exhibit G'!N64+'Exhibit I'!O50</f>
        <v>0.10000000000000009</v>
      </c>
      <c r="N87" s="522"/>
      <c r="O87" s="1636">
        <f>+'Exhibit F'!P78+'Exhibit G'!P64+'Exhibit I'!Q50</f>
        <v>0.80000000000000027</v>
      </c>
      <c r="P87" s="522"/>
      <c r="Q87" s="522">
        <f>+'Exhibit F'!R78+'Exhibit G'!R64+'Exhibit I'!S50</f>
        <v>0</v>
      </c>
      <c r="R87" s="522"/>
      <c r="S87" s="522">
        <f>+'Exhibit F'!T78+'Exhibit G'!T64+'Exhibit I'!U50</f>
        <v>28.599999999999998</v>
      </c>
      <c r="T87" s="522"/>
      <c r="U87" s="522">
        <f>+'Exhibit F'!V78+'Exhibit G'!V64+'Exhibit I'!W50</f>
        <v>17.699999999999996</v>
      </c>
      <c r="V87" s="522"/>
      <c r="W87" s="522"/>
      <c r="X87" s="522"/>
      <c r="Y87" s="522"/>
      <c r="Z87" s="522"/>
      <c r="AA87" s="523"/>
      <c r="AB87" s="1636">
        <f t="shared" si="11"/>
        <v>63.6</v>
      </c>
      <c r="AC87" s="1636"/>
      <c r="AD87" s="3333"/>
      <c r="AE87" s="1636">
        <f>+'Exhibit F'!AF78+'Exhibit G'!AG64+'Exhibit I'!AI50</f>
        <v>132.39999999999998</v>
      </c>
      <c r="AF87" s="1636"/>
      <c r="AG87" s="1636"/>
      <c r="AH87" s="1636">
        <f t="shared" si="12"/>
        <v>-68.8</v>
      </c>
      <c r="AI87" s="3123"/>
      <c r="AJ87" s="1724">
        <f t="shared" si="14"/>
        <v>-0.52</v>
      </c>
    </row>
    <row r="88" spans="1:36" ht="16.5" customHeight="1">
      <c r="A88" s="892" t="s">
        <v>1034</v>
      </c>
      <c r="B88" s="892"/>
      <c r="C88" s="522">
        <f>+'Exhibit F'!D79+'Exhibit G'!D65+'Exhibit H'!B41+'Exhibit I'!E51</f>
        <v>9.2999999999999989</v>
      </c>
      <c r="D88" s="522"/>
      <c r="E88" s="522">
        <f>+'Exhibit F'!F79+'Exhibit G'!F65+'Exhibit H'!D41+'Exhibit I'!G51</f>
        <v>2.5000000000000009</v>
      </c>
      <c r="F88" s="522"/>
      <c r="G88" s="522">
        <f>+'Exhibit F'!H79+'Exhibit G'!H65+'Exhibit H'!F41+'Exhibit I'!I51</f>
        <v>3.8999999999999995</v>
      </c>
      <c r="H88" s="522"/>
      <c r="I88" s="522">
        <f>+'Exhibit F'!J79+'Exhibit G'!J65+'Exhibit H'!H41+'Exhibit I'!K51</f>
        <v>3.7999999999999994</v>
      </c>
      <c r="J88" s="522"/>
      <c r="K88" s="522">
        <f>+'Exhibit F'!L79+'Exhibit G'!L65+'Exhibit H'!J41+'Exhibit I'!M51</f>
        <v>2.0000000000000018</v>
      </c>
      <c r="L88" s="522"/>
      <c r="M88" s="522">
        <f>+'Exhibit F'!N79+'Exhibit G'!N65+'Exhibit H'!L41+'Exhibit I'!O51</f>
        <v>4.6999999999999993</v>
      </c>
      <c r="N88" s="522"/>
      <c r="O88" s="1636">
        <f>+'Exhibit F'!P79+'Exhibit G'!P65+'Exhibit H'!N41+'Exhibit I'!Q51</f>
        <v>3.5000000000000022</v>
      </c>
      <c r="P88" s="522"/>
      <c r="Q88" s="522">
        <f>+'Exhibit F'!R79+'Exhibit G'!R65+'Exhibit H'!P41+'Exhibit I'!S51</f>
        <v>3.4999999999999942</v>
      </c>
      <c r="R88" s="522"/>
      <c r="S88" s="522">
        <f>+'Exhibit F'!T79+'Exhibit G'!T65+'Exhibit H'!R41+'Exhibit I'!U51</f>
        <v>5.1000000000000014</v>
      </c>
      <c r="T88" s="522"/>
      <c r="U88" s="522">
        <f>+'Exhibit F'!V79+'Exhibit G'!V65+'Exhibit H'!T41+'Exhibit I'!W51</f>
        <v>4.1000000000000041</v>
      </c>
      <c r="V88" s="522"/>
      <c r="W88" s="522"/>
      <c r="X88" s="522"/>
      <c r="Y88" s="522"/>
      <c r="Z88" s="522"/>
      <c r="AA88" s="523"/>
      <c r="AB88" s="1636">
        <f t="shared" si="11"/>
        <v>42.4</v>
      </c>
      <c r="AC88" s="1636"/>
      <c r="AD88" s="3333"/>
      <c r="AE88" s="1636">
        <f>+'Exhibit F'!AF79+'Exhibit G'!AG65+'Exhibit H'!AD41+'Exhibit I'!AI51</f>
        <v>65.599999999999994</v>
      </c>
      <c r="AF88" s="1636"/>
      <c r="AG88" s="1636"/>
      <c r="AH88" s="1636">
        <f t="shared" si="12"/>
        <v>-23.2</v>
      </c>
      <c r="AI88" s="3123"/>
      <c r="AJ88" s="1724">
        <f t="shared" si="14"/>
        <v>-0.35399999999999998</v>
      </c>
    </row>
    <row r="89" spans="1:36" ht="16.5" customHeight="1">
      <c r="A89" s="892" t="s">
        <v>1035</v>
      </c>
      <c r="B89" s="892"/>
      <c r="C89" s="522">
        <f>+'Exhibit F'!D80+'Exhibit G'!D66+'Exhibit H'!B42+'Exhibit I'!E52</f>
        <v>-4.5999999999999996</v>
      </c>
      <c r="D89" s="522"/>
      <c r="E89" s="522">
        <f>+'Exhibit F'!F80+'Exhibit G'!F66+'Exhibit H'!D42+'Exhibit I'!G52</f>
        <v>-41.7</v>
      </c>
      <c r="F89" s="522"/>
      <c r="G89" s="522">
        <f>+'Exhibit F'!H80+'Exhibit G'!H66+'Exhibit H'!F42+'Exhibit I'!I52</f>
        <v>1.8000000000000016</v>
      </c>
      <c r="H89" s="522"/>
      <c r="I89" s="522">
        <f>+'Exhibit F'!J80+'Exhibit G'!J66+'Exhibit H'!H42+'Exhibit I'!K52</f>
        <v>4.1999999999999975</v>
      </c>
      <c r="J89" s="522"/>
      <c r="K89" s="522">
        <f>+'Exhibit F'!L80+'Exhibit G'!L66+'Exhibit H'!J42+'Exhibit I'!M52</f>
        <v>7.800000000000006</v>
      </c>
      <c r="L89" s="522"/>
      <c r="M89" s="522">
        <f>+'Exhibit F'!N80+'Exhibit G'!N66+'Exhibit H'!L42+'Exhibit I'!O52</f>
        <v>35.900000000000006</v>
      </c>
      <c r="N89" s="522"/>
      <c r="O89" s="1636">
        <f>+'Exhibit F'!P80+'Exhibit G'!P66+'Exhibit H'!N42+'Exhibit I'!Q52</f>
        <v>61.79999999999999</v>
      </c>
      <c r="P89" s="522"/>
      <c r="Q89" s="522">
        <f>+'Exhibit F'!R80+'Exhibit G'!R66+'Exhibit H'!P42+'Exhibit I'!S52</f>
        <v>12.499999999999991</v>
      </c>
      <c r="R89" s="522"/>
      <c r="S89" s="522">
        <f>+'Exhibit F'!T80+'Exhibit G'!T66+'Exhibit H'!R42+'Exhibit I'!U52</f>
        <v>8.5000000000000053</v>
      </c>
      <c r="T89" s="522"/>
      <c r="U89" s="522">
        <f>+'Exhibit F'!V80+'Exhibit G'!V66+'Exhibit H'!T42+'Exhibit I'!W52</f>
        <v>31.000000000000014</v>
      </c>
      <c r="V89" s="522"/>
      <c r="W89" s="522"/>
      <c r="X89" s="522"/>
      <c r="Y89" s="522"/>
      <c r="Z89" s="522"/>
      <c r="AA89" s="523"/>
      <c r="AB89" s="1636">
        <f t="shared" si="11"/>
        <v>117.2</v>
      </c>
      <c r="AC89" s="1636"/>
      <c r="AD89" s="3333"/>
      <c r="AE89" s="1636">
        <f>+'Exhibit F'!AF80+'Exhibit G'!AG66+'Exhibit H'!AD42+'Exhibit I'!AI52</f>
        <v>276.70000000000005</v>
      </c>
      <c r="AF89" s="1636"/>
      <c r="AG89" s="1636"/>
      <c r="AH89" s="1636">
        <f t="shared" si="12"/>
        <v>-159.5</v>
      </c>
      <c r="AI89" s="3123"/>
      <c r="AJ89" s="1724">
        <f t="shared" si="14"/>
        <v>-0.57599999999999996</v>
      </c>
    </row>
    <row r="90" spans="1:36" ht="16.5" customHeight="1">
      <c r="A90" s="892" t="s">
        <v>1138</v>
      </c>
      <c r="B90" s="892"/>
      <c r="C90" s="522"/>
      <c r="D90" s="522"/>
      <c r="E90" s="522"/>
      <c r="F90" s="522"/>
      <c r="G90" s="522"/>
      <c r="H90" s="522"/>
      <c r="I90" s="522"/>
      <c r="J90" s="522"/>
      <c r="K90" s="522"/>
      <c r="L90" s="522"/>
      <c r="M90" s="522"/>
      <c r="N90" s="522"/>
      <c r="O90" s="1636"/>
      <c r="P90" s="522"/>
      <c r="Q90" s="522"/>
      <c r="R90" s="522"/>
      <c r="S90" s="522"/>
      <c r="T90" s="522"/>
      <c r="U90" s="522"/>
      <c r="V90" s="522"/>
      <c r="W90" s="522"/>
      <c r="X90" s="522"/>
      <c r="Y90" s="522"/>
      <c r="Z90" s="522"/>
      <c r="AA90" s="523"/>
      <c r="AB90" s="1636"/>
      <c r="AC90" s="1636"/>
      <c r="AD90" s="3333"/>
      <c r="AE90" s="1636"/>
      <c r="AF90" s="1636"/>
      <c r="AG90" s="1636"/>
      <c r="AH90" s="1636"/>
      <c r="AI90" s="3123"/>
      <c r="AJ90" s="1724"/>
    </row>
    <row r="91" spans="1:36" ht="16.5" customHeight="1">
      <c r="A91" s="892" t="s">
        <v>1036</v>
      </c>
      <c r="B91" s="892"/>
      <c r="C91" s="522">
        <f>+'Exhibit F'!D82+'Exhibit G'!D68+'Exhibit I'!E54</f>
        <v>25</v>
      </c>
      <c r="D91" s="522"/>
      <c r="E91" s="522">
        <f>+'Exhibit F'!F82+'Exhibit G'!F68+'Exhibit I'!G54</f>
        <v>8.8000000000000007</v>
      </c>
      <c r="F91" s="522"/>
      <c r="G91" s="522">
        <f>+'Exhibit F'!H82+'Exhibit G'!H68+'Exhibit I'!I54</f>
        <v>25.399999999999995</v>
      </c>
      <c r="H91" s="522"/>
      <c r="I91" s="522">
        <f>+'Exhibit F'!J82+'Exhibit G'!J68+'Exhibit I'!K54</f>
        <v>9.100000000000005</v>
      </c>
      <c r="J91" s="522"/>
      <c r="K91" s="522">
        <f>+'Exhibit F'!L82+'Exhibit G'!L68+'Exhibit I'!M54</f>
        <v>8.8999999999999968</v>
      </c>
      <c r="L91" s="522"/>
      <c r="M91" s="522">
        <f>+'Exhibit F'!N82+'Exhibit G'!N68+'Exhibit I'!O54</f>
        <v>25.600000000000009</v>
      </c>
      <c r="N91" s="522"/>
      <c r="O91" s="1636">
        <f>+'Exhibit F'!P82+'Exhibit G'!P68+'Exhibit I'!Q54</f>
        <v>24.5</v>
      </c>
      <c r="P91" s="522"/>
      <c r="Q91" s="522">
        <f>+'Exhibit F'!R82+'Exhibit G'!R68+'Exhibit I'!S54</f>
        <v>8.7999999999999829</v>
      </c>
      <c r="R91" s="522"/>
      <c r="S91" s="522">
        <f>+'Exhibit F'!T82+'Exhibit G'!T68+'Exhibit I'!U54</f>
        <v>22.60000000000003</v>
      </c>
      <c r="T91" s="522"/>
      <c r="U91" s="522">
        <f>+'Exhibit F'!V82+'Exhibit G'!V68+'Exhibit I'!W54</f>
        <v>8.2999999999999972</v>
      </c>
      <c r="V91" s="522"/>
      <c r="W91" s="522"/>
      <c r="X91" s="522"/>
      <c r="Y91" s="522"/>
      <c r="Z91" s="522"/>
      <c r="AA91" s="523"/>
      <c r="AB91" s="1636">
        <f t="shared" si="11"/>
        <v>167</v>
      </c>
      <c r="AC91" s="1636"/>
      <c r="AD91" s="3333"/>
      <c r="AE91" s="1636">
        <f>+'Exhibit F'!AF82+'Exhibit G'!AG68+'Exhibit I'!AI54</f>
        <v>175.8</v>
      </c>
      <c r="AF91" s="1636"/>
      <c r="AG91" s="1636"/>
      <c r="AH91" s="1636">
        <f t="shared" si="12"/>
        <v>-8.8000000000000007</v>
      </c>
      <c r="AI91" s="3123"/>
      <c r="AJ91" s="1729">
        <f>ROUND(IF(AE91=0,0,AH91/ABS(AE91)),3)</f>
        <v>-0.05</v>
      </c>
    </row>
    <row r="92" spans="1:36" ht="16.5" customHeight="1">
      <c r="A92" s="892" t="s">
        <v>1037</v>
      </c>
      <c r="B92" s="892"/>
      <c r="C92" s="522">
        <f>+'Exhibit G'!D69+'Exhibit F'!D83</f>
        <v>0.60000000000000009</v>
      </c>
      <c r="D92" s="522"/>
      <c r="E92" s="522">
        <f>+'Exhibit G'!F69+'Exhibit F'!F83</f>
        <v>-0.30000000000000004</v>
      </c>
      <c r="F92" s="522"/>
      <c r="G92" s="522">
        <f>+'Exhibit G'!H69+'Exhibit F'!H83</f>
        <v>0.2</v>
      </c>
      <c r="H92" s="522"/>
      <c r="I92" s="522">
        <f>+'Exhibit G'!J69+'Exhibit F'!J83</f>
        <v>0.19999999999999785</v>
      </c>
      <c r="J92" s="522"/>
      <c r="K92" s="522">
        <f>ROUND(SUM(+'Exhibit G'!L69+'Exhibit F'!L83),0)</f>
        <v>0</v>
      </c>
      <c r="L92" s="522"/>
      <c r="M92" s="522">
        <f>+'Exhibit G'!N69+'Exhibit F'!N83</f>
        <v>1.3000000000000007</v>
      </c>
      <c r="N92" s="522"/>
      <c r="O92" s="1636">
        <f>+'Exhibit G'!P69+'Exhibit F'!P83</f>
        <v>0.19999999999999174</v>
      </c>
      <c r="P92" s="522"/>
      <c r="Q92" s="522">
        <f>+'Exhibit G'!R69+'Exhibit F'!R83</f>
        <v>0.90000000000001146</v>
      </c>
      <c r="R92" s="522"/>
      <c r="S92" s="522">
        <f>+'Exhibit G'!T69+'Exhibit F'!T83</f>
        <v>14.2</v>
      </c>
      <c r="T92" s="522"/>
      <c r="U92" s="522">
        <f>+'Exhibit G'!V69+'Exhibit F'!V83</f>
        <v>1.1999999999999829</v>
      </c>
      <c r="V92" s="522"/>
      <c r="W92" s="522"/>
      <c r="X92" s="522"/>
      <c r="Y92" s="522"/>
      <c r="Z92" s="522"/>
      <c r="AA92" s="523"/>
      <c r="AB92" s="1636">
        <f t="shared" si="11"/>
        <v>18.5</v>
      </c>
      <c r="AC92" s="1636"/>
      <c r="AD92" s="3333"/>
      <c r="AE92" s="1636">
        <f>+'Exhibit G'!AG69+'Exhibit F'!AF83</f>
        <v>20.299999999999997</v>
      </c>
      <c r="AF92" s="1636"/>
      <c r="AG92" s="1636"/>
      <c r="AH92" s="1636">
        <f t="shared" si="12"/>
        <v>-1.8</v>
      </c>
      <c r="AI92" s="3123"/>
      <c r="AJ92" s="1724">
        <f>ROUND(IF(AE92=0,0,AH92/ABS(AE92)),3)</f>
        <v>-8.8999999999999996E-2</v>
      </c>
    </row>
    <row r="93" spans="1:36" ht="16.5" customHeight="1">
      <c r="A93" s="892" t="s">
        <v>1373</v>
      </c>
      <c r="B93" s="892"/>
      <c r="C93" s="522">
        <v>0</v>
      </c>
      <c r="D93" s="522"/>
      <c r="E93" s="522">
        <v>0</v>
      </c>
      <c r="F93" s="522"/>
      <c r="G93" s="522">
        <v>0</v>
      </c>
      <c r="H93" s="522"/>
      <c r="I93" s="522">
        <v>0</v>
      </c>
      <c r="J93" s="522"/>
      <c r="K93" s="522">
        <v>0</v>
      </c>
      <c r="L93" s="522"/>
      <c r="M93" s="522">
        <v>0</v>
      </c>
      <c r="N93" s="522"/>
      <c r="O93" s="1636">
        <v>0</v>
      </c>
      <c r="P93" s="522"/>
      <c r="Q93" s="522">
        <v>0</v>
      </c>
      <c r="R93" s="522"/>
      <c r="S93" s="522">
        <f>'Exhibit G'!T70</f>
        <v>68</v>
      </c>
      <c r="T93" s="522"/>
      <c r="U93" s="522">
        <f>'Exhibit G'!V70</f>
        <v>50</v>
      </c>
      <c r="V93" s="522"/>
      <c r="W93" s="522"/>
      <c r="X93" s="522"/>
      <c r="Y93" s="522"/>
      <c r="Z93" s="522"/>
      <c r="AA93" s="961"/>
      <c r="AB93" s="1636">
        <f t="shared" si="11"/>
        <v>118</v>
      </c>
      <c r="AC93" s="1636"/>
      <c r="AD93" s="3333"/>
      <c r="AE93" s="1636">
        <f>'Exhibit G'!AG70</f>
        <v>468</v>
      </c>
      <c r="AF93" s="1636"/>
      <c r="AG93" s="1636"/>
      <c r="AH93" s="1636">
        <f t="shared" ref="AH93" si="15">ROUND(SUM(AB93-AE93),1)</f>
        <v>-350</v>
      </c>
      <c r="AI93" s="3123"/>
      <c r="AJ93" s="1724">
        <f>ROUND(IF(AE93=0,1,AH93/ABS(AE93)),3)</f>
        <v>-0.748</v>
      </c>
    </row>
    <row r="94" spans="1:36" ht="16.5" customHeight="1">
      <c r="A94" s="892" t="s">
        <v>1038</v>
      </c>
      <c r="B94" s="892"/>
      <c r="C94" s="522">
        <f>+'Exhibit F'!D84+'Exhibit G'!D71+'Exhibit I'!E55</f>
        <v>0.6</v>
      </c>
      <c r="D94" s="522"/>
      <c r="E94" s="522">
        <f>+'Exhibit F'!F84+'Exhibit G'!F71+'Exhibit I'!G55</f>
        <v>2.2000000000000002</v>
      </c>
      <c r="F94" s="522"/>
      <c r="G94" s="522">
        <f>+'Exhibit F'!H84+'Exhibit G'!H71+'Exhibit I'!I55</f>
        <v>27.9</v>
      </c>
      <c r="H94" s="522"/>
      <c r="I94" s="522">
        <f>+'Exhibit F'!J84+'Exhibit G'!J71+'Exhibit I'!K55</f>
        <v>0.69999999999999929</v>
      </c>
      <c r="J94" s="522"/>
      <c r="K94" s="522">
        <f>+'Exhibit F'!L84+'Exhibit G'!L71+'Exhibit I'!M55</f>
        <v>1.9000000000000012</v>
      </c>
      <c r="L94" s="522"/>
      <c r="M94" s="522">
        <f>+'Exhibit F'!N84+'Exhibit G'!N71+'Exhibit I'!O55</f>
        <v>2.1000000000000014</v>
      </c>
      <c r="N94" s="522"/>
      <c r="O94" s="1636">
        <f>+'Exhibit F'!P84+'Exhibit G'!P71+'Exhibit I'!Q55</f>
        <v>5.9</v>
      </c>
      <c r="P94" s="522"/>
      <c r="Q94" s="522">
        <f>+'Exhibit F'!R84+'Exhibit G'!R71+'Exhibit I'!S55</f>
        <v>0.69999999999999751</v>
      </c>
      <c r="R94" s="522"/>
      <c r="S94" s="522">
        <f>+'Exhibit F'!T84+'Exhibit G'!T71+'Exhibit I'!U55</f>
        <v>3.4000000000000039</v>
      </c>
      <c r="T94" s="522"/>
      <c r="U94" s="522">
        <f>+'Exhibit F'!V84+'Exhibit G'!V71+'Exhibit I'!W55</f>
        <v>0.30000000000000104</v>
      </c>
      <c r="V94" s="522"/>
      <c r="W94" s="522"/>
      <c r="X94" s="522"/>
      <c r="Y94" s="522"/>
      <c r="Z94" s="522"/>
      <c r="AA94" s="523"/>
      <c r="AB94" s="1636">
        <f t="shared" si="11"/>
        <v>45.7</v>
      </c>
      <c r="AC94" s="1636"/>
      <c r="AD94" s="3333"/>
      <c r="AE94" s="1636">
        <f>+'Exhibit F'!AF84+'Exhibit G'!AG71+'Exhibit I'!AI55</f>
        <v>27.299999999999997</v>
      </c>
      <c r="AF94" s="1636"/>
      <c r="AG94" s="1636"/>
      <c r="AH94" s="1636">
        <f t="shared" si="12"/>
        <v>18.399999999999999</v>
      </c>
      <c r="AI94" s="3123"/>
      <c r="AJ94" s="1725">
        <f t="shared" ref="AJ94:AJ101" si="16">ROUND(IF(AE94=0,0,AH94/ABS(AE94)),3)</f>
        <v>0.67400000000000004</v>
      </c>
    </row>
    <row r="95" spans="1:36" ht="16.5" customHeight="1">
      <c r="A95" s="892" t="s">
        <v>1039</v>
      </c>
      <c r="B95" s="892"/>
      <c r="C95" s="522">
        <f>+'Exhibit F'!D85+'Exhibit G'!D72+'Exhibit I'!E56</f>
        <v>5.5</v>
      </c>
      <c r="D95" s="522"/>
      <c r="E95" s="522">
        <f>+'Exhibit F'!F85+'Exhibit G'!F72+'Exhibit I'!G56</f>
        <v>5.4</v>
      </c>
      <c r="F95" s="522"/>
      <c r="G95" s="522">
        <f>+'Exhibit F'!H85+'Exhibit G'!H72+'Exhibit I'!I56</f>
        <v>7.4</v>
      </c>
      <c r="H95" s="522"/>
      <c r="I95" s="522">
        <f>+'Exhibit F'!J85+'Exhibit G'!J72+'Exhibit I'!K56</f>
        <v>5.8999999999999986</v>
      </c>
      <c r="J95" s="522"/>
      <c r="K95" s="522">
        <f>+'Exhibit F'!L85+'Exhibit G'!L72+'Exhibit I'!M56</f>
        <v>6.1</v>
      </c>
      <c r="L95" s="522"/>
      <c r="M95" s="522">
        <f>+'Exhibit F'!N85+'Exhibit G'!N72+'Exhibit I'!O56</f>
        <v>5.7000000000000046</v>
      </c>
      <c r="N95" s="522"/>
      <c r="O95" s="1636">
        <f>+'Exhibit F'!P85+'Exhibit G'!P72+'Exhibit I'!Q56</f>
        <v>5</v>
      </c>
      <c r="P95" s="522"/>
      <c r="Q95" s="522">
        <f>+'Exhibit F'!R85+'Exhibit G'!R72+'Exhibit I'!S56</f>
        <v>5.4999999999999982</v>
      </c>
      <c r="R95" s="522"/>
      <c r="S95" s="522">
        <f>+'Exhibit F'!T85+'Exhibit G'!T72+'Exhibit I'!U56</f>
        <v>8.7000000000000046</v>
      </c>
      <c r="T95" s="522"/>
      <c r="U95" s="522">
        <f>+'Exhibit F'!V85+'Exhibit G'!V72+'Exhibit I'!W56</f>
        <v>6.2999999999999972</v>
      </c>
      <c r="V95" s="522"/>
      <c r="W95" s="522"/>
      <c r="X95" s="522"/>
      <c r="Y95" s="522"/>
      <c r="Z95" s="522"/>
      <c r="AA95" s="523"/>
      <c r="AB95" s="1636">
        <f>ROUND(SUM(C95:Y95),1)</f>
        <v>61.5</v>
      </c>
      <c r="AC95" s="1636"/>
      <c r="AD95" s="3333"/>
      <c r="AE95" s="1636">
        <f>+'Exhibit F'!AF85+'Exhibit G'!AG72+'Exhibit I'!AI56</f>
        <v>70.5</v>
      </c>
      <c r="AF95" s="1636"/>
      <c r="AG95" s="1636"/>
      <c r="AH95" s="1636">
        <f t="shared" si="12"/>
        <v>-9</v>
      </c>
      <c r="AI95" s="3123"/>
      <c r="AJ95" s="1725">
        <f t="shared" si="16"/>
        <v>-0.128</v>
      </c>
    </row>
    <row r="96" spans="1:36" ht="16.5" customHeight="1">
      <c r="A96" s="892" t="s">
        <v>1040</v>
      </c>
      <c r="B96" s="892"/>
      <c r="C96" s="522">
        <f>+'Exhibit F'!D86+'Exhibit G'!D73+'Exhibit H'!B44</f>
        <v>526.5</v>
      </c>
      <c r="D96" s="522"/>
      <c r="E96" s="522">
        <f>+'Exhibit F'!F86+'Exhibit G'!F73+'Exhibit H'!D44</f>
        <v>372.8</v>
      </c>
      <c r="F96" s="522"/>
      <c r="G96" s="522">
        <f>+'Exhibit F'!H86+'Exhibit G'!H73+'Exhibit H'!F44</f>
        <v>350.59999999999997</v>
      </c>
      <c r="H96" s="522"/>
      <c r="I96" s="522">
        <f>+'Exhibit F'!J86+'Exhibit G'!J73+'Exhibit H'!H44</f>
        <v>227.49999999999997</v>
      </c>
      <c r="J96" s="522"/>
      <c r="K96" s="522">
        <f>+'Exhibit F'!L86+'Exhibit G'!L73+'Exhibit H'!J44</f>
        <v>221.80000000000007</v>
      </c>
      <c r="L96" s="522"/>
      <c r="M96" s="522">
        <f>+'Exhibit F'!N86+'Exhibit G'!N73+'Exhibit H'!L44</f>
        <v>78.999999999999915</v>
      </c>
      <c r="N96" s="522"/>
      <c r="O96" s="1636">
        <f>+'Exhibit F'!P86+'Exhibit G'!P73+'Exhibit H'!N44</f>
        <v>291.40000000000003</v>
      </c>
      <c r="P96" s="522"/>
      <c r="Q96" s="522">
        <f>+'Exhibit F'!R86+'Exhibit G'!R73+'Exhibit H'!P44</f>
        <v>187.10000000000008</v>
      </c>
      <c r="R96" s="522"/>
      <c r="S96" s="522">
        <f>+'Exhibit F'!T86+'Exhibit G'!T73+'Exhibit H'!R44</f>
        <v>371.4</v>
      </c>
      <c r="T96" s="522"/>
      <c r="U96" s="522">
        <f>+'Exhibit F'!V86+'Exhibit G'!V73+'Exhibit H'!T44</f>
        <v>208.10000000000011</v>
      </c>
      <c r="V96" s="522"/>
      <c r="W96" s="522"/>
      <c r="X96" s="522"/>
      <c r="Y96" s="522"/>
      <c r="Z96" s="522"/>
      <c r="AA96" s="523"/>
      <c r="AB96" s="1636">
        <f t="shared" si="11"/>
        <v>2836.2</v>
      </c>
      <c r="AC96" s="1636"/>
      <c r="AD96" s="3333"/>
      <c r="AE96" s="1636">
        <f>+'Exhibit F'!AF86+'Exhibit G'!AG73+'Exhibit H'!AD44</f>
        <v>2120.1</v>
      </c>
      <c r="AF96" s="1636"/>
      <c r="AG96" s="1636"/>
      <c r="AH96" s="1636">
        <f t="shared" si="12"/>
        <v>716.1</v>
      </c>
      <c r="AI96" s="3123"/>
      <c r="AJ96" s="1725">
        <f t="shared" si="16"/>
        <v>0.33800000000000002</v>
      </c>
    </row>
    <row r="97" spans="1:45" ht="16.5" customHeight="1">
      <c r="A97" s="892" t="s">
        <v>1041</v>
      </c>
      <c r="B97" s="892"/>
      <c r="C97" s="522">
        <f>+'Exhibit G'!D74+'Exhibit F'!D87+'Exhibit I'!E57</f>
        <v>7.8</v>
      </c>
      <c r="D97" s="522"/>
      <c r="E97" s="522">
        <f>+'Exhibit G'!F74+'Exhibit F'!F87+'Exhibit I'!G57</f>
        <v>15.299999999999999</v>
      </c>
      <c r="F97" s="522"/>
      <c r="G97" s="522">
        <f>+'Exhibit G'!H74+'Exhibit F'!H87+'Exhibit I'!I57</f>
        <v>13.2</v>
      </c>
      <c r="H97" s="522"/>
      <c r="I97" s="522">
        <f>+'Exhibit G'!J74+'Exhibit F'!J87+'Exhibit I'!K57</f>
        <v>17.699999999999996</v>
      </c>
      <c r="J97" s="522"/>
      <c r="K97" s="522">
        <f>+'Exhibit G'!L74+'Exhibit F'!L87+'Exhibit I'!M57</f>
        <v>12.7</v>
      </c>
      <c r="L97" s="522"/>
      <c r="M97" s="522">
        <f>+'Exhibit G'!N74+'Exhibit F'!N87+'Exhibit I'!O57</f>
        <v>12.699999999999998</v>
      </c>
      <c r="N97" s="522"/>
      <c r="O97" s="1636">
        <f>+'Exhibit G'!P74+'Exhibit F'!P87+'Exhibit I'!Q57</f>
        <v>9.7999999999999972</v>
      </c>
      <c r="P97" s="522"/>
      <c r="Q97" s="522">
        <f>+'Exhibit G'!R74+'Exhibit F'!R87+'Exhibit I'!S57</f>
        <v>13.80000000000001</v>
      </c>
      <c r="R97" s="522"/>
      <c r="S97" s="522">
        <f>+'Exhibit G'!T74+'Exhibit F'!T87+'Exhibit I'!U57</f>
        <v>12.69999999999999</v>
      </c>
      <c r="T97" s="522"/>
      <c r="U97" s="522">
        <f>+'Exhibit G'!V74+'Exhibit F'!V87+'Exhibit I'!W57</f>
        <v>10.900000000000006</v>
      </c>
      <c r="V97" s="522"/>
      <c r="W97" s="522"/>
      <c r="X97" s="522"/>
      <c r="Y97" s="522"/>
      <c r="Z97" s="522"/>
      <c r="AA97" s="523"/>
      <c r="AB97" s="1636">
        <f t="shared" si="11"/>
        <v>126.6</v>
      </c>
      <c r="AC97" s="1636"/>
      <c r="AD97" s="3333"/>
      <c r="AE97" s="1636">
        <f>+'Exhibit G'!AG74+'Exhibit F'!AF87+'Exhibit I'!AI57</f>
        <v>141.4</v>
      </c>
      <c r="AF97" s="1636"/>
      <c r="AG97" s="1636"/>
      <c r="AH97" s="1636">
        <f t="shared" si="12"/>
        <v>-14.8</v>
      </c>
      <c r="AI97" s="3123"/>
      <c r="AJ97" s="1725">
        <f t="shared" si="16"/>
        <v>-0.105</v>
      </c>
    </row>
    <row r="98" spans="1:45" ht="16.5" customHeight="1">
      <c r="A98" s="892" t="s">
        <v>1042</v>
      </c>
      <c r="B98" s="892"/>
      <c r="C98" s="522">
        <f>+'Exhibit F'!D88+'Exhibit G'!D75+'Exhibit I'!E58</f>
        <v>7</v>
      </c>
      <c r="D98" s="522"/>
      <c r="E98" s="522">
        <f>+'Exhibit F'!F88+'Exhibit G'!F75+'Exhibit I'!G58</f>
        <v>0.5999999999999992</v>
      </c>
      <c r="F98" s="522"/>
      <c r="G98" s="522">
        <f>+'Exhibit F'!H88+'Exhibit G'!H75+'Exhibit I'!I58</f>
        <v>0.60000000000000053</v>
      </c>
      <c r="H98" s="522"/>
      <c r="I98" s="522">
        <f>+'Exhibit F'!J88+'Exhibit G'!J75+'Exhibit I'!K58</f>
        <v>0.29999999999999971</v>
      </c>
      <c r="J98" s="522"/>
      <c r="K98" s="522">
        <f>+'Exhibit F'!L88+'Exhibit G'!L75+'Exhibit I'!M58</f>
        <v>42.699999999999996</v>
      </c>
      <c r="L98" s="522"/>
      <c r="M98" s="522">
        <f>+'Exhibit F'!N88+'Exhibit G'!N75+'Exhibit I'!O58</f>
        <v>5.2999999999999989</v>
      </c>
      <c r="N98" s="522"/>
      <c r="O98" s="1636">
        <f>+'Exhibit F'!P88+'Exhibit G'!P75+'Exhibit I'!Q58</f>
        <v>3.5999999999999979</v>
      </c>
      <c r="P98" s="522"/>
      <c r="Q98" s="522">
        <f>+'Exhibit F'!R88+'Exhibit G'!R75+'Exhibit I'!S58</f>
        <v>1.3000000000000032</v>
      </c>
      <c r="R98" s="522"/>
      <c r="S98" s="522">
        <f>+'Exhibit F'!T88+'Exhibit G'!T75+'Exhibit I'!U58</f>
        <v>1.9999999999999989</v>
      </c>
      <c r="T98" s="522"/>
      <c r="U98" s="522">
        <f>+'Exhibit F'!V88+'Exhibit G'!V75+'Exhibit I'!W58</f>
        <v>22.600000000000009</v>
      </c>
      <c r="V98" s="522"/>
      <c r="W98" s="522"/>
      <c r="X98" s="522"/>
      <c r="Y98" s="522"/>
      <c r="Z98" s="522"/>
      <c r="AA98" s="523"/>
      <c r="AB98" s="1636">
        <f t="shared" si="11"/>
        <v>86</v>
      </c>
      <c r="AC98" s="1636"/>
      <c r="AD98" s="3333"/>
      <c r="AE98" s="1636">
        <f>+'Exhibit F'!AF88+'Exhibit G'!AG75+'Exhibit I'!AI58</f>
        <v>63.4</v>
      </c>
      <c r="AF98" s="1636"/>
      <c r="AG98" s="1636"/>
      <c r="AH98" s="1636">
        <f t="shared" si="12"/>
        <v>22.6</v>
      </c>
      <c r="AI98" s="3123"/>
      <c r="AJ98" s="3329">
        <f t="shared" si="16"/>
        <v>0.35599999999999998</v>
      </c>
    </row>
    <row r="99" spans="1:45" ht="16.5" customHeight="1">
      <c r="A99" s="892" t="s">
        <v>1043</v>
      </c>
      <c r="B99" s="892"/>
      <c r="C99" s="522">
        <f>+'Exhibit F'!D89+'Exhibit G'!D76</f>
        <v>6.1</v>
      </c>
      <c r="D99" s="522"/>
      <c r="E99" s="522">
        <f>+'Exhibit F'!F89+'Exhibit G'!F76</f>
        <v>1.4000000000000004</v>
      </c>
      <c r="F99" s="522"/>
      <c r="G99" s="522">
        <f>+'Exhibit F'!H89+'Exhibit G'!H76</f>
        <v>3.1999999999999993</v>
      </c>
      <c r="H99" s="522"/>
      <c r="I99" s="522">
        <f>+'Exhibit F'!J89+'Exhibit G'!J76</f>
        <v>6.4000000000000021</v>
      </c>
      <c r="J99" s="522"/>
      <c r="K99" s="522">
        <f>+'Exhibit F'!L89+'Exhibit G'!L76</f>
        <v>6.7999999999999972</v>
      </c>
      <c r="L99" s="522"/>
      <c r="M99" s="522">
        <f>+'Exhibit F'!N89+'Exhibit G'!N76</f>
        <v>3.7000000000000028</v>
      </c>
      <c r="N99" s="522"/>
      <c r="O99" s="1636">
        <f>+'Exhibit F'!P89+'Exhibit G'!P76</f>
        <v>6</v>
      </c>
      <c r="P99" s="522"/>
      <c r="Q99" s="522">
        <f>+'Exhibit F'!R89+'Exhibit G'!R76</f>
        <v>3.6000000000000014</v>
      </c>
      <c r="R99" s="522"/>
      <c r="S99" s="522">
        <f>+'Exhibit F'!T89+'Exhibit G'!T76</f>
        <v>4.8999999999999986</v>
      </c>
      <c r="T99" s="522"/>
      <c r="U99" s="522">
        <f>+'Exhibit F'!V89+'Exhibit G'!V76</f>
        <v>2.1999999999999922</v>
      </c>
      <c r="V99" s="522"/>
      <c r="W99" s="522"/>
      <c r="X99" s="522"/>
      <c r="Y99" s="522"/>
      <c r="Z99" s="522"/>
      <c r="AA99" s="523"/>
      <c r="AB99" s="1636">
        <f t="shared" si="11"/>
        <v>44.3</v>
      </c>
      <c r="AC99" s="1636"/>
      <c r="AD99" s="3333"/>
      <c r="AE99" s="1636">
        <f>+'Exhibit F'!AF89+'Exhibit G'!AG76</f>
        <v>57</v>
      </c>
      <c r="AF99" s="1636"/>
      <c r="AG99" s="1636"/>
      <c r="AH99" s="1636">
        <f t="shared" si="12"/>
        <v>-12.7</v>
      </c>
      <c r="AI99" s="3123"/>
      <c r="AJ99" s="1725">
        <f t="shared" si="16"/>
        <v>-0.223</v>
      </c>
    </row>
    <row r="100" spans="1:45" ht="16.5" customHeight="1">
      <c r="A100" s="892" t="s">
        <v>1044</v>
      </c>
      <c r="B100" s="892"/>
      <c r="C100" s="522">
        <f>+'Exhibit F'!D90+'Exhibit G'!D77+'Exhibit I'!E59+'Exhibit H'!B45</f>
        <v>-19.499999999999996</v>
      </c>
      <c r="D100" s="522"/>
      <c r="E100" s="522">
        <f>+'Exhibit F'!F90+'Exhibit G'!F77+'Exhibit I'!G59+'Exhibit H'!D45</f>
        <v>10.7</v>
      </c>
      <c r="F100" s="522"/>
      <c r="G100" s="522">
        <f>+'Exhibit F'!H90+'Exhibit G'!H77+'Exhibit I'!I59+'Exhibit H'!F45</f>
        <v>30</v>
      </c>
      <c r="H100" s="522"/>
      <c r="I100" s="522">
        <f>+'Exhibit F'!J90+'Exhibit G'!J77+'Exhibit I'!K59+'Exhibit H'!H45</f>
        <v>75.600000000000009</v>
      </c>
      <c r="J100" s="522"/>
      <c r="K100" s="522">
        <f>+'Exhibit F'!L90+'Exhibit G'!L77+'Exhibit I'!M59+'Exhibit H'!J45</f>
        <v>46.800000000000011</v>
      </c>
      <c r="L100" s="522"/>
      <c r="M100" s="522">
        <f>+'Exhibit F'!N90+'Exhibit G'!N77+'Exhibit I'!O59+'Exhibit H'!L45</f>
        <v>65.5</v>
      </c>
      <c r="N100" s="522"/>
      <c r="O100" s="1636">
        <f>+'Exhibit F'!P90+'Exhibit G'!P77+'Exhibit I'!Q59+'Exhibit H'!N45</f>
        <v>75.7</v>
      </c>
      <c r="P100" s="522"/>
      <c r="Q100" s="522">
        <f>+'Exhibit F'!R90+'Exhibit G'!R77+'Exhibit I'!S59+'Exhibit H'!P45</f>
        <v>42.799999999999926</v>
      </c>
      <c r="R100" s="522"/>
      <c r="S100" s="522">
        <f>+'Exhibit F'!T90+'Exhibit G'!T77+'Exhibit I'!U59+'Exhibit H'!R45</f>
        <v>41.3</v>
      </c>
      <c r="T100" s="522"/>
      <c r="U100" s="522">
        <f>+'Exhibit F'!V90+'Exhibit G'!V77+'Exhibit I'!W59+'Exhibit H'!T45</f>
        <v>50.600000000000016</v>
      </c>
      <c r="V100" s="522"/>
      <c r="W100" s="522"/>
      <c r="X100" s="522"/>
      <c r="Y100" s="522"/>
      <c r="Z100" s="522"/>
      <c r="AA100" s="523"/>
      <c r="AB100" s="1636">
        <f t="shared" si="11"/>
        <v>419.5</v>
      </c>
      <c r="AC100" s="1636"/>
      <c r="AD100" s="3333"/>
      <c r="AE100" s="1636">
        <f>+'Exhibit F'!AF90+'Exhibit G'!AG77+'Exhibit I'!AI59+'Exhibit H'!AD45</f>
        <v>563.80000000000007</v>
      </c>
      <c r="AF100" s="1636"/>
      <c r="AG100" s="1636"/>
      <c r="AH100" s="1636">
        <f t="shared" si="12"/>
        <v>-144.30000000000001</v>
      </c>
      <c r="AI100" s="3123"/>
      <c r="AJ100" s="1725">
        <f t="shared" si="16"/>
        <v>-0.25600000000000001</v>
      </c>
    </row>
    <row r="101" spans="1:45" ht="16.5" customHeight="1">
      <c r="A101" s="892" t="s">
        <v>1045</v>
      </c>
      <c r="B101" s="892"/>
      <c r="C101" s="522">
        <f>+'Exhibit F'!D91+'Exhibit G'!D78+'Exhibit I'!E60+'Exhibit H'!B46</f>
        <v>0.5</v>
      </c>
      <c r="D101" s="522"/>
      <c r="E101" s="522">
        <f>+'Exhibit F'!F91+'Exhibit G'!F78+'Exhibit I'!G60+'Exhibit H'!D46</f>
        <v>0.60000000000000009</v>
      </c>
      <c r="F101" s="522"/>
      <c r="G101" s="522">
        <f>+'Exhibit F'!H91+'Exhibit G'!H78+'Exhibit I'!I60+'Exhibit H'!F46</f>
        <v>2.5999999999999996</v>
      </c>
      <c r="H101" s="522"/>
      <c r="I101" s="522">
        <f>+'Exhibit F'!J91+'Exhibit G'!J78+'Exhibit I'!K60+'Exhibit H'!H46</f>
        <v>3</v>
      </c>
      <c r="J101" s="522"/>
      <c r="K101" s="522">
        <f>+'Exhibit F'!L91+'Exhibit G'!L78+'Exhibit I'!M60+'Exhibit H'!J46</f>
        <v>0.6</v>
      </c>
      <c r="L101" s="522"/>
      <c r="M101" s="522">
        <f>+'Exhibit F'!N91+'Exhibit G'!N78+'Exhibit I'!O60+'Exhibit H'!L46</f>
        <v>0.70000000000000007</v>
      </c>
      <c r="N101" s="522"/>
      <c r="O101" s="1636">
        <f>+'Exhibit F'!P91+'Exhibit G'!P78+'Exhibit I'!Q60+'Exhibit H'!N46</f>
        <v>1.7999999999999998</v>
      </c>
      <c r="P101" s="522"/>
      <c r="Q101" s="522">
        <f>+'Exhibit F'!R91+'Exhibit G'!R78+'Exhibit I'!S60+'Exhibit H'!P46</f>
        <v>0.79999999999999938</v>
      </c>
      <c r="R101" s="522"/>
      <c r="S101" s="522">
        <f>+'Exhibit F'!T91+'Exhibit G'!T78+'Exhibit I'!U60+'Exhibit H'!R46</f>
        <v>0.60000000000000142</v>
      </c>
      <c r="T101" s="522"/>
      <c r="U101" s="522">
        <f>+'Exhibit F'!V91+'Exhibit G'!V78+'Exhibit I'!W60+'Exhibit H'!T46</f>
        <v>1.1999999999999997</v>
      </c>
      <c r="V101" s="522"/>
      <c r="W101" s="522"/>
      <c r="X101" s="522"/>
      <c r="Y101" s="522"/>
      <c r="Z101" s="522"/>
      <c r="AA101" s="523"/>
      <c r="AB101" s="1636">
        <f t="shared" si="11"/>
        <v>12.4</v>
      </c>
      <c r="AC101" s="1636"/>
      <c r="AD101" s="3333"/>
      <c r="AE101" s="1636">
        <f>+'Exhibit F'!AF91+'Exhibit G'!AG78+'Exhibit I'!AI60+'Exhibit H'!AD46</f>
        <v>19.600000000000001</v>
      </c>
      <c r="AF101" s="1636"/>
      <c r="AG101" s="1636"/>
      <c r="AH101" s="1636">
        <f t="shared" si="12"/>
        <v>-7.2</v>
      </c>
      <c r="AI101" s="3123"/>
      <c r="AJ101" s="1725">
        <f t="shared" si="16"/>
        <v>-0.36699999999999999</v>
      </c>
    </row>
    <row r="102" spans="1:45" ht="16.5" customHeight="1">
      <c r="A102" s="892" t="s">
        <v>1046</v>
      </c>
      <c r="B102" s="892"/>
      <c r="C102" s="522">
        <f>+'Exhibit G'!D79</f>
        <v>-67.5</v>
      </c>
      <c r="D102" s="522"/>
      <c r="E102" s="522">
        <f>+'Exhibit G'!F79</f>
        <v>33.6</v>
      </c>
      <c r="F102" s="522"/>
      <c r="G102" s="522">
        <f>+'Exhibit G'!H79</f>
        <v>56.9</v>
      </c>
      <c r="H102" s="522"/>
      <c r="I102" s="522">
        <f>+'Exhibit G'!J79</f>
        <v>50.900000000000013</v>
      </c>
      <c r="J102" s="522"/>
      <c r="K102" s="522">
        <f>+'Exhibit G'!L79</f>
        <v>113.29999999999998</v>
      </c>
      <c r="L102" s="522"/>
      <c r="M102" s="522">
        <f>+'Exhibit G'!N79</f>
        <v>375.69999999999993</v>
      </c>
      <c r="N102" s="522"/>
      <c r="O102" s="1636">
        <f>+'Exhibit G'!P79</f>
        <v>172.80000000000018</v>
      </c>
      <c r="P102" s="522"/>
      <c r="Q102" s="522">
        <f>+'Exhibit G'!R79</f>
        <v>49.699999999999932</v>
      </c>
      <c r="R102" s="522"/>
      <c r="S102" s="522">
        <f>+'Exhibit G'!T79</f>
        <v>-32.799999999999955</v>
      </c>
      <c r="T102" s="522"/>
      <c r="U102" s="522">
        <f>+'Exhibit G'!V79</f>
        <v>150.39999999999998</v>
      </c>
      <c r="V102" s="522"/>
      <c r="W102" s="522"/>
      <c r="X102" s="522"/>
      <c r="Y102" s="522"/>
      <c r="Z102" s="522"/>
      <c r="AA102" s="523"/>
      <c r="AB102" s="1636">
        <f t="shared" si="11"/>
        <v>903</v>
      </c>
      <c r="AC102" s="1636"/>
      <c r="AD102" s="3333"/>
      <c r="AE102" s="1636">
        <f>+'Exhibit G'!AG79</f>
        <v>1180.8</v>
      </c>
      <c r="AF102" s="1636"/>
      <c r="AG102" s="1636"/>
      <c r="AH102" s="1636">
        <f t="shared" si="12"/>
        <v>-277.8</v>
      </c>
      <c r="AI102" s="3123"/>
      <c r="AJ102" s="1725">
        <f>ROUND(IF(AE102=0,0,AH102/ABS(AE102)),3)</f>
        <v>-0.23499999999999999</v>
      </c>
    </row>
    <row r="103" spans="1:45" s="428" customFormat="1" ht="16.5" customHeight="1">
      <c r="A103" s="310" t="s">
        <v>1080</v>
      </c>
      <c r="B103" s="209"/>
      <c r="C103" s="258">
        <f>ROUND(SUM(C62:C102),1)</f>
        <v>2637.2</v>
      </c>
      <c r="D103" s="1069"/>
      <c r="E103" s="258">
        <f>ROUND(SUM(E62:E102),1)</f>
        <v>2439.6999999999998</v>
      </c>
      <c r="F103" s="1069"/>
      <c r="G103" s="258">
        <f>ROUND(SUM(G62:G102),1)</f>
        <v>5557.9</v>
      </c>
      <c r="H103" s="922"/>
      <c r="I103" s="258">
        <f>ROUND(SUM(I62:I102),1)</f>
        <v>1978.6</v>
      </c>
      <c r="J103" s="922"/>
      <c r="K103" s="258">
        <f>ROUND(SUM(K62:K102),1)</f>
        <v>1550.7</v>
      </c>
      <c r="L103" s="922"/>
      <c r="M103" s="258">
        <f>ROUND(SUM(M62:M102),1)</f>
        <v>2444.4</v>
      </c>
      <c r="N103" s="922"/>
      <c r="O103" s="2057">
        <f>ROUND(SUM(O62:O102),1)</f>
        <v>2831.9</v>
      </c>
      <c r="P103" s="922"/>
      <c r="Q103" s="2057">
        <f>ROUND(SUM(Q62:Q102),1)</f>
        <v>1699.2</v>
      </c>
      <c r="R103" s="922"/>
      <c r="S103" s="258">
        <f>ROUND(SUM(S62:S102),1)</f>
        <v>2840.4</v>
      </c>
      <c r="T103" s="922"/>
      <c r="U103" s="258">
        <f>ROUND(SUM(U62:U102),1)</f>
        <v>1752.7</v>
      </c>
      <c r="V103" s="922"/>
      <c r="W103" s="258">
        <f>ROUND(SUM(W62:W102),1)</f>
        <v>0</v>
      </c>
      <c r="X103" s="207"/>
      <c r="Y103" s="258">
        <f>ROUND(SUM(Y62:Y102),1)</f>
        <v>0</v>
      </c>
      <c r="Z103" s="207"/>
      <c r="AA103" s="259"/>
      <c r="AB103" s="1538">
        <f>ROUND(SUM(AB62:AB102),1)</f>
        <v>25732.7</v>
      </c>
      <c r="AC103" s="112"/>
      <c r="AD103" s="679"/>
      <c r="AE103" s="1538">
        <f>ROUND(SUM(AE62:AE102),1)</f>
        <v>23490.1</v>
      </c>
      <c r="AF103" s="115"/>
      <c r="AG103" s="3335"/>
      <c r="AH103" s="1538">
        <f>ROUND(SUM(AH62:AH102),1)</f>
        <v>2242.6</v>
      </c>
      <c r="AI103" s="115"/>
      <c r="AJ103" s="3330">
        <f>ROUND(IF(AE103=0,0,AH103/ABS(AE103)),3)</f>
        <v>9.5000000000000001E-2</v>
      </c>
      <c r="AK103" s="3323"/>
    </row>
    <row r="104" spans="1:45" s="428" customFormat="1" ht="16.5" customHeight="1">
      <c r="A104" s="514"/>
      <c r="B104" s="514"/>
      <c r="C104" s="526"/>
      <c r="D104" s="526"/>
      <c r="E104" s="526"/>
      <c r="F104" s="526"/>
      <c r="G104" s="526"/>
      <c r="H104" s="526"/>
      <c r="I104" s="526"/>
      <c r="J104" s="526"/>
      <c r="K104" s="526"/>
      <c r="L104" s="526"/>
      <c r="M104" s="526"/>
      <c r="N104" s="526"/>
      <c r="O104" s="3131"/>
      <c r="P104" s="526"/>
      <c r="Q104" s="3131"/>
      <c r="R104" s="526"/>
      <c r="S104" s="526"/>
      <c r="T104" s="526"/>
      <c r="U104" s="526"/>
      <c r="V104" s="526"/>
      <c r="W104" s="526"/>
      <c r="X104" s="526"/>
      <c r="Y104" s="526"/>
      <c r="Z104" s="526"/>
      <c r="AA104" s="527"/>
      <c r="AB104" s="3131"/>
      <c r="AC104" s="3132"/>
      <c r="AD104" s="3336"/>
      <c r="AE104" s="3131"/>
      <c r="AF104" s="3132"/>
      <c r="AG104" s="3131"/>
      <c r="AH104" s="3131"/>
      <c r="AI104" s="3124"/>
      <c r="AJ104" s="3322"/>
      <c r="AK104" s="3323"/>
    </row>
    <row r="105" spans="1:45" ht="16.5" customHeight="1">
      <c r="A105" s="225" t="s">
        <v>21</v>
      </c>
      <c r="B105" s="225"/>
      <c r="C105" s="524">
        <f>+'Exhibit F'!D94+'Exhibit G'!D82+'Exhibit H'!B49+'Exhibit I'!E63</f>
        <v>10863.1</v>
      </c>
      <c r="D105" s="522"/>
      <c r="E105" s="524">
        <f>+'Exhibit F'!F94+'Exhibit G'!F82+'Exhibit H'!D49+'Exhibit I'!G63</f>
        <v>4207</v>
      </c>
      <c r="F105" s="522"/>
      <c r="G105" s="524">
        <f>+'Exhibit F'!H94+'Exhibit G'!H82+'Exhibit H'!F49+'Exhibit I'!I63</f>
        <v>7520.2</v>
      </c>
      <c r="H105" s="522"/>
      <c r="I105" s="524">
        <f>+'Exhibit F'!J94+'Exhibit G'!J82+'Exhibit H'!H49+'Exhibit I'!K63</f>
        <v>5423.199999999998</v>
      </c>
      <c r="J105" s="522"/>
      <c r="K105" s="524">
        <f>+'Exhibit F'!L94+'Exhibit G'!L82+'Exhibit H'!J49+'Exhibit I'!M63</f>
        <v>4591.1999999999989</v>
      </c>
      <c r="L105" s="522"/>
      <c r="M105" s="524">
        <f>+'Exhibit F'!N94+'Exhibit G'!N82+'Exhibit H'!L49+'Exhibit I'!O63</f>
        <v>10136.1</v>
      </c>
      <c r="N105" s="522"/>
      <c r="O105" s="3873">
        <f>+'Exhibit F'!P94+'Exhibit G'!P82+'Exhibit H'!N49+'Exhibit I'!Q63</f>
        <v>7609.1999999999944</v>
      </c>
      <c r="P105" s="522"/>
      <c r="Q105" s="524">
        <f>+'Exhibit F'!R94+'Exhibit G'!R82+'Exhibit H'!P49+'Exhibit I'!S63</f>
        <v>4274.8000000000011</v>
      </c>
      <c r="R105" s="522"/>
      <c r="S105" s="524">
        <f>+'Exhibit F'!T94+'Exhibit G'!T82+'Exhibit H'!R49+'Exhibit I'!U63</f>
        <v>7541.300000000002</v>
      </c>
      <c r="T105" s="522"/>
      <c r="U105" s="524">
        <f>+'Exhibit F'!V94+'Exhibit G'!V82+'Exhibit H'!T49+'Exhibit I'!W63</f>
        <v>5908.5999999999976</v>
      </c>
      <c r="V105" s="522"/>
      <c r="W105" s="524"/>
      <c r="X105" s="522"/>
      <c r="Y105" s="524"/>
      <c r="Z105" s="522"/>
      <c r="AA105" s="523"/>
      <c r="AB105" s="3133">
        <f>ROUND(SUM(C105:Y105),1)</f>
        <v>68074.7</v>
      </c>
      <c r="AC105" s="1636"/>
      <c r="AD105" s="3333"/>
      <c r="AE105" s="3873">
        <f>+'Exhibit F'!AF94+'Exhibit G'!AG82+'Exhibit H'!AD49+'Exhibit I'!AI63</f>
        <v>55464.200000000004</v>
      </c>
      <c r="AF105" s="2168"/>
      <c r="AG105" s="1636"/>
      <c r="AH105" s="3133">
        <f>ROUND(SUM(AB105-AE105),1)</f>
        <v>12610.5</v>
      </c>
      <c r="AI105" s="3123"/>
      <c r="AJ105" s="3337">
        <f>ROUND(IF(AE105=0,0,AH105/ABS(AE105)),3)</f>
        <v>0.22700000000000001</v>
      </c>
    </row>
    <row r="106" spans="1:45" ht="16.5" customHeight="1">
      <c r="A106" s="225"/>
      <c r="B106" s="225"/>
      <c r="C106" s="522"/>
      <c r="D106" s="522"/>
      <c r="E106" s="522"/>
      <c r="F106" s="522"/>
      <c r="G106" s="522"/>
      <c r="H106" s="522"/>
      <c r="I106" s="522"/>
      <c r="J106" s="522"/>
      <c r="K106" s="522"/>
      <c r="L106" s="522"/>
      <c r="M106" s="522"/>
      <c r="N106" s="522"/>
      <c r="O106" s="1636"/>
      <c r="P106" s="522"/>
      <c r="Q106" s="1636"/>
      <c r="R106" s="522"/>
      <c r="S106" s="522"/>
      <c r="T106" s="522"/>
      <c r="U106" s="522"/>
      <c r="V106" s="522"/>
      <c r="W106" s="522"/>
      <c r="X106" s="522"/>
      <c r="Y106" s="522"/>
      <c r="Z106" s="522"/>
      <c r="AA106" s="523"/>
      <c r="AB106" s="1636"/>
      <c r="AC106" s="1636"/>
      <c r="AD106" s="3333"/>
      <c r="AE106" s="1636"/>
      <c r="AF106" s="2168"/>
      <c r="AG106" s="1636"/>
      <c r="AH106" s="1636"/>
      <c r="AI106" s="3123"/>
      <c r="AJ106" s="3338"/>
    </row>
    <row r="107" spans="1:45" ht="16.5" customHeight="1">
      <c r="A107" s="29" t="s">
        <v>150</v>
      </c>
      <c r="B107" s="30"/>
      <c r="C107" s="829">
        <f>ROUND(SUM(C105+C103+C58),1)</f>
        <v>17158.3</v>
      </c>
      <c r="D107" s="922"/>
      <c r="E107" s="829">
        <f>ROUND(SUM(E105+E103+E58),1)</f>
        <v>9765.2999999999993</v>
      </c>
      <c r="F107" s="922"/>
      <c r="G107" s="829">
        <f>ROUND(SUM(G105+G103+G58),1)</f>
        <v>20227.3</v>
      </c>
      <c r="H107" s="922"/>
      <c r="I107" s="829">
        <f>ROUND(SUM(I105+I103+I58),1)</f>
        <v>19884.2</v>
      </c>
      <c r="J107" s="922"/>
      <c r="K107" s="829">
        <f>ROUND(SUM(K105+K103+K58),1)</f>
        <v>10484.200000000001</v>
      </c>
      <c r="L107" s="922"/>
      <c r="M107" s="829">
        <f>ROUND(SUM(M105+M103+M58),1)</f>
        <v>21382.799999999999</v>
      </c>
      <c r="N107" s="922"/>
      <c r="O107" s="1107">
        <f>ROUND(SUM(O105+O103+O58),1)</f>
        <v>14728.2</v>
      </c>
      <c r="P107" s="922"/>
      <c r="Q107" s="1107">
        <f>ROUND(SUM(Q105+Q103+Q58),1)</f>
        <v>10281.700000000001</v>
      </c>
      <c r="R107" s="922"/>
      <c r="S107" s="829">
        <f>ROUND(SUM(S105+S103+S58),1)</f>
        <v>18820.2</v>
      </c>
      <c r="T107" s="922"/>
      <c r="U107" s="829">
        <f>ROUND(SUM(U105+U103+U58),1)</f>
        <v>19098.7</v>
      </c>
      <c r="V107" s="922"/>
      <c r="W107" s="829">
        <f>ROUND(SUM(W105+W103+W58),1)</f>
        <v>0</v>
      </c>
      <c r="X107" s="207"/>
      <c r="Y107" s="829">
        <f>ROUND(SUM(Y105+Y103+Y58),1)</f>
        <v>0</v>
      </c>
      <c r="Z107" s="253"/>
      <c r="AA107" s="254"/>
      <c r="AB107" s="1107">
        <f>ROUND(SUM(AB105+AB103+AB58),1)</f>
        <v>161830.9</v>
      </c>
      <c r="AC107" s="112"/>
      <c r="AD107" s="679"/>
      <c r="AE107" s="1107">
        <f>ROUND(SUM(AE105+AE103+AE58),1)</f>
        <v>148955.79999999999</v>
      </c>
      <c r="AF107" s="115"/>
      <c r="AG107" s="3335"/>
      <c r="AH107" s="1107">
        <f>ROUND(SUM(AH105+AH103+AH58),1)</f>
        <v>12875.1</v>
      </c>
      <c r="AI107" s="115"/>
      <c r="AJ107" s="3332">
        <f>ROUND(IF(AE107=0,0,AH107/ABS(AE107)),3)</f>
        <v>8.5999999999999993E-2</v>
      </c>
      <c r="AK107" s="3323"/>
      <c r="AL107" s="428"/>
      <c r="AM107" s="428"/>
      <c r="AN107" s="428"/>
      <c r="AO107" s="428"/>
      <c r="AP107" s="428"/>
      <c r="AQ107" s="428"/>
      <c r="AR107" s="428"/>
      <c r="AS107" s="428"/>
    </row>
    <row r="108" spans="1:45" ht="16.5" customHeight="1">
      <c r="A108" s="207"/>
      <c r="B108" s="225"/>
      <c r="C108" s="528"/>
      <c r="D108" s="522"/>
      <c r="E108" s="528"/>
      <c r="F108" s="522"/>
      <c r="G108" s="528"/>
      <c r="H108" s="522"/>
      <c r="I108" s="528"/>
      <c r="J108" s="522"/>
      <c r="K108" s="528"/>
      <c r="L108" s="522"/>
      <c r="M108" s="528"/>
      <c r="N108" s="522"/>
      <c r="O108" s="3134"/>
      <c r="P108" s="522"/>
      <c r="Q108" s="3134"/>
      <c r="R108" s="522"/>
      <c r="S108" s="528"/>
      <c r="T108" s="522"/>
      <c r="U108" s="528"/>
      <c r="V108" s="522"/>
      <c r="W108" s="528"/>
      <c r="X108" s="522"/>
      <c r="Y108" s="528"/>
      <c r="Z108" s="522"/>
      <c r="AA108" s="523"/>
      <c r="AB108" s="3134"/>
      <c r="AC108" s="1636"/>
      <c r="AD108" s="3333"/>
      <c r="AE108" s="3134"/>
      <c r="AF108" s="1636"/>
      <c r="AG108" s="1636"/>
      <c r="AH108" s="895"/>
      <c r="AI108" s="3123"/>
      <c r="AJ108" s="891"/>
    </row>
    <row r="109" spans="1:45" ht="16.5" customHeight="1">
      <c r="A109" s="207" t="s">
        <v>23</v>
      </c>
      <c r="B109" s="225"/>
      <c r="C109" s="529"/>
      <c r="D109" s="522"/>
      <c r="E109" s="529"/>
      <c r="F109" s="522"/>
      <c r="G109" s="529"/>
      <c r="H109" s="522"/>
      <c r="I109" s="529"/>
      <c r="J109" s="522"/>
      <c r="K109" s="529"/>
      <c r="L109" s="522"/>
      <c r="M109" s="529"/>
      <c r="N109" s="522"/>
      <c r="O109" s="2168"/>
      <c r="P109" s="522"/>
      <c r="Q109" s="2168"/>
      <c r="R109" s="522"/>
      <c r="S109" s="529"/>
      <c r="T109" s="522"/>
      <c r="U109" s="529"/>
      <c r="V109" s="522"/>
      <c r="W109" s="529"/>
      <c r="X109" s="522"/>
      <c r="Y109" s="529"/>
      <c r="Z109" s="522"/>
      <c r="AA109" s="523"/>
      <c r="AB109" s="2168"/>
      <c r="AC109" s="1636"/>
      <c r="AD109" s="3333"/>
      <c r="AE109" s="2168"/>
      <c r="AF109" s="1636"/>
      <c r="AG109" s="1636"/>
      <c r="AH109" s="895"/>
      <c r="AI109" s="3123"/>
      <c r="AJ109" s="891"/>
    </row>
    <row r="110" spans="1:45" ht="16.5" customHeight="1">
      <c r="A110" s="225" t="s">
        <v>137</v>
      </c>
      <c r="B110" s="225"/>
      <c r="C110" s="522"/>
      <c r="D110" s="522"/>
      <c r="E110" s="522"/>
      <c r="F110" s="522"/>
      <c r="G110" s="522"/>
      <c r="H110" s="522"/>
      <c r="I110" s="522"/>
      <c r="J110" s="522"/>
      <c r="K110" s="522"/>
      <c r="L110" s="522"/>
      <c r="M110" s="522"/>
      <c r="N110" s="522"/>
      <c r="O110" s="1636"/>
      <c r="P110" s="522"/>
      <c r="Q110" s="1636"/>
      <c r="R110" s="522"/>
      <c r="S110" s="522"/>
      <c r="T110" s="522"/>
      <c r="U110" s="522"/>
      <c r="V110" s="522"/>
      <c r="W110" s="522"/>
      <c r="X110" s="522"/>
      <c r="Y110" s="522"/>
      <c r="Z110" s="522"/>
      <c r="AA110" s="523"/>
      <c r="AB110" s="1636"/>
      <c r="AC110" s="1636"/>
      <c r="AD110" s="3333"/>
      <c r="AE110" s="118"/>
      <c r="AF110" s="1636"/>
      <c r="AG110" s="1636"/>
      <c r="AH110" s="1636"/>
      <c r="AI110" s="3123"/>
      <c r="AJ110" s="3334"/>
    </row>
    <row r="111" spans="1:45" ht="16.5" customHeight="1">
      <c r="A111" s="256" t="s">
        <v>25</v>
      </c>
      <c r="B111" s="225"/>
      <c r="C111" s="522">
        <f>+'Exhibit F'!D100+'Exhibit G'!D88+'Exhibit I'!E69</f>
        <v>1149.2</v>
      </c>
      <c r="D111" s="522"/>
      <c r="E111" s="522">
        <f>+'Exhibit F'!F100+'Exhibit G'!F88+'Exhibit I'!G69</f>
        <v>4132.7000000000007</v>
      </c>
      <c r="F111" s="522"/>
      <c r="G111" s="522">
        <f>+'Exhibit F'!H100+'Exhibit G'!H88+'Exhibit I'!I69</f>
        <v>3964.8999999999996</v>
      </c>
      <c r="H111" s="522"/>
      <c r="I111" s="522">
        <f>+'Exhibit F'!J100+'Exhibit G'!J88+'Exhibit I'!K69</f>
        <v>799.20000000000107</v>
      </c>
      <c r="J111" s="522"/>
      <c r="K111" s="522">
        <f>+'Exhibit F'!L100+'Exhibit G'!L88+'Exhibit I'!M69</f>
        <v>1070.5</v>
      </c>
      <c r="L111" s="522"/>
      <c r="M111" s="522">
        <f>+'Exhibit F'!N100+'Exhibit G'!N88+'Exhibit I'!O69</f>
        <v>4157.2999999999975</v>
      </c>
      <c r="N111" s="522"/>
      <c r="O111" s="1636">
        <f>+'Exhibit F'!P100+'Exhibit G'!P88+'Exhibit I'!Q69</f>
        <v>1350.8000000000006</v>
      </c>
      <c r="P111" s="522"/>
      <c r="Q111" s="522">
        <f>+'Exhibit F'!R100+'Exhibit G'!R88+'Exhibit I'!S69</f>
        <v>1804.2999999999997</v>
      </c>
      <c r="R111" s="522"/>
      <c r="S111" s="522">
        <f>+'Exhibit F'!T100+'Exhibit G'!T88+'Exhibit I'!U69</f>
        <v>2665.4999999999991</v>
      </c>
      <c r="T111" s="522"/>
      <c r="U111" s="522">
        <f>+'Exhibit F'!V100+'Exhibit G'!V88+'Exhibit I'!W69</f>
        <v>2974.1000000000017</v>
      </c>
      <c r="V111" s="522"/>
      <c r="W111" s="522"/>
      <c r="X111" s="522"/>
      <c r="Y111" s="522"/>
      <c r="Z111" s="522"/>
      <c r="AA111" s="523"/>
      <c r="AB111" s="118">
        <f>ROUND(SUM(C111:Y111),1)</f>
        <v>24068.5</v>
      </c>
      <c r="AC111" s="1636"/>
      <c r="AD111" s="3333"/>
      <c r="AE111" s="118">
        <f>+'Exhibit F'!AF100+'Exhibit G'!AG88+'Exhibit I'!AI69</f>
        <v>26308.899999999998</v>
      </c>
      <c r="AF111" s="1636"/>
      <c r="AG111" s="1636"/>
      <c r="AH111" s="1636">
        <f>ROUND(SUM(AB111-AE111),1)</f>
        <v>-2240.4</v>
      </c>
      <c r="AI111" s="3123"/>
      <c r="AJ111" s="1725">
        <f>ROUND(IF(AE111=0,0,AH111/ABS(AE111)),3)</f>
        <v>-8.5000000000000006E-2</v>
      </c>
    </row>
    <row r="112" spans="1:45" ht="16.5" customHeight="1">
      <c r="A112" s="256" t="s">
        <v>26</v>
      </c>
      <c r="B112" s="225"/>
      <c r="C112" s="522">
        <f>+'Exhibit F'!D101+'Exhibit G'!D89+'Exhibit I'!E70</f>
        <v>4.5</v>
      </c>
      <c r="D112" s="522"/>
      <c r="E112" s="522">
        <f>+'Exhibit F'!F101+'Exhibit G'!F89+'Exhibit I'!G70</f>
        <v>3.6999999999999993</v>
      </c>
      <c r="F112" s="522"/>
      <c r="G112" s="522">
        <f>+'Exhibit F'!H101+'Exhibit G'!H89+'Exhibit I'!I70</f>
        <v>14.000000000000004</v>
      </c>
      <c r="H112" s="522"/>
      <c r="I112" s="522">
        <f>+'Exhibit F'!J101+'Exhibit G'!J89+'Exhibit I'!K70</f>
        <v>12.900000000000002</v>
      </c>
      <c r="J112" s="522"/>
      <c r="K112" s="522">
        <f>+'Exhibit F'!L101+'Exhibit G'!L89+'Exhibit I'!M70</f>
        <v>20.6</v>
      </c>
      <c r="L112" s="522"/>
      <c r="M112" s="522">
        <f>+'Exhibit F'!N101+'Exhibit G'!N89+'Exhibit I'!O70</f>
        <v>15.599999999999984</v>
      </c>
      <c r="N112" s="522"/>
      <c r="O112" s="1636">
        <f>+'Exhibit F'!P101+'Exhibit G'!P89+'Exhibit I'!Q70</f>
        <v>7.7000000000000055</v>
      </c>
      <c r="P112" s="522"/>
      <c r="Q112" s="522">
        <f>+'Exhibit F'!R101+'Exhibit G'!R89+'Exhibit I'!S70</f>
        <v>9.9999999999999964</v>
      </c>
      <c r="R112" s="522"/>
      <c r="S112" s="522">
        <f>+'Exhibit F'!T101+'Exhibit G'!T89+'Exhibit I'!U70</f>
        <v>20.800000000000011</v>
      </c>
      <c r="T112" s="522"/>
      <c r="U112" s="522">
        <f>+'Exhibit F'!V101+'Exhibit G'!V89+'Exhibit I'!W70</f>
        <v>36.600000000000016</v>
      </c>
      <c r="V112" s="522"/>
      <c r="W112" s="522"/>
      <c r="X112" s="522"/>
      <c r="Y112" s="522"/>
      <c r="Z112" s="522"/>
      <c r="AA112" s="523"/>
      <c r="AB112" s="118">
        <f t="shared" ref="AB112:AB119" si="17">ROUND(SUM(C112:Y112),1)</f>
        <v>146.4</v>
      </c>
      <c r="AC112" s="1636"/>
      <c r="AD112" s="3333"/>
      <c r="AE112" s="118">
        <f>+'Exhibit F'!AF101+'Exhibit G'!AG89+'Exhibit I'!AI70</f>
        <v>385.29999999999995</v>
      </c>
      <c r="AF112" s="1636"/>
      <c r="AG112" s="1636"/>
      <c r="AH112" s="1636">
        <f t="shared" ref="AH112:AH119" si="18">ROUND(SUM(AB112-AE112),1)</f>
        <v>-238.9</v>
      </c>
      <c r="AI112" s="3123"/>
      <c r="AJ112" s="1725">
        <f>ROUND(IF(AE112=0,0,AH112/ABS(AE112)),3)</f>
        <v>-0.62</v>
      </c>
    </row>
    <row r="113" spans="1:38" ht="16.5" customHeight="1">
      <c r="A113" s="256" t="s">
        <v>27</v>
      </c>
      <c r="B113" s="225"/>
      <c r="C113" s="522">
        <f>+'Exhibit F'!D102+'Exhibit G'!D90+'Exhibit I'!E71</f>
        <v>48.5</v>
      </c>
      <c r="D113" s="522"/>
      <c r="E113" s="522">
        <f>+'Exhibit F'!F102+'Exhibit G'!F90+'Exhibit I'!G71</f>
        <v>17.699999999999996</v>
      </c>
      <c r="F113" s="522"/>
      <c r="G113" s="522">
        <f>+'Exhibit F'!H102+'Exhibit G'!H90+'Exhibit I'!I71</f>
        <v>543.70000000000005</v>
      </c>
      <c r="H113" s="522"/>
      <c r="I113" s="522">
        <f>+'Exhibit F'!J102+'Exhibit G'!J90+'Exhibit I'!K71</f>
        <v>67.400000000000034</v>
      </c>
      <c r="J113" s="522"/>
      <c r="K113" s="522">
        <f>+'Exhibit F'!L102+'Exhibit G'!L90+'Exhibit I'!M71</f>
        <v>109</v>
      </c>
      <c r="L113" s="522"/>
      <c r="M113" s="522">
        <f>+'Exhibit F'!N102+'Exhibit G'!N90+'Exhibit I'!O71</f>
        <v>3937.2000000000003</v>
      </c>
      <c r="N113" s="522"/>
      <c r="O113" s="1636">
        <f>+'Exhibit F'!P102+'Exhibit G'!P90+'Exhibit I'!Q71</f>
        <v>322.39999999999975</v>
      </c>
      <c r="P113" s="522"/>
      <c r="Q113" s="522">
        <f>+'Exhibit F'!R102+'Exhibit G'!R90+'Exhibit I'!S71</f>
        <v>159.00000000000077</v>
      </c>
      <c r="R113" s="522"/>
      <c r="S113" s="522">
        <f>+'Exhibit F'!T102+'Exhibit G'!T90+'Exhibit I'!U71</f>
        <v>333.89999999999981</v>
      </c>
      <c r="T113" s="522"/>
      <c r="U113" s="522">
        <f>+'Exhibit F'!V102+'Exhibit G'!V90+'Exhibit I'!W71</f>
        <v>93.599999999997976</v>
      </c>
      <c r="V113" s="522"/>
      <c r="W113" s="522"/>
      <c r="X113" s="522"/>
      <c r="Y113" s="522"/>
      <c r="Z113" s="522"/>
      <c r="AA113" s="523"/>
      <c r="AB113" s="118">
        <f t="shared" si="17"/>
        <v>5632.4</v>
      </c>
      <c r="AC113" s="1636"/>
      <c r="AD113" s="3333"/>
      <c r="AE113" s="118">
        <f>+'Exhibit F'!AF102+'Exhibit G'!AG90+'Exhibit I'!AI71</f>
        <v>1945.8</v>
      </c>
      <c r="AF113" s="1636"/>
      <c r="AG113" s="1636"/>
      <c r="AH113" s="1636">
        <f t="shared" si="18"/>
        <v>3686.6</v>
      </c>
      <c r="AI113" s="3123"/>
      <c r="AJ113" s="1725">
        <f>ROUND(IF(AE113=0,0,AH113/ABS(AE113)),3)</f>
        <v>1.895</v>
      </c>
    </row>
    <row r="114" spans="1:38" ht="16.5" customHeight="1">
      <c r="A114" s="256" t="s">
        <v>28</v>
      </c>
      <c r="B114" s="225"/>
      <c r="C114" s="522"/>
      <c r="D114" s="522"/>
      <c r="E114" s="522"/>
      <c r="F114" s="522"/>
      <c r="G114" s="522"/>
      <c r="H114" s="522"/>
      <c r="I114" s="522"/>
      <c r="J114" s="522"/>
      <c r="K114" s="522"/>
      <c r="L114" s="522"/>
      <c r="M114" s="522"/>
      <c r="N114" s="522"/>
      <c r="O114" s="1636"/>
      <c r="P114" s="522"/>
      <c r="Q114" s="522"/>
      <c r="R114" s="522"/>
      <c r="S114" s="522"/>
      <c r="T114" s="522"/>
      <c r="U114" s="522"/>
      <c r="V114" s="522"/>
      <c r="W114" s="522"/>
      <c r="X114" s="522"/>
      <c r="Y114" s="522"/>
      <c r="Z114" s="522"/>
      <c r="AA114" s="523"/>
      <c r="AB114" s="118"/>
      <c r="AC114" s="1636"/>
      <c r="AD114" s="3333"/>
      <c r="AE114" s="357"/>
      <c r="AF114" s="1636"/>
      <c r="AG114" s="1636"/>
      <c r="AH114" s="1636" t="s">
        <v>15</v>
      </c>
      <c r="AI114" s="3123"/>
      <c r="AJ114" s="3334"/>
    </row>
    <row r="115" spans="1:38" ht="16.5" customHeight="1">
      <c r="A115" s="257" t="s">
        <v>29</v>
      </c>
      <c r="B115" s="225"/>
      <c r="C115" s="522">
        <f>+'Exhibit F'!D104+'Exhibit G'!D92+'Exhibit I'!E73</f>
        <v>5410.3</v>
      </c>
      <c r="D115" s="522"/>
      <c r="E115" s="522">
        <f>+'Exhibit F'!F104+'Exhibit G'!F92+'Exhibit I'!G73</f>
        <v>5099.6000000000004</v>
      </c>
      <c r="F115" s="522"/>
      <c r="G115" s="522">
        <f>+'Exhibit F'!H104+'Exhibit G'!H92+'Exhibit I'!I73</f>
        <v>6082.5</v>
      </c>
      <c r="H115" s="522"/>
      <c r="I115" s="522">
        <f>+'Exhibit F'!J104+'Exhibit G'!J92+'Exhibit I'!K73</f>
        <v>5357.6000000000013</v>
      </c>
      <c r="J115" s="522"/>
      <c r="K115" s="522">
        <f>+'Exhibit F'!L104+'Exhibit G'!L92+'Exhibit I'!M73</f>
        <v>5292.7999999999984</v>
      </c>
      <c r="L115" s="522"/>
      <c r="M115" s="522">
        <f>+'Exhibit F'!N104+'Exhibit G'!N92+'Exhibit I'!O73</f>
        <v>7004.600000000004</v>
      </c>
      <c r="N115" s="522"/>
      <c r="O115" s="1636">
        <f>+'Exhibit F'!P104+'Exhibit G'!P92+'Exhibit I'!Q73</f>
        <v>4286.0999999999985</v>
      </c>
      <c r="P115" s="522"/>
      <c r="Q115" s="522">
        <f>+'Exhibit F'!R104+'Exhibit G'!R92+'Exhibit I'!S73</f>
        <v>4812.6000000000004</v>
      </c>
      <c r="R115" s="522"/>
      <c r="S115" s="522">
        <f>+'Exhibit F'!T104+'Exhibit G'!T92+'Exhibit I'!U73</f>
        <v>6709.2999999999993</v>
      </c>
      <c r="T115" s="522"/>
      <c r="U115" s="522">
        <f>+'Exhibit F'!V104+'Exhibit G'!V92+'Exhibit I'!W73</f>
        <v>5415.4999999999945</v>
      </c>
      <c r="V115" s="522"/>
      <c r="W115" s="522"/>
      <c r="X115" s="522"/>
      <c r="Y115" s="522"/>
      <c r="Z115" s="522"/>
      <c r="AA115" s="523"/>
      <c r="AB115" s="118">
        <f t="shared" si="17"/>
        <v>55470.9</v>
      </c>
      <c r="AC115" s="1636"/>
      <c r="AD115" s="3333"/>
      <c r="AE115" s="118">
        <f>+'Exhibit F'!AF104+'Exhibit G'!AG92+'Exhibit I'!AI73</f>
        <v>55670.9</v>
      </c>
      <c r="AF115" s="1636"/>
      <c r="AG115" s="1636"/>
      <c r="AH115" s="1636">
        <f t="shared" si="18"/>
        <v>-200</v>
      </c>
      <c r="AI115" s="3123"/>
      <c r="AJ115" s="1725">
        <f t="shared" ref="AJ115:AJ121" si="19">ROUND(IF(AE115=0,0,AH115/ABS(AE115)),3)</f>
        <v>-4.0000000000000001E-3</v>
      </c>
      <c r="AK115" s="3339"/>
    </row>
    <row r="116" spans="1:38" ht="16.5" customHeight="1">
      <c r="A116" s="256" t="s">
        <v>30</v>
      </c>
      <c r="B116" s="225"/>
      <c r="C116" s="522">
        <f>+'Exhibit F'!D105+'Exhibit G'!D93+'Exhibit I'!E74</f>
        <v>602.5</v>
      </c>
      <c r="D116" s="522"/>
      <c r="E116" s="522">
        <f>+'Exhibit F'!F105+'Exhibit G'!F93+'Exhibit I'!G74</f>
        <v>638.5</v>
      </c>
      <c r="F116" s="522"/>
      <c r="G116" s="522">
        <f>+'Exhibit F'!H105+'Exhibit G'!H93+'Exhibit I'!I74</f>
        <v>980.4</v>
      </c>
      <c r="H116" s="522"/>
      <c r="I116" s="522">
        <f>+'Exhibit F'!J105+'Exhibit G'!J93+'Exhibit I'!K74</f>
        <v>1028.7</v>
      </c>
      <c r="J116" s="522"/>
      <c r="K116" s="522">
        <f>+'Exhibit F'!L105+'Exhibit G'!L93+'Exhibit I'!M74</f>
        <v>701.70000000000039</v>
      </c>
      <c r="L116" s="522"/>
      <c r="M116" s="522">
        <f>+'Exhibit F'!N105+'Exhibit G'!N93+'Exhibit I'!O74</f>
        <v>1078.4999999999995</v>
      </c>
      <c r="N116" s="522"/>
      <c r="O116" s="1636">
        <f>+'Exhibit F'!P105+'Exhibit G'!P93+'Exhibit I'!Q74</f>
        <v>815.20000000000027</v>
      </c>
      <c r="P116" s="522"/>
      <c r="Q116" s="522">
        <f>+'Exhibit F'!R105+'Exhibit G'!R93+'Exhibit I'!S74</f>
        <v>774.3</v>
      </c>
      <c r="R116" s="522"/>
      <c r="S116" s="522">
        <f>+'Exhibit F'!T105+'Exhibit G'!T93+'Exhibit I'!U74</f>
        <v>864.49999999999977</v>
      </c>
      <c r="T116" s="522"/>
      <c r="U116" s="522">
        <f>+'Exhibit F'!V105+'Exhibit G'!V93+'Exhibit I'!W74</f>
        <v>1028.5</v>
      </c>
      <c r="V116" s="522"/>
      <c r="W116" s="522"/>
      <c r="X116" s="522"/>
      <c r="Y116" s="522"/>
      <c r="Z116" s="522"/>
      <c r="AA116" s="523"/>
      <c r="AB116" s="118">
        <f t="shared" si="17"/>
        <v>8512.7999999999993</v>
      </c>
      <c r="AC116" s="3135"/>
      <c r="AD116" s="1636"/>
      <c r="AE116" s="118">
        <f>+'Exhibit F'!AF105+'Exhibit G'!AG93+'Exhibit I'!AI74</f>
        <v>8376.6</v>
      </c>
      <c r="AF116" s="1636"/>
      <c r="AG116" s="1636"/>
      <c r="AH116" s="1636">
        <f t="shared" si="18"/>
        <v>136.19999999999999</v>
      </c>
      <c r="AI116" s="3123"/>
      <c r="AJ116" s="1725">
        <f t="shared" si="19"/>
        <v>1.6E-2</v>
      </c>
    </row>
    <row r="117" spans="1:38" ht="16.5" customHeight="1">
      <c r="A117" s="256" t="s">
        <v>31</v>
      </c>
      <c r="B117" s="225"/>
      <c r="C117" s="522">
        <f>+'Exhibit F'!D106+'Exhibit G'!D94+'Exhibit I'!E75</f>
        <v>95.300000000000011</v>
      </c>
      <c r="D117" s="522"/>
      <c r="E117" s="522">
        <f>+'Exhibit F'!F106+'Exhibit G'!F94+'Exhibit I'!G75</f>
        <v>63.6</v>
      </c>
      <c r="F117" s="522"/>
      <c r="G117" s="522">
        <f>+'Exhibit F'!H106+'Exhibit G'!H94+'Exhibit I'!I75</f>
        <v>163.29999999999998</v>
      </c>
      <c r="H117" s="522"/>
      <c r="I117" s="522">
        <f>+'Exhibit F'!J106+'Exhibit G'!J94+'Exhibit I'!K75</f>
        <v>265.2</v>
      </c>
      <c r="J117" s="522"/>
      <c r="K117" s="522">
        <f>+'Exhibit F'!L106+'Exhibit G'!L94+'Exhibit I'!M75</f>
        <v>71.199999999999989</v>
      </c>
      <c r="L117" s="522"/>
      <c r="M117" s="522">
        <f>+'Exhibit F'!N106+'Exhibit G'!N94+'Exhibit I'!O75</f>
        <v>151.00000000000003</v>
      </c>
      <c r="N117" s="522"/>
      <c r="O117" s="1636">
        <f>+'Exhibit F'!P106+'Exhibit G'!P94+'Exhibit I'!Q75</f>
        <v>634.6999999999997</v>
      </c>
      <c r="P117" s="522"/>
      <c r="Q117" s="522">
        <f>+'Exhibit F'!R106+'Exhibit G'!R94+'Exhibit I'!S75</f>
        <v>56.8</v>
      </c>
      <c r="R117" s="522"/>
      <c r="S117" s="522">
        <f>+'Exhibit F'!T106+'Exhibit G'!T94+'Exhibit I'!U75</f>
        <v>180.70000000000007</v>
      </c>
      <c r="T117" s="522"/>
      <c r="U117" s="522">
        <f>+'Exhibit F'!V106+'Exhibit G'!V94+'Exhibit I'!W75</f>
        <v>95.70000000000023</v>
      </c>
      <c r="V117" s="522"/>
      <c r="W117" s="522"/>
      <c r="X117" s="522"/>
      <c r="Y117" s="522"/>
      <c r="Z117" s="522"/>
      <c r="AA117" s="523"/>
      <c r="AB117" s="118">
        <f t="shared" si="17"/>
        <v>1777.5</v>
      </c>
      <c r="AC117" s="3136"/>
      <c r="AD117" s="3333"/>
      <c r="AE117" s="118">
        <f>+'Exhibit F'!AF106+'Exhibit G'!AG94+'Exhibit I'!AI75</f>
        <v>1455.8</v>
      </c>
      <c r="AF117" s="1636"/>
      <c r="AG117" s="1636"/>
      <c r="AH117" s="1636">
        <f t="shared" si="18"/>
        <v>321.7</v>
      </c>
      <c r="AI117" s="3123"/>
      <c r="AJ117" s="1725">
        <f t="shared" si="19"/>
        <v>0.221</v>
      </c>
    </row>
    <row r="118" spans="1:38" ht="16.5" customHeight="1">
      <c r="A118" s="256" t="s">
        <v>32</v>
      </c>
      <c r="B118" s="225"/>
      <c r="C118" s="522">
        <f>+'Exhibit F'!D107+'Exhibit G'!D95+'Exhibit I'!E76</f>
        <v>211.8</v>
      </c>
      <c r="D118" s="522"/>
      <c r="E118" s="522">
        <f>+'Exhibit F'!F107+'Exhibit G'!F95+'Exhibit I'!G76</f>
        <v>217.7</v>
      </c>
      <c r="F118" s="522"/>
      <c r="G118" s="522">
        <f>+'Exhibit F'!H107+'Exhibit G'!H95+'Exhibit I'!I76</f>
        <v>388.7</v>
      </c>
      <c r="H118" s="522"/>
      <c r="I118" s="522">
        <f>+'Exhibit F'!J107+'Exhibit G'!J95+'Exhibit I'!K76</f>
        <v>850.8</v>
      </c>
      <c r="J118" s="522"/>
      <c r="K118" s="522">
        <f>+'Exhibit F'!L107+'Exhibit G'!L95+'Exhibit I'!M76</f>
        <v>364.1</v>
      </c>
      <c r="L118" s="522"/>
      <c r="M118" s="522">
        <f>+'Exhibit F'!N107+'Exhibit G'!N95+'Exhibit I'!O76</f>
        <v>1487.4999999999995</v>
      </c>
      <c r="N118" s="522"/>
      <c r="O118" s="1636">
        <f>+'Exhibit F'!P107+'Exhibit G'!P95+'Exhibit I'!Q76</f>
        <v>479</v>
      </c>
      <c r="P118" s="522"/>
      <c r="Q118" s="522">
        <f>+'Exhibit F'!R107+'Exhibit G'!R95+'Exhibit I'!S76</f>
        <v>394.60000000000042</v>
      </c>
      <c r="R118" s="522"/>
      <c r="S118" s="522">
        <f>+'Exhibit F'!T107+'Exhibit G'!T95+'Exhibit I'!U76</f>
        <v>426.49999999999989</v>
      </c>
      <c r="T118" s="522"/>
      <c r="U118" s="522">
        <f>+'Exhibit F'!V107+'Exhibit G'!V95+'Exhibit I'!W76</f>
        <v>436.69999999999993</v>
      </c>
      <c r="V118" s="522"/>
      <c r="W118" s="522"/>
      <c r="X118" s="522"/>
      <c r="Y118" s="522"/>
      <c r="Z118" s="522"/>
      <c r="AA118" s="523"/>
      <c r="AB118" s="118">
        <f t="shared" si="17"/>
        <v>5257.4</v>
      </c>
      <c r="AC118" s="3136"/>
      <c r="AD118" s="3333"/>
      <c r="AE118" s="118">
        <f>+'Exhibit F'!AF107+'Exhibit G'!AG95+'Exhibit I'!AI76</f>
        <v>5995.7</v>
      </c>
      <c r="AF118" s="1636"/>
      <c r="AG118" s="1636"/>
      <c r="AH118" s="1636">
        <f t="shared" si="18"/>
        <v>-738.3</v>
      </c>
      <c r="AI118" s="3123"/>
      <c r="AJ118" s="1725">
        <f t="shared" si="19"/>
        <v>-0.123</v>
      </c>
    </row>
    <row r="119" spans="1:38" ht="16.5" customHeight="1">
      <c r="A119" s="256" t="s">
        <v>33</v>
      </c>
      <c r="B119" s="225"/>
      <c r="C119" s="522">
        <f>+'Exhibit F'!D108+'Exhibit G'!D96+'Exhibit I'!E77</f>
        <v>48.1</v>
      </c>
      <c r="D119" s="522"/>
      <c r="E119" s="522">
        <f>+'Exhibit F'!F108+'Exhibit G'!F96+'Exhibit I'!G77</f>
        <v>15.099999999999996</v>
      </c>
      <c r="F119" s="522"/>
      <c r="G119" s="522">
        <f>+'Exhibit F'!H108+'Exhibit G'!H96+'Exhibit I'!I77</f>
        <v>35.900000000000006</v>
      </c>
      <c r="H119" s="522"/>
      <c r="I119" s="522">
        <f>+'Exhibit F'!J108+'Exhibit G'!J96+'Exhibit I'!K77</f>
        <v>26.699999999999989</v>
      </c>
      <c r="J119" s="522"/>
      <c r="K119" s="522">
        <f>+'Exhibit F'!L108+'Exhibit G'!L96+'Exhibit I'!M77</f>
        <v>84.499999999999972</v>
      </c>
      <c r="L119" s="522"/>
      <c r="M119" s="522">
        <f>+'Exhibit F'!N108+'Exhibit G'!N96+'Exhibit I'!O77</f>
        <v>22.300000000000008</v>
      </c>
      <c r="N119" s="522"/>
      <c r="O119" s="1636">
        <f>+'Exhibit F'!P108+'Exhibit G'!P96+'Exhibit I'!Q77</f>
        <v>64.200000000000017</v>
      </c>
      <c r="P119" s="522"/>
      <c r="Q119" s="522">
        <f>+'Exhibit F'!R108+'Exhibit G'!R96+'Exhibit I'!S77</f>
        <v>54.199999999999989</v>
      </c>
      <c r="R119" s="522"/>
      <c r="S119" s="522">
        <f>+'Exhibit F'!T108+'Exhibit G'!T96+'Exhibit I'!U77</f>
        <v>144.90000000000003</v>
      </c>
      <c r="T119" s="522"/>
      <c r="U119" s="522">
        <f>+'Exhibit F'!V108+'Exhibit G'!V96+'Exhibit I'!W77</f>
        <v>31.400000000000013</v>
      </c>
      <c r="V119" s="522"/>
      <c r="W119" s="522"/>
      <c r="X119" s="522"/>
      <c r="Y119" s="522"/>
      <c r="Z119" s="522"/>
      <c r="AA119" s="523"/>
      <c r="AB119" s="118">
        <f t="shared" si="17"/>
        <v>527.29999999999995</v>
      </c>
      <c r="AC119" s="3136"/>
      <c r="AD119" s="3333"/>
      <c r="AE119" s="118">
        <f>+'Exhibit F'!AF108+'Exhibit G'!AG96+'Exhibit I'!AI77</f>
        <v>898.9</v>
      </c>
      <c r="AF119" s="1636"/>
      <c r="AG119" s="1636"/>
      <c r="AH119" s="1636">
        <f t="shared" si="18"/>
        <v>-371.6</v>
      </c>
      <c r="AI119" s="3123"/>
      <c r="AJ119" s="1725">
        <f t="shared" si="19"/>
        <v>-0.41299999999999998</v>
      </c>
    </row>
    <row r="120" spans="1:38" ht="16.5" customHeight="1">
      <c r="A120" s="256" t="s">
        <v>34</v>
      </c>
      <c r="B120" s="225"/>
      <c r="C120" s="522">
        <f>+'Exhibit F'!D109+'Exhibit G'!D97+'Exhibit I'!E78</f>
        <v>90</v>
      </c>
      <c r="D120" s="522"/>
      <c r="E120" s="522">
        <f>+'Exhibit F'!F109+'Exhibit G'!F97+'Exhibit I'!G78</f>
        <v>90.9</v>
      </c>
      <c r="F120" s="522"/>
      <c r="G120" s="522">
        <f>+'Exhibit F'!H109+'Exhibit G'!H97+'Exhibit I'!I78</f>
        <v>72.599999999999994</v>
      </c>
      <c r="H120" s="522"/>
      <c r="I120" s="522">
        <f>+'Exhibit F'!J109+'Exhibit G'!J97+'Exhibit I'!K78</f>
        <v>825.49999999999989</v>
      </c>
      <c r="J120" s="522"/>
      <c r="K120" s="522">
        <f>+'Exhibit F'!L109+'Exhibit G'!L97+'Exhibit I'!M78</f>
        <v>509.6</v>
      </c>
      <c r="L120" s="522"/>
      <c r="M120" s="522">
        <f>+'Exhibit F'!N109+'Exhibit G'!N97+'Exhibit I'!O78</f>
        <v>618.10000000000014</v>
      </c>
      <c r="N120" s="522"/>
      <c r="O120" s="1636">
        <f>+'Exhibit F'!P109+'Exhibit G'!P97+'Exhibit I'!Q78</f>
        <v>744.99999999999989</v>
      </c>
      <c r="P120" s="522"/>
      <c r="Q120" s="522">
        <f>+'Exhibit F'!R109+'Exhibit G'!R97+'Exhibit I'!S78</f>
        <v>956.2999999999995</v>
      </c>
      <c r="R120" s="522"/>
      <c r="S120" s="522">
        <f>+'Exhibit F'!T109+'Exhibit G'!T97+'Exhibit I'!U78</f>
        <v>1009.2000000000002</v>
      </c>
      <c r="T120" s="522"/>
      <c r="U120" s="522">
        <f>+'Exhibit F'!V109+'Exhibit G'!V97+'Exhibit I'!W78</f>
        <v>275.10000000000019</v>
      </c>
      <c r="V120" s="522"/>
      <c r="W120" s="522" t="s">
        <v>15</v>
      </c>
      <c r="X120" s="522"/>
      <c r="Y120" s="522" t="s">
        <v>15</v>
      </c>
      <c r="Z120" s="522"/>
      <c r="AA120" s="523"/>
      <c r="AB120" s="1636">
        <f>ROUND(SUM(C120:Y120),1)</f>
        <v>5192.3</v>
      </c>
      <c r="AC120" s="3136"/>
      <c r="AD120" s="3333"/>
      <c r="AE120" s="118">
        <f>+'Exhibit F'!AF109+'Exhibit G'!AG97+'Exhibit I'!AI78</f>
        <v>4801.6000000000004</v>
      </c>
      <c r="AF120" s="1636"/>
      <c r="AG120" s="1636"/>
      <c r="AH120" s="1636">
        <f>ROUND(SUM(AB120-AE120),1)</f>
        <v>390.7</v>
      </c>
      <c r="AI120" s="3123"/>
      <c r="AJ120" s="1725">
        <f t="shared" si="19"/>
        <v>8.1000000000000003E-2</v>
      </c>
    </row>
    <row r="121" spans="1:38" ht="16.5" customHeight="1">
      <c r="A121" s="225" t="s">
        <v>35</v>
      </c>
      <c r="B121" s="225"/>
      <c r="C121" s="533">
        <f>ROUND(SUM(C111:C120),1)</f>
        <v>7660.2</v>
      </c>
      <c r="D121" s="526"/>
      <c r="E121" s="533">
        <f>ROUND(SUM(E111:E120),1)</f>
        <v>10279.5</v>
      </c>
      <c r="F121" s="526"/>
      <c r="G121" s="533">
        <f>ROUND(SUM(G111:G120),1)</f>
        <v>12246</v>
      </c>
      <c r="H121" s="526"/>
      <c r="I121" s="533">
        <f>ROUND(SUM(I111:I120),1)</f>
        <v>9234</v>
      </c>
      <c r="J121" s="526"/>
      <c r="K121" s="533">
        <f>ROUND(SUM(K111:K120),1)</f>
        <v>8224</v>
      </c>
      <c r="L121" s="526"/>
      <c r="M121" s="533">
        <f>ROUND(SUM(M111:M120),1)</f>
        <v>18472.099999999999</v>
      </c>
      <c r="N121" s="526"/>
      <c r="O121" s="3128">
        <f>ROUND(SUM(O111:O120),1)</f>
        <v>8705.1</v>
      </c>
      <c r="P121" s="526"/>
      <c r="Q121" s="3128">
        <f>ROUND(SUM(Q111:Q120),1)</f>
        <v>9022.1</v>
      </c>
      <c r="R121" s="526"/>
      <c r="S121" s="533">
        <f>ROUND(SUM(S111:S120),1)</f>
        <v>12355.3</v>
      </c>
      <c r="T121" s="526"/>
      <c r="U121" s="533">
        <f>ROUND(SUM(U111:U120),1)</f>
        <v>10387.200000000001</v>
      </c>
      <c r="V121" s="526"/>
      <c r="W121" s="533">
        <f>ROUND(SUM(W111:W120),1)</f>
        <v>0</v>
      </c>
      <c r="X121" s="526"/>
      <c r="Y121" s="533">
        <f>ROUND(SUM(Y111:Y120),1)</f>
        <v>0</v>
      </c>
      <c r="Z121" s="526"/>
      <c r="AA121" s="527"/>
      <c r="AB121" s="3128">
        <f>ROUND(SUM(AB111:AB120),1)</f>
        <v>106585.5</v>
      </c>
      <c r="AC121" s="3137"/>
      <c r="AD121" s="3340"/>
      <c r="AE121" s="3128">
        <f>ROUND(SUM(AE111:AE120),1)</f>
        <v>105839.5</v>
      </c>
      <c r="AF121" s="3131"/>
      <c r="AG121" s="3131"/>
      <c r="AH121" s="3128">
        <f>ROUND(SUM(AH111:AH120),1)</f>
        <v>746</v>
      </c>
      <c r="AI121" s="3124"/>
      <c r="AJ121" s="3330">
        <f t="shared" si="19"/>
        <v>7.0000000000000001E-3</v>
      </c>
      <c r="AK121" s="3323"/>
      <c r="AL121" s="428"/>
    </row>
    <row r="122" spans="1:38" ht="16.5" customHeight="1">
      <c r="A122" s="225" t="s">
        <v>36</v>
      </c>
      <c r="B122" s="225"/>
      <c r="C122" s="529"/>
      <c r="D122" s="522"/>
      <c r="E122" s="529"/>
      <c r="F122" s="522"/>
      <c r="G122" s="529"/>
      <c r="H122" s="522"/>
      <c r="I122" s="529"/>
      <c r="J122" s="522"/>
      <c r="K122" s="529"/>
      <c r="L122" s="522"/>
      <c r="M122" s="529"/>
      <c r="N122" s="522"/>
      <c r="O122" s="2168"/>
      <c r="P122" s="522"/>
      <c r="Q122" s="2168"/>
      <c r="R122" s="522"/>
      <c r="S122" s="529"/>
      <c r="T122" s="522"/>
      <c r="U122" s="529"/>
      <c r="V122" s="522"/>
      <c r="W122" s="529"/>
      <c r="X122" s="522"/>
      <c r="Y122" s="529"/>
      <c r="Z122" s="522"/>
      <c r="AA122" s="523"/>
      <c r="AB122" s="2168"/>
      <c r="AC122" s="1636"/>
      <c r="AD122" s="3333"/>
      <c r="AE122" s="67"/>
      <c r="AF122" s="1636"/>
      <c r="AG122" s="1636"/>
      <c r="AH122" s="895"/>
      <c r="AI122" s="3123"/>
      <c r="AJ122" s="891"/>
    </row>
    <row r="123" spans="1:38" ht="16.5" customHeight="1">
      <c r="A123" s="225" t="s">
        <v>138</v>
      </c>
      <c r="B123" s="225"/>
      <c r="C123" s="522">
        <f>+'Exhibit F'!D112+'Exhibit G'!D100+'Exhibit I'!E81</f>
        <v>1569.5</v>
      </c>
      <c r="D123" s="522"/>
      <c r="E123" s="522">
        <f>+'Exhibit F'!F112+'Exhibit G'!F100+'Exhibit I'!G81</f>
        <v>1135.9000000000001</v>
      </c>
      <c r="F123" s="522"/>
      <c r="G123" s="522">
        <f>+'Exhibit F'!H112+'Exhibit G'!H100+'Exhibit I'!I81</f>
        <v>1116.3999999999999</v>
      </c>
      <c r="H123" s="522"/>
      <c r="I123" s="522">
        <f>+'Exhibit F'!J112+'Exhibit G'!J100+'Exhibit I'!K81</f>
        <v>1278.8000000000002</v>
      </c>
      <c r="J123" s="522"/>
      <c r="K123" s="522">
        <f>+'Exhibit F'!L112+'Exhibit G'!L100+'Exhibit I'!M81</f>
        <v>1053.8999999999999</v>
      </c>
      <c r="L123" s="522"/>
      <c r="M123" s="522">
        <f>+'Exhibit F'!N112+'Exhibit G'!N100+'Exhibit I'!O81</f>
        <v>1527.0000000000002</v>
      </c>
      <c r="N123" s="522"/>
      <c r="O123" s="1636">
        <f>+'Exhibit F'!P112+'Exhibit G'!P100+'Exhibit I'!Q81</f>
        <v>1119.1999999999998</v>
      </c>
      <c r="P123" s="522"/>
      <c r="Q123" s="522">
        <f>+'Exhibit F'!R112+'Exhibit G'!R100+'Exhibit I'!S81</f>
        <v>1090.2000000000007</v>
      </c>
      <c r="R123" s="522"/>
      <c r="S123" s="522">
        <f>+'Exhibit F'!T112+'Exhibit G'!T100+'Exhibit I'!U81</f>
        <v>1298.4999999999998</v>
      </c>
      <c r="T123" s="522"/>
      <c r="U123" s="522">
        <f>+'Exhibit F'!V112+'Exhibit G'!V100+'Exhibit I'!W81</f>
        <v>1078.8000000000006</v>
      </c>
      <c r="V123" s="522"/>
      <c r="W123" s="522"/>
      <c r="X123" s="522"/>
      <c r="Y123" s="522"/>
      <c r="Z123" s="522"/>
      <c r="AA123" s="523"/>
      <c r="AB123" s="1636">
        <f>ROUND(SUM(C123:Y123),1)</f>
        <v>12268.2</v>
      </c>
      <c r="AC123" s="1636"/>
      <c r="AD123" s="3333"/>
      <c r="AE123" s="67">
        <f>+'Exhibit F'!AF112+'Exhibit G'!AG100+'Exhibit I'!AI81</f>
        <v>12501.300000000001</v>
      </c>
      <c r="AF123" s="1636"/>
      <c r="AG123" s="1636"/>
      <c r="AH123" s="1636">
        <f>ROUND(SUM(AB123-AE123),1)</f>
        <v>-233.1</v>
      </c>
      <c r="AI123" s="3123"/>
      <c r="AJ123" s="1725">
        <f>ROUND(IF(AE123=0,0,AH123/ABS(AE123)),3)</f>
        <v>-1.9E-2</v>
      </c>
    </row>
    <row r="124" spans="1:38" ht="16.5" customHeight="1">
      <c r="A124" s="225" t="s">
        <v>139</v>
      </c>
      <c r="B124" s="225"/>
      <c r="C124" s="522">
        <f>+'Exhibit F'!D113+'Exhibit G'!D101+'Exhibit H'!B55+'Exhibit I'!E82</f>
        <v>584.09999999999991</v>
      </c>
      <c r="D124" s="522"/>
      <c r="E124" s="522">
        <f>+'Exhibit F'!F113+'Exhibit G'!F101+'Exhibit H'!D55+'Exhibit I'!G82</f>
        <v>416.99999999999994</v>
      </c>
      <c r="F124" s="522"/>
      <c r="G124" s="522">
        <f>+'Exhibit F'!H113+'Exhibit G'!H101+'Exhibit H'!F55+'Exhibit I'!I82</f>
        <v>504.40000000000003</v>
      </c>
      <c r="H124" s="522"/>
      <c r="I124" s="522">
        <f>+'Exhibit F'!J113+'Exhibit G'!J101+'Exhibit H'!H55+'Exhibit I'!K82</f>
        <v>577.09999999999991</v>
      </c>
      <c r="J124" s="522"/>
      <c r="K124" s="522">
        <f>+'Exhibit F'!L113+'Exhibit G'!L101+'Exhibit H'!J55+'Exhibit I'!M82</f>
        <v>605.9000000000002</v>
      </c>
      <c r="L124" s="522"/>
      <c r="M124" s="522">
        <f>+'Exhibit F'!N113+'Exhibit G'!N101+'Exhibit H'!L55+'Exhibit I'!O82</f>
        <v>756.69999999999982</v>
      </c>
      <c r="N124" s="522"/>
      <c r="O124" s="1636">
        <f>+'Exhibit F'!P113+'Exhibit G'!P101+'Exhibit H'!N55+'Exhibit I'!Q82</f>
        <v>620.60000000000014</v>
      </c>
      <c r="P124" s="522"/>
      <c r="Q124" s="522">
        <f>+'Exhibit F'!R113+'Exhibit G'!R101+'Exhibit H'!P55+'Exhibit I'!S82</f>
        <v>492.89999999999975</v>
      </c>
      <c r="R124" s="522"/>
      <c r="S124" s="522">
        <f>+'Exhibit F'!T113+'Exhibit G'!T101+'Exhibit H'!R55+'Exhibit I'!U82</f>
        <v>641.00000000000023</v>
      </c>
      <c r="T124" s="522"/>
      <c r="U124" s="522">
        <f>+'Exhibit F'!V113+'Exhibit G'!V101+'Exhibit H'!T55+'Exhibit I'!W82</f>
        <v>637.69999999999993</v>
      </c>
      <c r="V124" s="522"/>
      <c r="W124" s="522"/>
      <c r="X124" s="522"/>
      <c r="Y124" s="522"/>
      <c r="Z124" s="522"/>
      <c r="AA124" s="523"/>
      <c r="AB124" s="1636">
        <f>ROUND(SUM(C124:Y124),1)</f>
        <v>5837.4</v>
      </c>
      <c r="AC124" s="1636"/>
      <c r="AD124" s="3333"/>
      <c r="AE124" s="67">
        <f>+'Exhibit F'!AF113+'Exhibit G'!AG101+'Exhibit H'!AD55+'Exhibit I'!AI82</f>
        <v>5626.8</v>
      </c>
      <c r="AF124" s="1636"/>
      <c r="AG124" s="1636"/>
      <c r="AH124" s="1636">
        <f>ROUND(SUM(AB124-AE124),1)</f>
        <v>210.6</v>
      </c>
      <c r="AI124" s="3123"/>
      <c r="AJ124" s="1725">
        <f>ROUND(IF(AE124=0,0,AH124/ABS(AE124)),3)</f>
        <v>3.6999999999999998E-2</v>
      </c>
    </row>
    <row r="125" spans="1:38" ht="16.5" customHeight="1">
      <c r="A125" s="225" t="s">
        <v>39</v>
      </c>
      <c r="B125" s="225"/>
      <c r="C125" s="522">
        <f>+'Exhibit F'!D114+'Exhibit G'!D102+'Exhibit I'!E83</f>
        <v>535.20000000000005</v>
      </c>
      <c r="D125" s="522"/>
      <c r="E125" s="522">
        <f>+'Exhibit F'!F114+'Exhibit G'!F102+'Exhibit I'!G83</f>
        <v>395.00000000000006</v>
      </c>
      <c r="F125" s="522"/>
      <c r="G125" s="522">
        <f>+'Exhibit F'!H114+'Exhibit G'!H102+'Exhibit I'!I83</f>
        <v>2621.5</v>
      </c>
      <c r="H125" s="522"/>
      <c r="I125" s="522">
        <f>+'Exhibit F'!J114+'Exhibit G'!J102+'Exhibit I'!K83</f>
        <v>471.90000000000009</v>
      </c>
      <c r="J125" s="522"/>
      <c r="K125" s="522">
        <f>+'Exhibit F'!L114+'Exhibit G'!L102+'Exhibit I'!M83</f>
        <v>413.99999999999989</v>
      </c>
      <c r="L125" s="522"/>
      <c r="M125" s="522">
        <f>+'Exhibit F'!N114+'Exhibit G'!N102+'Exhibit I'!O83</f>
        <v>616.09999999999968</v>
      </c>
      <c r="N125" s="522"/>
      <c r="O125" s="1636">
        <f>+'Exhibit F'!P114+'Exhibit G'!P102+'Exhibit I'!Q83</f>
        <v>511.7000000000005</v>
      </c>
      <c r="P125" s="522"/>
      <c r="Q125" s="522">
        <f>+'Exhibit F'!R114+'Exhibit G'!R102+'Exhibit I'!S83</f>
        <v>500.09999999999951</v>
      </c>
      <c r="R125" s="522"/>
      <c r="S125" s="522">
        <f>+'Exhibit F'!T114+'Exhibit G'!T102+'Exhibit I'!U83</f>
        <v>474.50000000000023</v>
      </c>
      <c r="T125" s="522"/>
      <c r="U125" s="522">
        <f>+'Exhibit F'!V114+'Exhibit G'!V102+'Exhibit I'!W83</f>
        <v>567.79999999999995</v>
      </c>
      <c r="V125" s="522"/>
      <c r="W125" s="522"/>
      <c r="X125" s="522"/>
      <c r="Y125" s="522"/>
      <c r="Z125" s="522"/>
      <c r="AA125" s="523"/>
      <c r="AB125" s="1636">
        <f>ROUND(SUM(C125:Y125),1)</f>
        <v>7107.8</v>
      </c>
      <c r="AC125" s="1636"/>
      <c r="AD125" s="3333"/>
      <c r="AE125" s="67">
        <f>+'Exhibit F'!AF114+'Exhibit G'!AG102+'Exhibit H'!AD56+'Exhibit I'!AI83</f>
        <v>7680.9000000000005</v>
      </c>
      <c r="AF125" s="1636"/>
      <c r="AG125" s="1636"/>
      <c r="AH125" s="1636">
        <f>ROUND(SUM(AB125-AE125),1)</f>
        <v>-573.1</v>
      </c>
      <c r="AI125" s="3123"/>
      <c r="AJ125" s="1725">
        <f>ROUND(IF(AE125=0,0,AH125/ABS(AE125)),3)</f>
        <v>-7.4999999999999997E-2</v>
      </c>
    </row>
    <row r="126" spans="1:38" ht="16.5" customHeight="1">
      <c r="A126" s="225" t="s">
        <v>1250</v>
      </c>
      <c r="B126" s="225"/>
      <c r="C126" s="529"/>
      <c r="D126" s="522"/>
      <c r="E126" s="529"/>
      <c r="F126" s="522"/>
      <c r="G126" s="529"/>
      <c r="H126" s="522"/>
      <c r="I126" s="529"/>
      <c r="J126" s="522"/>
      <c r="K126" s="529"/>
      <c r="L126" s="522"/>
      <c r="M126" s="529"/>
      <c r="N126" s="522"/>
      <c r="O126" s="2168"/>
      <c r="P126" s="522"/>
      <c r="Q126" s="529"/>
      <c r="R126" s="522"/>
      <c r="S126" s="529"/>
      <c r="T126" s="522"/>
      <c r="U126" s="529"/>
      <c r="V126" s="522"/>
      <c r="W126" s="529"/>
      <c r="X126" s="522"/>
      <c r="Y126" s="529"/>
      <c r="Z126" s="522"/>
      <c r="AA126" s="523"/>
      <c r="AB126" s="1636"/>
      <c r="AC126" s="1636"/>
      <c r="AD126" s="3333"/>
      <c r="AE126" s="2168"/>
      <c r="AF126" s="1636"/>
      <c r="AG126" s="1636"/>
      <c r="AH126" s="1636"/>
      <c r="AI126" s="3123"/>
      <c r="AJ126" s="3334"/>
    </row>
    <row r="127" spans="1:38" ht="16.5" customHeight="1">
      <c r="A127" s="225" t="s">
        <v>41</v>
      </c>
      <c r="B127" s="225"/>
      <c r="C127" s="522">
        <f>+'Exhibit H'!B57</f>
        <v>36.5</v>
      </c>
      <c r="D127" s="522"/>
      <c r="E127" s="522">
        <f>+'Exhibit H'!D57</f>
        <v>23.5</v>
      </c>
      <c r="F127" s="522"/>
      <c r="G127" s="522">
        <f>+'Exhibit H'!F57</f>
        <v>28.900000000000006</v>
      </c>
      <c r="H127" s="522"/>
      <c r="I127" s="522">
        <f>+'Exhibit H'!H57</f>
        <v>10.699999999999989</v>
      </c>
      <c r="J127" s="522"/>
      <c r="K127" s="522">
        <f>+'Exhibit H'!J57</f>
        <v>337.59999999999997</v>
      </c>
      <c r="L127" s="522"/>
      <c r="M127" s="522">
        <f>+'Exhibit H'!L57</f>
        <v>841.8</v>
      </c>
      <c r="N127" s="522"/>
      <c r="O127" s="1636">
        <f>+'Exhibit H'!N57</f>
        <v>39.799999999999955</v>
      </c>
      <c r="P127" s="522"/>
      <c r="Q127" s="522">
        <f>+'Exhibit H'!P57</f>
        <v>30.400000000000091</v>
      </c>
      <c r="R127" s="522"/>
      <c r="S127" s="522">
        <f>+'Exhibit H'!R57+'Exhibit G'!T104</f>
        <v>1332.0000000000002</v>
      </c>
      <c r="T127" s="522"/>
      <c r="U127" s="522">
        <f>+'Exhibit H'!T57+'Exhibit G'!V104</f>
        <v>10.599999999999909</v>
      </c>
      <c r="V127" s="522"/>
      <c r="W127" s="522"/>
      <c r="X127" s="522"/>
      <c r="Y127" s="522"/>
      <c r="Z127" s="522"/>
      <c r="AA127" s="523"/>
      <c r="AB127" s="1636">
        <f>ROUND(SUM(C127:Y127),1)</f>
        <v>2691.8</v>
      </c>
      <c r="AC127" s="1636"/>
      <c r="AD127" s="3333"/>
      <c r="AE127" s="67">
        <f>+'Exhibit H'!AD57</f>
        <v>1556.8</v>
      </c>
      <c r="AF127" s="1636"/>
      <c r="AG127" s="1636"/>
      <c r="AH127" s="1636">
        <f>ROUND(SUM(AB127-AE127),1)</f>
        <v>1135</v>
      </c>
      <c r="AI127" s="3123"/>
      <c r="AJ127" s="1725">
        <f>ROUND(IF(AE127=0,0,AH127/ABS(AE127)),3)</f>
        <v>0.72899999999999998</v>
      </c>
    </row>
    <row r="128" spans="1:38" ht="16.5" customHeight="1">
      <c r="A128" s="532" t="s">
        <v>140</v>
      </c>
      <c r="B128" s="225"/>
      <c r="C128" s="524">
        <f>+'Exhibit G'!D105+'Exhibit I'!E84</f>
        <v>509.8</v>
      </c>
      <c r="D128" s="522"/>
      <c r="E128" s="524">
        <f>+'Exhibit G'!F105+'Exhibit I'!G84</f>
        <v>406</v>
      </c>
      <c r="F128" s="522"/>
      <c r="G128" s="524">
        <f>+'Exhibit G'!H105+'Exhibit I'!I84</f>
        <v>681.80000000000007</v>
      </c>
      <c r="H128" s="522"/>
      <c r="I128" s="524">
        <f>+'Exhibit G'!J105+'Exhibit I'!K84</f>
        <v>641.4000000000002</v>
      </c>
      <c r="J128" s="522"/>
      <c r="K128" s="524">
        <f>+'Exhibit G'!L105+'Exhibit I'!M84</f>
        <v>667.69999999999959</v>
      </c>
      <c r="L128" s="522"/>
      <c r="M128" s="524">
        <f>+'Exhibit G'!N105+'Exhibit I'!O84</f>
        <v>706.7</v>
      </c>
      <c r="N128" s="522"/>
      <c r="O128" s="3873">
        <f>+'Exhibit G'!P105+'Exhibit I'!Q84</f>
        <v>533.60000000000025</v>
      </c>
      <c r="P128" s="522"/>
      <c r="Q128" s="524">
        <f>+'Exhibit G'!R105+'Exhibit I'!S84</f>
        <v>609.79999999999961</v>
      </c>
      <c r="R128" s="522"/>
      <c r="S128" s="524">
        <f>+'Exhibit G'!T105+'Exhibit I'!U84</f>
        <v>630.5</v>
      </c>
      <c r="T128" s="522"/>
      <c r="U128" s="524">
        <f>+'Exhibit G'!V105+'Exhibit I'!W84</f>
        <v>453.49999999999977</v>
      </c>
      <c r="V128" s="522"/>
      <c r="W128" s="524"/>
      <c r="X128" s="522"/>
      <c r="Y128" s="524"/>
      <c r="Z128" s="522"/>
      <c r="AA128" s="523"/>
      <c r="AB128" s="3133">
        <f>ROUND(SUM(C128:Y128),1)</f>
        <v>5840.8</v>
      </c>
      <c r="AC128" s="1636"/>
      <c r="AD128" s="3333"/>
      <c r="AE128" s="3874">
        <f>+'Exhibit G'!AG105+'Exhibit I'!AI84</f>
        <v>5976.8</v>
      </c>
      <c r="AF128" s="1636"/>
      <c r="AG128" s="1636"/>
      <c r="AH128" s="3133">
        <f>ROUND(SUM(AB128-AE128),1)</f>
        <v>-136</v>
      </c>
      <c r="AI128" s="3123"/>
      <c r="AJ128" s="3337">
        <f>ROUND(IF(AE128=0,0,AH128/ABS(AE128)),3)</f>
        <v>-2.3E-2</v>
      </c>
    </row>
    <row r="129" spans="1:59" ht="16.5" customHeight="1">
      <c r="A129" s="225"/>
      <c r="B129" s="225"/>
      <c r="C129" s="529"/>
      <c r="D129" s="522"/>
      <c r="E129" s="529"/>
      <c r="F129" s="522"/>
      <c r="G129" s="529"/>
      <c r="H129" s="522"/>
      <c r="I129" s="529"/>
      <c r="J129" s="522"/>
      <c r="K129" s="529"/>
      <c r="L129" s="522"/>
      <c r="M129" s="529"/>
      <c r="N129" s="522"/>
      <c r="O129" s="2168"/>
      <c r="P129" s="522"/>
      <c r="Q129" s="2168"/>
      <c r="R129" s="522"/>
      <c r="S129" s="529"/>
      <c r="T129" s="522"/>
      <c r="U129" s="529"/>
      <c r="V129" s="522"/>
      <c r="W129" s="529"/>
      <c r="X129" s="522"/>
      <c r="Y129" s="529"/>
      <c r="Z129" s="522"/>
      <c r="AA129" s="523"/>
      <c r="AB129" s="2168"/>
      <c r="AC129" s="1636"/>
      <c r="AD129" s="3333"/>
      <c r="AE129" s="2168"/>
      <c r="AF129" s="1636"/>
      <c r="AG129" s="1636"/>
      <c r="AH129" s="2168"/>
      <c r="AI129" s="3123"/>
      <c r="AJ129" s="3341"/>
    </row>
    <row r="130" spans="1:59" ht="16.5" customHeight="1">
      <c r="A130" s="207" t="s">
        <v>57</v>
      </c>
      <c r="B130" s="225"/>
      <c r="C130" s="525">
        <f>ROUND(SUM(C121:C128),1)</f>
        <v>10895.3</v>
      </c>
      <c r="D130" s="526"/>
      <c r="E130" s="525">
        <f>ROUND(SUM(E121:E128),1)</f>
        <v>12656.9</v>
      </c>
      <c r="F130" s="526"/>
      <c r="G130" s="525">
        <f>ROUND(SUM(G121:G128),1)</f>
        <v>17199</v>
      </c>
      <c r="H130" s="526"/>
      <c r="I130" s="525">
        <f>ROUND(SUM(I121:I128),1)</f>
        <v>12213.9</v>
      </c>
      <c r="J130" s="526"/>
      <c r="K130" s="525">
        <f>ROUND(SUM(K121:K128),1)</f>
        <v>11303.1</v>
      </c>
      <c r="L130" s="526"/>
      <c r="M130" s="525">
        <f>ROUND(SUM(M121:M128),1)</f>
        <v>22920.400000000001</v>
      </c>
      <c r="N130" s="526"/>
      <c r="O130" s="2169">
        <f>ROUND(SUM(O121:O128),1)</f>
        <v>11530</v>
      </c>
      <c r="P130" s="526"/>
      <c r="Q130" s="2169">
        <f>ROUND(SUM(Q121:Q128),1)</f>
        <v>11745.5</v>
      </c>
      <c r="R130" s="526"/>
      <c r="S130" s="525">
        <f>ROUND(SUM(S121:S128),1)</f>
        <v>16731.8</v>
      </c>
      <c r="T130" s="526"/>
      <c r="U130" s="525">
        <f>ROUND(SUM(U121:U128),1)</f>
        <v>13135.6</v>
      </c>
      <c r="V130" s="526"/>
      <c r="W130" s="525">
        <f>ROUND(SUM(W121:W128),1)</f>
        <v>0</v>
      </c>
      <c r="X130" s="526"/>
      <c r="Y130" s="525">
        <f>ROUND(SUM(Y121:Y128),1)</f>
        <v>0</v>
      </c>
      <c r="Z130" s="526"/>
      <c r="AA130" s="527"/>
      <c r="AB130" s="2169">
        <f>ROUND(SUM(AB121:AB128),1)</f>
        <v>140331.5</v>
      </c>
      <c r="AC130" s="3131"/>
      <c r="AD130" s="3340"/>
      <c r="AE130" s="2169">
        <f>ROUND(SUM(AE121:AE128),1)</f>
        <v>139182.1</v>
      </c>
      <c r="AF130" s="3131"/>
      <c r="AG130" s="3131"/>
      <c r="AH130" s="2169">
        <f>ROUND(SUM(AB130-AE130),1)</f>
        <v>1149.4000000000001</v>
      </c>
      <c r="AI130" s="3124"/>
      <c r="AJ130" s="3332">
        <f>ROUND(IF(AE130=0,0,AH130/ABS(AE130)),3)</f>
        <v>8.0000000000000002E-3</v>
      </c>
      <c r="AK130" s="3323"/>
      <c r="AL130" s="428"/>
      <c r="AM130" s="428"/>
      <c r="AN130" s="428"/>
      <c r="AO130" s="428"/>
      <c r="AP130" s="428"/>
      <c r="AQ130" s="428"/>
      <c r="AR130" s="428"/>
    </row>
    <row r="131" spans="1:59" ht="16.5" customHeight="1">
      <c r="A131" s="207"/>
      <c r="B131" s="225"/>
      <c r="C131" s="522"/>
      <c r="D131" s="522"/>
      <c r="E131" s="522"/>
      <c r="F131" s="522"/>
      <c r="G131" s="522"/>
      <c r="H131" s="522"/>
      <c r="I131" s="522"/>
      <c r="J131" s="522"/>
      <c r="K131" s="522"/>
      <c r="L131" s="522"/>
      <c r="M131" s="522"/>
      <c r="N131" s="522"/>
      <c r="O131" s="1636"/>
      <c r="P131" s="522"/>
      <c r="Q131" s="1636"/>
      <c r="R131" s="522"/>
      <c r="S131" s="522"/>
      <c r="T131" s="522"/>
      <c r="U131" s="522"/>
      <c r="V131" s="522"/>
      <c r="W131" s="522"/>
      <c r="X131" s="522"/>
      <c r="Y131" s="522"/>
      <c r="Z131" s="522"/>
      <c r="AA131" s="523"/>
      <c r="AB131" s="1636"/>
      <c r="AC131" s="1636"/>
      <c r="AD131" s="3333"/>
      <c r="AE131" s="1636"/>
      <c r="AF131" s="1636"/>
      <c r="AG131" s="1636"/>
      <c r="AH131" s="895"/>
      <c r="AI131" s="3123"/>
      <c r="AJ131" s="891"/>
    </row>
    <row r="132" spans="1:59" ht="16.5" customHeight="1">
      <c r="A132" s="207" t="s">
        <v>44</v>
      </c>
      <c r="B132" s="225"/>
      <c r="C132" s="522"/>
      <c r="D132" s="522"/>
      <c r="E132" s="522"/>
      <c r="F132" s="522"/>
      <c r="G132" s="522"/>
      <c r="H132" s="522"/>
      <c r="I132" s="522"/>
      <c r="J132" s="522"/>
      <c r="K132" s="522"/>
      <c r="L132" s="522"/>
      <c r="M132" s="522"/>
      <c r="N132" s="522"/>
      <c r="O132" s="1636"/>
      <c r="P132" s="522"/>
      <c r="Q132" s="1636"/>
      <c r="R132" s="522"/>
      <c r="S132" s="522"/>
      <c r="T132" s="522"/>
      <c r="U132" s="522"/>
      <c r="V132" s="522"/>
      <c r="W132" s="522"/>
      <c r="X132" s="522"/>
      <c r="Y132" s="522"/>
      <c r="Z132" s="522"/>
      <c r="AA132" s="523"/>
      <c r="AB132" s="1636"/>
      <c r="AC132" s="1636"/>
      <c r="AD132" s="3333"/>
      <c r="AE132" s="1636"/>
      <c r="AF132" s="1636"/>
      <c r="AG132" s="1636"/>
      <c r="AH132" s="895"/>
      <c r="AI132" s="3123"/>
      <c r="AJ132" s="891"/>
    </row>
    <row r="133" spans="1:59" ht="16.5" customHeight="1">
      <c r="A133" s="207" t="s">
        <v>45</v>
      </c>
      <c r="B133" s="225"/>
      <c r="C133" s="525">
        <f>ROUND(SUM(C107-C130),1)</f>
        <v>6263</v>
      </c>
      <c r="D133" s="526"/>
      <c r="E133" s="525">
        <f>ROUND(SUM(E107-E130),1)</f>
        <v>-2891.6</v>
      </c>
      <c r="F133" s="526"/>
      <c r="G133" s="525">
        <f>ROUND(SUM(G107-G130),1)</f>
        <v>3028.3</v>
      </c>
      <c r="H133" s="526"/>
      <c r="I133" s="525">
        <f>ROUND(SUM(I107-I130),1)</f>
        <v>7670.3</v>
      </c>
      <c r="J133" s="526"/>
      <c r="K133" s="525">
        <f>ROUND(SUM(K107-K130),1)</f>
        <v>-818.9</v>
      </c>
      <c r="L133" s="526"/>
      <c r="M133" s="525">
        <f>ROUND(SUM(M107-M130),1)</f>
        <v>-1537.6</v>
      </c>
      <c r="N133" s="526"/>
      <c r="O133" s="2169">
        <f>ROUND(SUM(O107-O130),1)</f>
        <v>3198.2</v>
      </c>
      <c r="P133" s="526"/>
      <c r="Q133" s="2169">
        <f>ROUND(SUM(Q107-Q130),1)</f>
        <v>-1463.8</v>
      </c>
      <c r="R133" s="526"/>
      <c r="S133" s="525">
        <f>ROUND(SUM(S107-S130),1)</f>
        <v>2088.4</v>
      </c>
      <c r="T133" s="526"/>
      <c r="U133" s="525">
        <f>ROUND(SUM(U107-U130),1)</f>
        <v>5963.1</v>
      </c>
      <c r="V133" s="526"/>
      <c r="W133" s="525">
        <f>ROUND(SUM(W107-W130),1)</f>
        <v>0</v>
      </c>
      <c r="X133" s="526"/>
      <c r="Y133" s="525">
        <f>ROUND(SUM(Y107-Y130),1)</f>
        <v>0</v>
      </c>
      <c r="Z133" s="526"/>
      <c r="AA133" s="527"/>
      <c r="AB133" s="2169">
        <f>ROUND(SUM(AB107-AB130),1)</f>
        <v>21499.4</v>
      </c>
      <c r="AC133" s="3131"/>
      <c r="AD133" s="3340"/>
      <c r="AE133" s="2169">
        <f>ROUND(SUM(AE107-AE130),1)</f>
        <v>9773.7000000000007</v>
      </c>
      <c r="AF133" s="3131"/>
      <c r="AG133" s="3131"/>
      <c r="AH133" s="3342">
        <f>ROUND(SUM(AB133-AE133),1)</f>
        <v>11725.7</v>
      </c>
      <c r="AI133" s="3124"/>
      <c r="AJ133" s="3343">
        <f>ROUND(IF(AE133=0,0,AH133/ABS(AE133)),3)</f>
        <v>1.2</v>
      </c>
      <c r="AK133" s="3323"/>
      <c r="AL133" s="428"/>
    </row>
    <row r="134" spans="1:59" ht="16.5" customHeight="1">
      <c r="A134" s="165"/>
      <c r="B134" s="225"/>
      <c r="C134" s="528"/>
      <c r="D134" s="522"/>
      <c r="E134" s="3134"/>
      <c r="F134" s="522"/>
      <c r="G134" s="528"/>
      <c r="H134" s="522"/>
      <c r="I134" s="528"/>
      <c r="J134" s="522"/>
      <c r="K134" s="528"/>
      <c r="L134" s="522"/>
      <c r="M134" s="528"/>
      <c r="N134" s="522"/>
      <c r="O134" s="3134"/>
      <c r="P134" s="522"/>
      <c r="Q134" s="3134"/>
      <c r="R134" s="522"/>
      <c r="S134" s="528"/>
      <c r="T134" s="522"/>
      <c r="U134" s="528"/>
      <c r="V134" s="522"/>
      <c r="W134" s="3134"/>
      <c r="X134" s="522"/>
      <c r="Y134" s="528"/>
      <c r="Z134" s="530"/>
      <c r="AA134" s="523"/>
      <c r="AB134" s="3134"/>
      <c r="AC134" s="1636"/>
      <c r="AD134" s="3333"/>
      <c r="AE134" s="3134"/>
      <c r="AF134" s="1636"/>
      <c r="AG134" s="1636"/>
      <c r="AH134" s="895"/>
      <c r="AI134" s="3123"/>
      <c r="AJ134" s="891"/>
    </row>
    <row r="135" spans="1:59" ht="16.5" customHeight="1">
      <c r="A135" s="207" t="s">
        <v>46</v>
      </c>
      <c r="B135" s="225"/>
      <c r="C135" s="2168"/>
      <c r="D135" s="522"/>
      <c r="E135" s="2168"/>
      <c r="F135" s="535"/>
      <c r="G135" s="2168"/>
      <c r="H135" s="535"/>
      <c r="I135" s="534"/>
      <c r="J135" s="535"/>
      <c r="K135" s="534"/>
      <c r="L135" s="535"/>
      <c r="M135" s="534"/>
      <c r="N135" s="535"/>
      <c r="O135" s="3412"/>
      <c r="P135" s="2160"/>
      <c r="Q135" s="3412"/>
      <c r="R135" s="2160"/>
      <c r="S135" s="3412"/>
      <c r="T135" s="2160"/>
      <c r="U135" s="3412"/>
      <c r="V135" s="1636"/>
      <c r="W135" s="3412"/>
      <c r="X135" s="1636"/>
      <c r="Y135" s="3412"/>
      <c r="Z135" s="3135"/>
      <c r="AA135" s="3450"/>
      <c r="AB135" s="2168"/>
      <c r="AC135" s="3135"/>
      <c r="AD135" s="1636"/>
      <c r="AE135" s="2168"/>
      <c r="AF135" s="1636"/>
      <c r="AG135" s="1636"/>
      <c r="AH135" s="895"/>
      <c r="AI135" s="3123"/>
      <c r="AJ135" s="891"/>
    </row>
    <row r="136" spans="1:59" ht="16.5" customHeight="1">
      <c r="A136" s="225" t="s">
        <v>1479</v>
      </c>
      <c r="B136" s="225"/>
      <c r="C136" s="2159">
        <v>0</v>
      </c>
      <c r="D136" s="1636"/>
      <c r="E136" s="2159">
        <v>0</v>
      </c>
      <c r="F136" s="2160"/>
      <c r="G136" s="2159">
        <v>0</v>
      </c>
      <c r="H136" s="2160"/>
      <c r="I136" s="2159">
        <v>0</v>
      </c>
      <c r="J136" s="2160"/>
      <c r="K136" s="2159">
        <v>0</v>
      </c>
      <c r="L136" s="2160"/>
      <c r="M136" s="2159">
        <v>0</v>
      </c>
      <c r="N136" s="2160"/>
      <c r="O136" s="2159">
        <v>0</v>
      </c>
      <c r="P136" s="2160"/>
      <c r="Q136" s="2159">
        <v>0</v>
      </c>
      <c r="R136" s="2160"/>
      <c r="S136" s="2159">
        <v>0</v>
      </c>
      <c r="T136" s="2160"/>
      <c r="U136" s="2159">
        <f>'Exhibit I'!W92</f>
        <v>0</v>
      </c>
      <c r="V136" s="1636"/>
      <c r="W136" s="2159"/>
      <c r="X136" s="1636"/>
      <c r="Y136" s="2159" t="s">
        <v>15</v>
      </c>
      <c r="Z136" s="1636"/>
      <c r="AA136" s="3450"/>
      <c r="AB136" s="1636">
        <f>ROUND(SUM(C136:Y136),1)</f>
        <v>0</v>
      </c>
      <c r="AC136" s="1636"/>
      <c r="AD136" s="3333"/>
      <c r="AE136" s="1636">
        <f>+'Exhibit A'!AD48</f>
        <v>0</v>
      </c>
      <c r="AF136" s="1636"/>
      <c r="AG136" s="1636"/>
      <c r="AH136" s="1636">
        <f>ROUND(SUM(AB136-AE136),1)</f>
        <v>0</v>
      </c>
      <c r="AI136" s="3344"/>
      <c r="AJ136" s="1724">
        <f>ROUND(IF(AE136=0,0,AH136/ABS(AE136)),3)</f>
        <v>0</v>
      </c>
    </row>
    <row r="137" spans="1:59" ht="16.5" customHeight="1">
      <c r="A137" s="225" t="s">
        <v>47</v>
      </c>
      <c r="B137" s="225"/>
      <c r="C137" s="2159">
        <v>1063.0999999999999</v>
      </c>
      <c r="D137" s="1636"/>
      <c r="E137" s="2159">
        <v>1858.4</v>
      </c>
      <c r="F137" s="1636"/>
      <c r="G137" s="2159">
        <v>4185.8999999999996</v>
      </c>
      <c r="H137" s="1636"/>
      <c r="I137" s="2159">
        <v>5857.2</v>
      </c>
      <c r="J137" s="1636"/>
      <c r="K137" s="2159">
        <v>1882.7</v>
      </c>
      <c r="L137" s="1636"/>
      <c r="M137" s="2159">
        <v>3319.7</v>
      </c>
      <c r="N137" s="1636"/>
      <c r="O137" s="2159">
        <v>1882.5</v>
      </c>
      <c r="P137" s="1636"/>
      <c r="Q137" s="2159">
        <v>2244.8000000000002</v>
      </c>
      <c r="R137" s="1636"/>
      <c r="S137" s="2159">
        <v>3331.2</v>
      </c>
      <c r="T137" s="1636"/>
      <c r="U137" s="2159">
        <f>'Exhibit A'!$V49</f>
        <v>2997.9</v>
      </c>
      <c r="V137" s="1636"/>
      <c r="W137" s="2159"/>
      <c r="X137" s="1636"/>
      <c r="Y137" s="2159" t="s">
        <v>15</v>
      </c>
      <c r="Z137" s="1636"/>
      <c r="AA137" s="3450"/>
      <c r="AB137" s="1636">
        <f>ROUND(SUM(C137:Y137),1)</f>
        <v>28623.4</v>
      </c>
      <c r="AC137" s="1636"/>
      <c r="AD137" s="3450"/>
      <c r="AE137" s="1636">
        <f>+'Exhibit A'!AD49</f>
        <v>37629.600000000006</v>
      </c>
      <c r="AF137" s="1636"/>
      <c r="AG137" s="1636"/>
      <c r="AH137" s="1636">
        <f>ROUND(SUM(AB137-AE137),1)</f>
        <v>-9006.2000000000007</v>
      </c>
      <c r="AI137" s="3123"/>
      <c r="AJ137" s="1724">
        <f>ROUND(IF(AE137=0,0,AH137/ABS(AE137)),3)</f>
        <v>-0.23899999999999999</v>
      </c>
    </row>
    <row r="138" spans="1:59" ht="16.5" customHeight="1">
      <c r="A138" s="225" t="s">
        <v>48</v>
      </c>
      <c r="C138" s="3536">
        <v>-1066.5</v>
      </c>
      <c r="D138" s="55"/>
      <c r="E138" s="3536">
        <v>-1860.9</v>
      </c>
      <c r="F138" s="278"/>
      <c r="G138" s="3536">
        <v>-4240.8999999999996</v>
      </c>
      <c r="H138" s="278"/>
      <c r="I138" s="3536">
        <v>-5863.1</v>
      </c>
      <c r="J138" s="278"/>
      <c r="K138" s="3536">
        <v>-1894.6</v>
      </c>
      <c r="L138" s="278"/>
      <c r="M138" s="3536">
        <v>-3438.8</v>
      </c>
      <c r="N138" s="278"/>
      <c r="O138" s="3536">
        <v>-1889.4</v>
      </c>
      <c r="P138" s="278"/>
      <c r="Q138" s="3536">
        <v>-2247.8000000000002</v>
      </c>
      <c r="R138" s="278"/>
      <c r="S138" s="3536">
        <v>-3334.5</v>
      </c>
      <c r="T138" s="278"/>
      <c r="U138" s="3536">
        <f>'Exhibit A'!$V50</f>
        <v>-2999.2</v>
      </c>
      <c r="V138" s="278"/>
      <c r="W138" s="3536"/>
      <c r="X138" s="278"/>
      <c r="Y138" s="3536" t="s">
        <v>15</v>
      </c>
      <c r="Z138" s="278"/>
      <c r="AA138" s="3345"/>
      <c r="AB138" s="3133">
        <f>ROUND(SUM(C138:Y138),1)</f>
        <v>-28835.7</v>
      </c>
      <c r="AC138" s="278"/>
      <c r="AD138" s="3345"/>
      <c r="AE138" s="3133">
        <f>+'Exhibit A'!AD50</f>
        <v>-37750.300000000003</v>
      </c>
      <c r="AF138" s="278"/>
      <c r="AG138" s="278"/>
      <c r="AH138" s="3133">
        <f>ROUND(SUM(-AB138+AE138),1)</f>
        <v>-8914.6</v>
      </c>
      <c r="AI138" s="891"/>
      <c r="AJ138" s="1812">
        <f>ROUND(IF(AE138=0,0,AH138/ABS(AE138)),3)</f>
        <v>-0.23599999999999999</v>
      </c>
      <c r="AK138" s="3346"/>
    </row>
    <row r="139" spans="1:59" ht="16.5" customHeight="1">
      <c r="A139" s="225"/>
      <c r="C139" s="2168"/>
      <c r="D139" s="55"/>
      <c r="E139" s="2168"/>
      <c r="F139" s="55"/>
      <c r="G139" s="529"/>
      <c r="H139" s="55"/>
      <c r="I139" s="529"/>
      <c r="J139" s="55"/>
      <c r="K139" s="529"/>
      <c r="L139" s="55"/>
      <c r="M139" s="529"/>
      <c r="N139" s="55"/>
      <c r="O139" s="2168"/>
      <c r="P139" s="278"/>
      <c r="Q139" s="2168"/>
      <c r="R139" s="278"/>
      <c r="S139" s="2168"/>
      <c r="T139" s="278"/>
      <c r="U139" s="2168"/>
      <c r="V139" s="278"/>
      <c r="W139" s="2168"/>
      <c r="X139" s="278"/>
      <c r="Y139" s="2168"/>
      <c r="Z139" s="278"/>
      <c r="AA139" s="3345"/>
      <c r="AB139" s="2168"/>
      <c r="AC139" s="278"/>
      <c r="AD139" s="3345"/>
      <c r="AE139" s="2168"/>
      <c r="AF139" s="278"/>
      <c r="AG139" s="278"/>
      <c r="AH139" s="2168"/>
      <c r="AI139" s="891"/>
      <c r="AJ139" s="3341"/>
    </row>
    <row r="140" spans="1:59" ht="16.5" customHeight="1">
      <c r="A140" s="207" t="s">
        <v>49</v>
      </c>
      <c r="C140" s="2169">
        <f>ROUND(SUM(C136:C138),1)</f>
        <v>-3.4</v>
      </c>
      <c r="D140" s="537"/>
      <c r="E140" s="525">
        <f>ROUND(SUM(E136:E138),1)</f>
        <v>-2.5</v>
      </c>
      <c r="F140" s="537"/>
      <c r="G140" s="525">
        <f>ROUND(SUM(G136:G138),1)</f>
        <v>-55</v>
      </c>
      <c r="H140" s="537"/>
      <c r="I140" s="525">
        <f>ROUND(SUM(I136:I138),1)</f>
        <v>-5.9</v>
      </c>
      <c r="J140" s="537"/>
      <c r="K140" s="525">
        <f>ROUND(SUM(K136:K138),1)</f>
        <v>-11.9</v>
      </c>
      <c r="L140" s="537"/>
      <c r="M140" s="525">
        <f>ROUND(SUM(M136:M138),1)</f>
        <v>-119.1</v>
      </c>
      <c r="N140" s="537"/>
      <c r="O140" s="2169">
        <f>ROUND(SUM(O136:O138),1)</f>
        <v>-6.9</v>
      </c>
      <c r="P140" s="3138"/>
      <c r="Q140" s="2169">
        <f>ROUND(SUM(Q136:Q138),1)</f>
        <v>-3</v>
      </c>
      <c r="R140" s="3138"/>
      <c r="S140" s="2169">
        <f>ROUND(SUM(S136:S138),1)</f>
        <v>-3.3</v>
      </c>
      <c r="T140" s="3138"/>
      <c r="U140" s="2169">
        <f>ROUND(SUM(U136:U138),1)</f>
        <v>-1.3</v>
      </c>
      <c r="V140" s="3138"/>
      <c r="W140" s="2169">
        <f>ROUND(SUM(W136:W138),1)</f>
        <v>0</v>
      </c>
      <c r="X140" s="3138"/>
      <c r="Y140" s="2169">
        <f>ROUND(SUM(Y136:Y138),1)</f>
        <v>0</v>
      </c>
      <c r="Z140" s="3138"/>
      <c r="AA140" s="3347"/>
      <c r="AB140" s="2169">
        <f>ROUND(SUM(AB136:AB139),1)</f>
        <v>-212.3</v>
      </c>
      <c r="AC140" s="3138"/>
      <c r="AD140" s="3347"/>
      <c r="AE140" s="2169">
        <f>SUM(AE136:AE139)</f>
        <v>-120.69999999999709</v>
      </c>
      <c r="AF140" s="3138"/>
      <c r="AG140" s="3138"/>
      <c r="AH140" s="2169">
        <f>ROUND(SUM(+AH137-AH138+AH136),1)</f>
        <v>-91.6</v>
      </c>
      <c r="AI140" s="255"/>
      <c r="AJ140" s="3343">
        <f>ROUND(IF(AE140=0,0,AH140/ABS(AE140)),3)</f>
        <v>-0.75900000000000001</v>
      </c>
      <c r="AK140" s="3323"/>
      <c r="AL140" s="428" t="s">
        <v>15</v>
      </c>
    </row>
    <row r="141" spans="1:59" ht="16.5" customHeight="1">
      <c r="A141" s="165"/>
      <c r="C141" s="55"/>
      <c r="D141" s="55"/>
      <c r="E141" s="55"/>
      <c r="F141" s="55"/>
      <c r="G141" s="55"/>
      <c r="H141" s="55"/>
      <c r="I141" s="55"/>
      <c r="J141" s="55"/>
      <c r="K141" s="55"/>
      <c r="L141" s="55"/>
      <c r="M141" s="55"/>
      <c r="N141" s="55"/>
      <c r="O141" s="278"/>
      <c r="P141" s="55"/>
      <c r="Q141" s="278"/>
      <c r="R141" s="55"/>
      <c r="S141" s="55"/>
      <c r="T141" s="55"/>
      <c r="U141" s="55"/>
      <c r="V141" s="55"/>
      <c r="W141" s="55"/>
      <c r="X141" s="55"/>
      <c r="Y141" s="55"/>
      <c r="Z141" s="55"/>
      <c r="AA141" s="536"/>
      <c r="AB141" s="278"/>
      <c r="AC141" s="278"/>
      <c r="AD141" s="3345"/>
      <c r="AE141" s="278"/>
      <c r="AF141" s="278"/>
      <c r="AG141" s="278"/>
      <c r="AH141" s="895"/>
      <c r="AI141" s="891"/>
      <c r="AJ141" s="891"/>
    </row>
    <row r="142" spans="1:59" ht="16.5" customHeight="1">
      <c r="A142" s="255" t="s">
        <v>44</v>
      </c>
      <c r="C142" s="529"/>
      <c r="D142" s="55"/>
      <c r="E142" s="529"/>
      <c r="F142" s="55"/>
      <c r="G142" s="529"/>
      <c r="H142" s="55"/>
      <c r="I142" s="529"/>
      <c r="J142" s="55"/>
      <c r="K142" s="529"/>
      <c r="L142" s="55"/>
      <c r="M142" s="529"/>
      <c r="N142" s="55"/>
      <c r="O142" s="2168"/>
      <c r="P142" s="55"/>
      <c r="Q142" s="2168"/>
      <c r="R142" s="55"/>
      <c r="S142" s="529"/>
      <c r="T142" s="55"/>
      <c r="U142" s="529"/>
      <c r="V142" s="55"/>
      <c r="W142" s="529"/>
      <c r="X142" s="55"/>
      <c r="Y142" s="529"/>
      <c r="Z142" s="55"/>
      <c r="AA142" s="536"/>
      <c r="AB142" s="2168"/>
      <c r="AC142" s="278"/>
      <c r="AD142" s="3345"/>
      <c r="AE142" s="2168"/>
      <c r="AF142" s="278"/>
      <c r="AG142" s="278"/>
      <c r="AH142" s="895"/>
      <c r="AI142" s="891"/>
      <c r="AJ142" s="891"/>
    </row>
    <row r="143" spans="1:59" ht="16.5" customHeight="1">
      <c r="A143" s="255" t="s">
        <v>50</v>
      </c>
      <c r="C143" s="526"/>
      <c r="D143" s="537"/>
      <c r="E143" s="526"/>
      <c r="F143" s="537"/>
      <c r="G143" s="526"/>
      <c r="H143" s="537"/>
      <c r="I143" s="526"/>
      <c r="J143" s="537"/>
      <c r="K143" s="526"/>
      <c r="L143" s="537"/>
      <c r="M143" s="526"/>
      <c r="N143" s="537"/>
      <c r="O143" s="3131"/>
      <c r="P143" s="537"/>
      <c r="Q143" s="3131"/>
      <c r="R143" s="537"/>
      <c r="S143" s="526"/>
      <c r="T143" s="537"/>
      <c r="U143" s="526"/>
      <c r="V143" s="537"/>
      <c r="W143" s="526"/>
      <c r="X143" s="537"/>
      <c r="Y143" s="526"/>
      <c r="Z143" s="537"/>
      <c r="AA143" s="538"/>
      <c r="AB143" s="3131"/>
      <c r="AC143" s="3138"/>
      <c r="AD143" s="3347"/>
      <c r="AE143" s="3131"/>
      <c r="AF143" s="3138"/>
      <c r="AG143" s="3138"/>
      <c r="AH143" s="112"/>
      <c r="AI143" s="255"/>
      <c r="AJ143" s="255"/>
      <c r="AK143" s="3323"/>
      <c r="AL143" s="428"/>
      <c r="AM143" s="428"/>
      <c r="AN143" s="428"/>
      <c r="AO143" s="428"/>
      <c r="AP143" s="428"/>
      <c r="AQ143" s="428"/>
      <c r="AR143" s="428"/>
      <c r="AS143" s="428"/>
      <c r="AT143" s="428"/>
      <c r="AU143" s="428"/>
      <c r="AV143" s="428"/>
      <c r="AW143" s="428"/>
      <c r="AX143" s="428"/>
      <c r="AY143" s="428"/>
      <c r="AZ143" s="428"/>
      <c r="BA143" s="428"/>
      <c r="BB143" s="428"/>
      <c r="BC143" s="428"/>
      <c r="BD143" s="428"/>
      <c r="BE143" s="428"/>
      <c r="BF143" s="428"/>
      <c r="BG143" s="428"/>
    </row>
    <row r="144" spans="1:59" ht="16.5" customHeight="1">
      <c r="A144" s="255" t="s">
        <v>51</v>
      </c>
      <c r="C144" s="539">
        <f>ROUND(SUM(C133+C140),1)</f>
        <v>6259.6</v>
      </c>
      <c r="D144" s="537"/>
      <c r="E144" s="539">
        <f>ROUND(SUM(E133+E140),1)</f>
        <v>-2894.1</v>
      </c>
      <c r="F144" s="537"/>
      <c r="G144" s="539">
        <f>ROUND(SUM(G133+G140),1)</f>
        <v>2973.3</v>
      </c>
      <c r="H144" s="537"/>
      <c r="I144" s="539">
        <f>ROUND(SUM(I133+I140),1)</f>
        <v>7664.4</v>
      </c>
      <c r="J144" s="537"/>
      <c r="K144" s="539">
        <f>ROUND(SUM(K133+K140),1)</f>
        <v>-830.8</v>
      </c>
      <c r="L144" s="537"/>
      <c r="M144" s="539">
        <f>ROUND(SUM(M133+M140),1)</f>
        <v>-1656.7</v>
      </c>
      <c r="N144" s="537"/>
      <c r="O144" s="3139">
        <f>ROUND(SUM(O133+O140),1)</f>
        <v>3191.3</v>
      </c>
      <c r="P144" s="537"/>
      <c r="Q144" s="3139">
        <f>ROUND(SUM(Q133+Q140),1)</f>
        <v>-1466.8</v>
      </c>
      <c r="R144" s="537"/>
      <c r="S144" s="539">
        <f>ROUND(SUM(S133+S140),1)</f>
        <v>2085.1</v>
      </c>
      <c r="T144" s="537"/>
      <c r="U144" s="539">
        <f>ROUND(SUM(U133+U140),1)</f>
        <v>5961.8</v>
      </c>
      <c r="V144" s="537"/>
      <c r="W144" s="539">
        <f>ROUND(SUM(W133+W140),1)</f>
        <v>0</v>
      </c>
      <c r="X144" s="537"/>
      <c r="Y144" s="539">
        <f>ROUND(SUM(Y133+Y140),1)</f>
        <v>0</v>
      </c>
      <c r="Z144" s="537"/>
      <c r="AA144" s="538"/>
      <c r="AB144" s="3139">
        <f>ROUND(SUM(AB133+AB140),1)</f>
        <v>21287.1</v>
      </c>
      <c r="AC144" s="3138"/>
      <c r="AD144" s="3347"/>
      <c r="AE144" s="3139">
        <f>AE133+AE140</f>
        <v>9653.0000000000036</v>
      </c>
      <c r="AF144" s="3138"/>
      <c r="AG144" s="3138"/>
      <c r="AH144" s="3342">
        <f>ROUND(SUM(AB144-AE144),1)</f>
        <v>11634.1</v>
      </c>
      <c r="AI144" s="255"/>
      <c r="AJ144" s="3343">
        <f>ROUND(IF(AE144=0,0,AH144/ABS(AE144)),3)</f>
        <v>1.2050000000000001</v>
      </c>
      <c r="AK144" s="3323"/>
      <c r="AL144" s="428"/>
      <c r="AM144" s="428"/>
      <c r="AN144" s="428"/>
      <c r="AO144" s="428"/>
      <c r="AP144" s="428"/>
      <c r="AQ144" s="428"/>
      <c r="AR144" s="428"/>
      <c r="AS144" s="428"/>
      <c r="AT144" s="428"/>
      <c r="AU144" s="428"/>
      <c r="AV144" s="428"/>
      <c r="AW144" s="428"/>
      <c r="AX144" s="428"/>
      <c r="AY144" s="428"/>
      <c r="AZ144" s="428"/>
      <c r="BA144" s="428"/>
      <c r="BB144" s="428"/>
      <c r="BC144" s="428"/>
      <c r="BD144" s="428"/>
      <c r="BE144" s="428"/>
      <c r="BF144" s="428"/>
      <c r="BG144" s="428"/>
    </row>
    <row r="145" spans="1:37" ht="16.5" customHeight="1">
      <c r="A145" s="207"/>
      <c r="C145" s="517"/>
      <c r="E145" s="517"/>
      <c r="G145" s="517"/>
      <c r="I145" s="517"/>
      <c r="K145" s="517"/>
      <c r="M145" s="517"/>
      <c r="O145" s="3127"/>
      <c r="Q145" s="3127"/>
      <c r="S145" s="517"/>
      <c r="U145" s="517"/>
      <c r="W145" s="517"/>
      <c r="Y145" s="517"/>
      <c r="AA145" s="540"/>
      <c r="AB145" s="3127"/>
      <c r="AD145" s="3348"/>
      <c r="AE145" s="3127"/>
      <c r="AH145" s="891"/>
      <c r="AI145" s="891"/>
      <c r="AJ145" s="891"/>
    </row>
    <row r="146" spans="1:37" ht="16.5" customHeight="1" thickBot="1">
      <c r="A146" s="541" t="s">
        <v>141</v>
      </c>
      <c r="C146" s="542">
        <f>ROUND(SUM(C16+C144),1)</f>
        <v>20544.400000000001</v>
      </c>
      <c r="D146" s="251"/>
      <c r="E146" s="542">
        <f>ROUND(SUM(E16+E144),1)</f>
        <v>17650.3</v>
      </c>
      <c r="F146" s="251"/>
      <c r="G146" s="542">
        <f>ROUND(SUM(G16+G144),1)</f>
        <v>20623.599999999999</v>
      </c>
      <c r="H146" s="251"/>
      <c r="I146" s="542">
        <f>ROUND(SUM(I16+I144),1)</f>
        <v>28288</v>
      </c>
      <c r="J146" s="543"/>
      <c r="K146" s="542">
        <f>ROUND(SUM(K16+K144),1)</f>
        <v>27457.200000000001</v>
      </c>
      <c r="L146" s="543"/>
      <c r="M146" s="542">
        <f>ROUND(SUM(M16+M144),1)</f>
        <v>25800.5</v>
      </c>
      <c r="N146" s="543"/>
      <c r="O146" s="3140">
        <f>ROUND(SUM(O16+O144),1)</f>
        <v>28991.8</v>
      </c>
      <c r="P146" s="543"/>
      <c r="Q146" s="3140">
        <f>ROUND(SUM(Q16+Q144),1)</f>
        <v>27525</v>
      </c>
      <c r="R146" s="543"/>
      <c r="S146" s="542">
        <f>ROUND(SUM(S16+S144),1)</f>
        <v>29610.1</v>
      </c>
      <c r="T146" s="543"/>
      <c r="U146" s="542">
        <f>ROUND(SUM(U16+U144),1)</f>
        <v>35571.9</v>
      </c>
      <c r="V146" s="543"/>
      <c r="W146" s="542">
        <f>ROUND(SUM(W16+W144),1)</f>
        <v>0</v>
      </c>
      <c r="X146" s="543"/>
      <c r="Y146" s="542">
        <f>ROUND(SUM(Y16+Y144),1)</f>
        <v>0</v>
      </c>
      <c r="Z146" s="251"/>
      <c r="AA146" s="544"/>
      <c r="AB146" s="3140">
        <f>ROUND(SUM(AB16+AB144),1)</f>
        <v>35571.9</v>
      </c>
      <c r="AC146" s="3141"/>
      <c r="AD146" s="3349"/>
      <c r="AE146" s="3140">
        <f>AE16+AE144</f>
        <v>19628.000000000004</v>
      </c>
      <c r="AF146" s="3141"/>
      <c r="AG146" s="3141"/>
      <c r="AH146" s="3140">
        <f>ROUND(SUM(AB146-AE146),1)</f>
        <v>15943.9</v>
      </c>
      <c r="AI146" s="255"/>
      <c r="AJ146" s="3350">
        <f>ROUND(IF(AE146=0,0,AH146/ABS(AE146)),3)</f>
        <v>0.81200000000000006</v>
      </c>
      <c r="AK146" s="3323"/>
    </row>
    <row r="147" spans="1:37" ht="16.5" customHeight="1" thickTop="1">
      <c r="A147" s="545"/>
      <c r="C147" s="213"/>
      <c r="AH147" s="891"/>
      <c r="AI147" s="891"/>
      <c r="AJ147" s="891"/>
    </row>
    <row r="148" spans="1:37" ht="16.5" customHeight="1">
      <c r="A148" s="356" t="s">
        <v>142</v>
      </c>
      <c r="AH148" s="891"/>
      <c r="AI148" s="891"/>
      <c r="AJ148" s="891"/>
    </row>
    <row r="149" spans="1:37" ht="16.5" customHeight="1">
      <c r="A149" s="30"/>
      <c r="AH149" s="891"/>
      <c r="AI149" s="891"/>
      <c r="AJ149" s="891"/>
    </row>
    <row r="150" spans="1:37" ht="16.5" customHeight="1">
      <c r="A150" s="30"/>
      <c r="AH150" s="891"/>
      <c r="AI150" s="891"/>
      <c r="AJ150" s="891"/>
    </row>
    <row r="151" spans="1:37" ht="16.5" customHeight="1">
      <c r="A151" s="30"/>
      <c r="AH151" s="891"/>
      <c r="AI151" s="891"/>
      <c r="AJ151" s="891"/>
    </row>
    <row r="152" spans="1:37" ht="16.5" customHeight="1">
      <c r="AH152" s="891"/>
      <c r="AI152" s="891"/>
      <c r="AJ152" s="891"/>
    </row>
    <row r="153" spans="1:37" ht="16.5" customHeight="1">
      <c r="AH153" s="891"/>
      <c r="AI153" s="891"/>
      <c r="AJ153" s="891"/>
    </row>
    <row r="154" spans="1:37" ht="16.5" customHeight="1">
      <c r="AH154" s="891"/>
      <c r="AI154" s="891"/>
      <c r="AJ154" s="891"/>
    </row>
    <row r="155" spans="1:37" ht="16.5" customHeight="1">
      <c r="AH155" s="891"/>
      <c r="AI155" s="891"/>
      <c r="AJ155" s="891"/>
    </row>
    <row r="156" spans="1:37" ht="16.5" customHeight="1">
      <c r="AH156" s="891"/>
      <c r="AI156" s="891"/>
      <c r="AJ156" s="891"/>
    </row>
    <row r="157" spans="1:37" ht="16.5" customHeight="1">
      <c r="AH157" s="891"/>
      <c r="AI157" s="891"/>
      <c r="AJ157" s="891"/>
    </row>
    <row r="158" spans="1:37" ht="16.5" customHeight="1">
      <c r="AH158" s="891"/>
      <c r="AI158" s="891"/>
      <c r="AJ158" s="891"/>
    </row>
    <row r="159" spans="1:37" ht="16.5" customHeight="1">
      <c r="AH159" s="891"/>
      <c r="AI159" s="891"/>
      <c r="AJ159" s="891"/>
    </row>
    <row r="160" spans="1:37" ht="16.5" customHeight="1">
      <c r="AH160" s="891"/>
      <c r="AI160" s="891"/>
      <c r="AJ160" s="891"/>
    </row>
  </sheetData>
  <mergeCells count="2">
    <mergeCell ref="AC5:AJ5"/>
    <mergeCell ref="AB12:AJ12"/>
  </mergeCells>
  <pageMargins left="0.25" right="0.25" top="0.5" bottom="0.4" header="0" footer="0.25"/>
  <pageSetup scale="38" firstPageNumber="16" fitToHeight="2" orientation="landscape" useFirstPageNumber="1" r:id="rId1"/>
  <headerFooter scaleWithDoc="0" alignWithMargins="0">
    <oddFooter>&amp;C&amp;8&amp;P</oddFooter>
  </headerFooter>
  <rowBreaks count="1" manualBreakCount="1">
    <brk id="89" max="35" man="1"/>
  </rowBreaks>
  <ignoredErrors>
    <ignoredError sqref="AJ56:AJ70 AJ72:AJ73 AJ137:AJ146 AJ86:AJ91 AJ94:AJ135 AJ29:AJ34 AJ21:AJ27 AJ41:AJ54 AJ36:AJ38 AJ75:AJ83" unlockedFormula="1"/>
    <ignoredError sqref="AH26 AH35:AI35 AH24:AH25 AH93:AJ93 AJ55" formula="1"/>
    <ignoredError sqref="AJ35" formula="1" unlockedFormula="1"/>
    <ignoredError sqref="AC14:AD14 C13"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G163"/>
  <sheetViews>
    <sheetView showGridLines="0" zoomScale="80" zoomScaleNormal="60" workbookViewId="0"/>
  </sheetViews>
  <sheetFormatPr defaultColWidth="8.6640625" defaultRowHeight="16.5" customHeight="1"/>
  <cols>
    <col min="1" max="1" width="43" style="2753" customWidth="1"/>
    <col min="2" max="2" width="1.6640625" style="2753" customWidth="1"/>
    <col min="3" max="3" width="13.109375" style="2753" customWidth="1"/>
    <col min="4" max="4" width="1.6640625" style="2753" customWidth="1"/>
    <col min="5" max="5" width="13.109375" style="2753" customWidth="1"/>
    <col min="6" max="6" width="1.6640625" style="2753" customWidth="1"/>
    <col min="7" max="7" width="13.5546875" style="2753" customWidth="1"/>
    <col min="8" max="8" width="1.6640625" style="2753" customWidth="1"/>
    <col min="9" max="9" width="13.6640625" style="2753" customWidth="1"/>
    <col min="10" max="10" width="1.6640625" style="2753" customWidth="1"/>
    <col min="11" max="11" width="14.5546875" style="2753" customWidth="1"/>
    <col min="12" max="12" width="1.6640625" style="2753" customWidth="1"/>
    <col min="13" max="13" width="13.109375" style="2753" customWidth="1"/>
    <col min="14" max="14" width="1.6640625" style="2753" customWidth="1"/>
    <col min="15" max="15" width="14.109375" style="1990" customWidth="1"/>
    <col min="16" max="16" width="1.6640625" style="2753" customWidth="1"/>
    <col min="17" max="17" width="13.109375" style="2753" customWidth="1"/>
    <col min="18" max="18" width="1.6640625" style="2753" customWidth="1"/>
    <col min="19" max="19" width="13.6640625" style="2753" customWidth="1"/>
    <col min="20" max="20" width="1.6640625" style="2753" customWidth="1"/>
    <col min="21" max="21" width="13" style="2753" customWidth="1"/>
    <col min="22" max="22" width="1.6640625" style="2753" customWidth="1"/>
    <col min="23" max="23" width="13.109375" style="2753" customWidth="1"/>
    <col min="24" max="24" width="1.6640625" style="2753" customWidth="1"/>
    <col min="25" max="25" width="13.109375" style="2753" customWidth="1"/>
    <col min="26" max="27" width="1.6640625" style="2753" customWidth="1"/>
    <col min="28" max="28" width="15" style="1990" customWidth="1"/>
    <col min="29" max="30" width="1.6640625" style="1990" customWidth="1"/>
    <col min="31" max="31" width="12.109375" style="1990" customWidth="1"/>
    <col min="32" max="33" width="1.6640625" style="1990" customWidth="1"/>
    <col min="34" max="34" width="12.6640625" style="1990" bestFit="1" customWidth="1"/>
    <col min="35" max="35" width="1" style="1990" customWidth="1"/>
    <col min="36" max="36" width="12.109375" style="1990" bestFit="1" customWidth="1"/>
    <col min="37" max="16384" width="8.6640625" style="2753"/>
  </cols>
  <sheetData>
    <row r="1" spans="1:37" ht="15">
      <c r="A1" s="2752" t="s">
        <v>963</v>
      </c>
    </row>
    <row r="2" spans="1:37" ht="15">
      <c r="A2" s="1433"/>
    </row>
    <row r="3" spans="1:37" ht="23.25">
      <c r="A3" s="2754" t="s">
        <v>0</v>
      </c>
      <c r="B3" s="1440"/>
      <c r="C3" s="1440"/>
      <c r="D3" s="1440"/>
      <c r="E3" s="1440"/>
      <c r="F3" s="1440"/>
      <c r="G3" s="1440"/>
      <c r="H3" s="1440"/>
      <c r="I3" s="1440"/>
      <c r="J3" s="1440"/>
      <c r="K3" s="1440"/>
      <c r="L3" s="1440"/>
      <c r="M3" s="1440"/>
      <c r="N3" s="1440"/>
      <c r="O3" s="3101"/>
      <c r="P3" s="1440"/>
      <c r="Q3" s="1440"/>
      <c r="R3" s="1440"/>
      <c r="S3" s="1440"/>
      <c r="T3" s="1440"/>
      <c r="U3" s="1440"/>
      <c r="V3" s="1440"/>
      <c r="W3" s="1440"/>
      <c r="X3" s="1440"/>
      <c r="Y3" s="1440"/>
      <c r="Z3" s="1440"/>
      <c r="AA3" s="1440"/>
      <c r="AB3" s="3101"/>
      <c r="AC3" s="3101"/>
      <c r="AD3" s="3101"/>
      <c r="AE3" s="3101"/>
      <c r="AF3" s="3101"/>
      <c r="AG3" s="3101"/>
      <c r="AI3" s="3101"/>
    </row>
    <row r="4" spans="1:37" ht="23.25">
      <c r="A4" s="2754" t="s">
        <v>1160</v>
      </c>
      <c r="B4" s="1440"/>
      <c r="C4" s="1440"/>
      <c r="D4" s="1440"/>
      <c r="E4" s="1440"/>
      <c r="F4" s="1440"/>
      <c r="G4" s="1440"/>
      <c r="H4" s="1440"/>
      <c r="I4" s="1440" t="s">
        <v>15</v>
      </c>
      <c r="J4" s="1440"/>
      <c r="K4" s="1440"/>
      <c r="L4" s="1440"/>
      <c r="M4" s="1440"/>
      <c r="N4" s="1440"/>
      <c r="O4" s="3101"/>
      <c r="P4" s="1440"/>
      <c r="Q4" s="1440"/>
      <c r="R4" s="1440"/>
      <c r="S4" s="1440"/>
      <c r="T4" s="1440"/>
      <c r="U4" s="1440"/>
      <c r="V4" s="1440"/>
      <c r="W4" s="1440"/>
      <c r="X4" s="1440"/>
      <c r="Y4" s="1440" t="s">
        <v>15</v>
      </c>
      <c r="Z4" s="1440"/>
      <c r="AA4" s="1440"/>
      <c r="AB4" s="3101"/>
      <c r="AC4" s="3101"/>
      <c r="AD4" s="3101"/>
      <c r="AE4" s="3101"/>
      <c r="AF4" s="3101"/>
      <c r="AG4" s="3101"/>
      <c r="AI4" s="3101"/>
    </row>
    <row r="5" spans="1:37" ht="23.25" customHeight="1">
      <c r="A5" s="2755" t="s">
        <v>1161</v>
      </c>
      <c r="B5" s="1440"/>
      <c r="C5" s="1440"/>
      <c r="D5" s="1440"/>
      <c r="E5" s="1440"/>
      <c r="F5" s="1440"/>
      <c r="G5" s="1440"/>
      <c r="H5" s="1440"/>
      <c r="I5" s="1440"/>
      <c r="J5" s="1440"/>
      <c r="K5" s="1440"/>
      <c r="L5" s="1440"/>
      <c r="M5" s="1440"/>
      <c r="N5" s="1440"/>
      <c r="O5" s="3101"/>
      <c r="P5" s="1440"/>
      <c r="Q5" s="1440"/>
      <c r="R5" s="1440"/>
      <c r="S5" s="1440"/>
      <c r="T5" s="1440"/>
      <c r="U5" s="1440"/>
      <c r="V5" s="1440"/>
      <c r="W5" s="1440"/>
      <c r="X5" s="1440"/>
      <c r="Y5" s="1440"/>
      <c r="Z5" s="1440"/>
      <c r="AA5" s="1440"/>
      <c r="AC5" s="3951"/>
      <c r="AD5" s="3952"/>
      <c r="AE5" s="3952"/>
      <c r="AF5" s="3952"/>
      <c r="AG5" s="3952"/>
      <c r="AH5" s="3952"/>
      <c r="AI5" s="3952"/>
      <c r="AJ5" s="3952"/>
    </row>
    <row r="6" spans="1:37" ht="23.25">
      <c r="A6" s="2755" t="str">
        <f>'Cashflow Governmental'!A6</f>
        <v xml:space="preserve">FISCAL YEAR 2020-2021   </v>
      </c>
      <c r="B6" s="1440"/>
      <c r="C6" s="1440"/>
      <c r="D6" s="1440"/>
      <c r="E6" s="1440"/>
      <c r="F6" s="1440"/>
      <c r="G6" s="1440"/>
      <c r="H6" s="1440"/>
      <c r="I6" s="1440"/>
      <c r="J6" s="1440"/>
      <c r="K6" s="1440"/>
      <c r="L6" s="1440"/>
      <c r="M6" s="1440"/>
      <c r="N6" s="1440"/>
      <c r="O6" s="3101"/>
      <c r="P6" s="1440"/>
      <c r="Q6" s="1440"/>
      <c r="R6" s="1440"/>
      <c r="S6" s="1440"/>
      <c r="T6" s="1440"/>
      <c r="U6" s="1440"/>
      <c r="V6" s="1440"/>
      <c r="W6" s="1440"/>
      <c r="X6" s="1440"/>
      <c r="Y6" s="1440"/>
      <c r="Z6" s="1440"/>
      <c r="AA6" s="1440"/>
      <c r="AB6" s="3101"/>
      <c r="AC6" s="3101"/>
      <c r="AD6" s="3101"/>
      <c r="AE6" s="3101"/>
      <c r="AF6" s="3101"/>
      <c r="AG6" s="3101"/>
      <c r="AI6" s="3101"/>
    </row>
    <row r="7" spans="1:37" ht="23.25" customHeight="1">
      <c r="A7" s="2754" t="s">
        <v>1363</v>
      </c>
      <c r="B7" s="1440"/>
      <c r="C7" s="1440"/>
      <c r="D7" s="1440"/>
      <c r="E7" s="1440"/>
      <c r="F7" s="1440"/>
      <c r="G7" s="1440"/>
      <c r="H7" s="1440"/>
      <c r="I7" s="1440"/>
      <c r="J7" s="1440"/>
      <c r="K7" s="1440"/>
      <c r="L7" s="1440"/>
      <c r="M7" s="1440"/>
      <c r="N7" s="1440"/>
      <c r="O7" s="3101"/>
      <c r="P7" s="1440"/>
      <c r="Q7" s="1440"/>
      <c r="R7" s="1440"/>
      <c r="S7" s="1440"/>
      <c r="T7" s="1440"/>
      <c r="U7" s="1440"/>
      <c r="V7" s="1440"/>
      <c r="W7" s="1440"/>
      <c r="X7" s="1440"/>
      <c r="Y7" s="1440"/>
      <c r="Z7" s="1440"/>
      <c r="AA7" s="1440"/>
      <c r="AB7" s="3101"/>
      <c r="AC7" s="3101"/>
      <c r="AD7" s="3101"/>
      <c r="AE7" s="3101"/>
      <c r="AF7" s="3101"/>
      <c r="AG7" s="3101"/>
      <c r="AI7" s="3101"/>
    </row>
    <row r="8" spans="1:37" ht="15">
      <c r="A8" s="1440"/>
      <c r="B8" s="1440"/>
      <c r="C8" s="1440"/>
      <c r="D8" s="1440"/>
      <c r="E8" s="1440"/>
      <c r="F8" s="1440"/>
      <c r="G8" s="1440"/>
      <c r="H8" s="1440"/>
      <c r="I8" s="1440"/>
      <c r="J8" s="1440"/>
      <c r="K8" s="1440"/>
      <c r="L8" s="1440"/>
      <c r="M8" s="1440"/>
      <c r="N8" s="1440"/>
      <c r="O8" s="3101"/>
      <c r="P8" s="1440"/>
      <c r="Q8" s="1440"/>
      <c r="R8" s="1440"/>
      <c r="S8" s="1440"/>
      <c r="T8" s="1440"/>
      <c r="U8" s="1440"/>
      <c r="V8" s="1440"/>
      <c r="W8" s="1440"/>
      <c r="X8" s="1440"/>
      <c r="Y8" s="1440"/>
      <c r="Z8" s="1440"/>
      <c r="AA8" s="1440"/>
      <c r="AB8" s="3101"/>
      <c r="AC8" s="3101"/>
      <c r="AD8" s="3101"/>
      <c r="AE8" s="3101"/>
      <c r="AF8" s="3101"/>
      <c r="AG8" s="3101"/>
      <c r="AI8" s="3101"/>
    </row>
    <row r="9" spans="1:37" ht="15">
      <c r="A9" s="1440"/>
      <c r="B9" s="1440"/>
      <c r="C9" s="1440"/>
      <c r="D9" s="1440"/>
      <c r="E9" s="1440"/>
      <c r="F9" s="1440"/>
      <c r="G9" s="1440"/>
      <c r="H9" s="1440"/>
      <c r="I9" s="1440"/>
      <c r="J9" s="1440"/>
      <c r="K9" s="1440"/>
      <c r="L9" s="1440"/>
      <c r="M9" s="1440"/>
      <c r="N9" s="1440"/>
      <c r="O9" s="3101"/>
      <c r="P9" s="1440"/>
      <c r="Q9" s="1440"/>
      <c r="R9" s="1440"/>
      <c r="S9" s="1440"/>
      <c r="T9" s="1440"/>
      <c r="U9" s="1440"/>
      <c r="V9" s="1440"/>
      <c r="W9" s="1440"/>
      <c r="X9" s="1440"/>
      <c r="Y9" s="1440"/>
      <c r="Z9" s="1440"/>
      <c r="AA9" s="1440"/>
      <c r="AB9" s="3101"/>
      <c r="AC9" s="3101"/>
      <c r="AD9" s="3101"/>
      <c r="AE9" s="3101"/>
      <c r="AF9" s="3101"/>
      <c r="AG9" s="3101"/>
      <c r="AI9" s="3101"/>
    </row>
    <row r="10" spans="1:37" ht="15">
      <c r="A10" s="1440"/>
      <c r="B10" s="1440"/>
      <c r="C10" s="1440"/>
      <c r="D10" s="1440"/>
      <c r="E10" s="1440"/>
      <c r="F10" s="1440"/>
      <c r="G10" s="1440"/>
      <c r="H10" s="1440"/>
      <c r="I10" s="1440"/>
      <c r="J10" s="1440"/>
      <c r="K10" s="1440"/>
      <c r="L10" s="1440"/>
      <c r="M10" s="1440"/>
      <c r="N10" s="1440"/>
      <c r="O10" s="3101"/>
      <c r="P10" s="1440"/>
      <c r="Q10" s="1440"/>
      <c r="R10" s="1440"/>
      <c r="S10" s="1440"/>
      <c r="T10" s="1440"/>
      <c r="U10" s="1440"/>
      <c r="V10" s="1440"/>
      <c r="W10" s="1440"/>
      <c r="X10" s="1440"/>
      <c r="Y10" s="1440"/>
      <c r="Z10" s="1440"/>
      <c r="AA10" s="1440"/>
      <c r="AB10" s="3101"/>
      <c r="AC10" s="3101"/>
      <c r="AD10" s="3101"/>
      <c r="AE10" s="3101"/>
      <c r="AF10" s="3101"/>
      <c r="AG10" s="3101"/>
      <c r="AI10" s="3101"/>
    </row>
    <row r="11" spans="1:37" ht="15">
      <c r="A11" s="1440"/>
      <c r="B11" s="1440"/>
      <c r="C11" s="1440"/>
      <c r="D11" s="1440"/>
      <c r="E11" s="1440"/>
      <c r="F11" s="1440"/>
      <c r="G11" s="1440"/>
      <c r="H11" s="1440"/>
      <c r="I11" s="1440"/>
      <c r="J11" s="1440"/>
      <c r="K11" s="1440"/>
      <c r="L11" s="1440"/>
      <c r="M11" s="1440"/>
      <c r="N11" s="1440"/>
      <c r="O11" s="3101"/>
      <c r="P11" s="1440"/>
      <c r="Q11" s="1440"/>
      <c r="R11" s="1440"/>
      <c r="S11" s="1440"/>
      <c r="T11" s="1440"/>
      <c r="U11" s="1440"/>
      <c r="V11" s="1440"/>
      <c r="W11" s="1440"/>
      <c r="X11" s="1440"/>
      <c r="Y11" s="1440"/>
      <c r="Z11" s="1440"/>
      <c r="AA11" s="1440"/>
      <c r="AC11" s="3101"/>
      <c r="AD11" s="3101"/>
      <c r="AE11" s="3101"/>
      <c r="AF11" s="3101"/>
      <c r="AG11" s="3101"/>
      <c r="AI11" s="3101"/>
    </row>
    <row r="12" spans="1:37" ht="15.75">
      <c r="A12" s="1440"/>
      <c r="B12" s="1440"/>
      <c r="C12" s="1440"/>
      <c r="D12" s="1440"/>
      <c r="E12" s="1440"/>
      <c r="F12" s="1440"/>
      <c r="G12" s="1440"/>
      <c r="H12" s="1440"/>
      <c r="I12" s="1440"/>
      <c r="J12" s="1440"/>
      <c r="K12" s="1440"/>
      <c r="L12" s="1440"/>
      <c r="M12" s="1440"/>
      <c r="N12" s="1440"/>
      <c r="O12" s="3101"/>
      <c r="P12" s="1440"/>
      <c r="Q12" s="1440"/>
      <c r="R12" s="1440"/>
      <c r="S12" s="1440"/>
      <c r="T12" s="1440"/>
      <c r="U12" s="1440"/>
      <c r="V12" s="1440"/>
      <c r="W12" s="1440"/>
      <c r="X12" s="1440"/>
      <c r="Z12" s="1440"/>
      <c r="AA12" s="2756"/>
      <c r="AB12" s="3953" t="str">
        <f>'Cashflow Governmental'!AB12:AJ12</f>
        <v>10 Months Ended January 31</v>
      </c>
      <c r="AC12" s="3953"/>
      <c r="AD12" s="3953"/>
      <c r="AE12" s="3953"/>
      <c r="AF12" s="3953"/>
      <c r="AG12" s="3953"/>
      <c r="AH12" s="3953"/>
      <c r="AI12" s="3953"/>
      <c r="AJ12" s="3953"/>
    </row>
    <row r="13" spans="1:37" ht="15.75">
      <c r="A13" s="1440"/>
      <c r="B13" s="1440"/>
      <c r="C13" s="2433" t="str">
        <f>'Cashflow Governmental'!C13</f>
        <v>2020</v>
      </c>
      <c r="D13" s="2434"/>
      <c r="E13" s="2434"/>
      <c r="F13" s="2434"/>
      <c r="G13" s="2434"/>
      <c r="H13" s="2434"/>
      <c r="I13" s="2434"/>
      <c r="J13" s="2434"/>
      <c r="K13" s="2434"/>
      <c r="L13" s="2434"/>
      <c r="M13" s="2434"/>
      <c r="N13" s="2434"/>
      <c r="O13" s="3085"/>
      <c r="P13" s="2434"/>
      <c r="Q13" s="2434"/>
      <c r="R13" s="2434"/>
      <c r="S13" s="2434"/>
      <c r="T13" s="2434"/>
      <c r="U13" s="2433">
        <f>'Cashflow Governmental'!U13</f>
        <v>2021</v>
      </c>
      <c r="V13" s="2434"/>
      <c r="W13" s="2434"/>
      <c r="X13" s="2434"/>
      <c r="Y13" s="2434"/>
      <c r="Z13" s="2434"/>
      <c r="AA13" s="2434"/>
      <c r="AB13" s="3085"/>
      <c r="AC13" s="3142"/>
      <c r="AD13" s="3142"/>
      <c r="AE13" s="3142"/>
      <c r="AF13" s="3085"/>
      <c r="AG13" s="3085"/>
      <c r="AH13" s="3351" t="s">
        <v>8</v>
      </c>
      <c r="AI13" s="3352"/>
      <c r="AJ13" s="3351" t="s">
        <v>9</v>
      </c>
    </row>
    <row r="14" spans="1:37" ht="15.75">
      <c r="A14" s="1440"/>
      <c r="B14" s="1440"/>
      <c r="C14" s="2757" t="s">
        <v>124</v>
      </c>
      <c r="D14" s="2434"/>
      <c r="E14" s="2757" t="s">
        <v>125</v>
      </c>
      <c r="F14" s="2434"/>
      <c r="G14" s="2757" t="s">
        <v>126</v>
      </c>
      <c r="H14" s="2434"/>
      <c r="I14" s="2757" t="s">
        <v>127</v>
      </c>
      <c r="J14" s="2434"/>
      <c r="K14" s="2757" t="s">
        <v>128</v>
      </c>
      <c r="L14" s="2434"/>
      <c r="M14" s="2757" t="s">
        <v>129</v>
      </c>
      <c r="N14" s="2434"/>
      <c r="O14" s="3351" t="s">
        <v>130</v>
      </c>
      <c r="P14" s="2434"/>
      <c r="Q14" s="2758" t="s">
        <v>131</v>
      </c>
      <c r="R14" s="2434"/>
      <c r="S14" s="2757" t="s">
        <v>132</v>
      </c>
      <c r="T14" s="2434"/>
      <c r="U14" s="2757" t="s">
        <v>133</v>
      </c>
      <c r="V14" s="2434"/>
      <c r="W14" s="2757" t="s">
        <v>134</v>
      </c>
      <c r="X14" s="2434"/>
      <c r="Y14" s="2757" t="s">
        <v>135</v>
      </c>
      <c r="Z14" s="2434"/>
      <c r="AA14" s="2434"/>
      <c r="AB14" s="3390">
        <f>'Cashflow Governmental'!AB14</f>
        <v>2021</v>
      </c>
      <c r="AC14" s="3085"/>
      <c r="AD14" s="3085"/>
      <c r="AE14" s="3390">
        <f>'Cashflow Governmental'!AE14</f>
        <v>2020</v>
      </c>
      <c r="AF14" s="3142"/>
      <c r="AG14" s="3142"/>
      <c r="AH14" s="3353" t="s">
        <v>12</v>
      </c>
      <c r="AI14" s="3352"/>
      <c r="AJ14" s="3353" t="s">
        <v>13</v>
      </c>
    </row>
    <row r="15" spans="1:37" ht="5.25" customHeight="1">
      <c r="A15" s="1440"/>
      <c r="B15" s="1440"/>
      <c r="C15" s="2759"/>
      <c r="D15" s="1440"/>
      <c r="E15" s="2759"/>
      <c r="F15" s="1440"/>
      <c r="G15" s="2759"/>
      <c r="H15" s="1440"/>
      <c r="I15" s="2759"/>
      <c r="J15" s="1440"/>
      <c r="K15" s="2759"/>
      <c r="L15" s="1440"/>
      <c r="M15" s="2759"/>
      <c r="N15" s="1440"/>
      <c r="O15" s="3391" t="s">
        <v>15</v>
      </c>
      <c r="P15" s="1440"/>
      <c r="Q15" s="2760"/>
      <c r="R15" s="1440"/>
      <c r="S15" s="2759"/>
      <c r="T15" s="1440"/>
      <c r="U15" s="2759" t="s">
        <v>15</v>
      </c>
      <c r="V15" s="1440"/>
      <c r="W15" s="2759"/>
      <c r="X15" s="1440"/>
      <c r="Y15" s="2759"/>
      <c r="Z15" s="1440"/>
      <c r="AA15" s="1440"/>
      <c r="AB15" s="3391"/>
      <c r="AC15" s="3101"/>
      <c r="AD15" s="3101"/>
      <c r="AE15" s="3391"/>
      <c r="AF15" s="3354"/>
      <c r="AG15" s="3354"/>
      <c r="AI15" s="3101"/>
    </row>
    <row r="16" spans="1:37" ht="15.75">
      <c r="A16" s="2761" t="s">
        <v>136</v>
      </c>
      <c r="B16" s="1440"/>
      <c r="C16" s="2762">
        <f>'Exhibit F'!D12+'Exh D Special Revenue State Fed'!G41+'Exhibit H'!B12</f>
        <v>14408.300000000001</v>
      </c>
      <c r="D16" s="2763"/>
      <c r="E16" s="2763">
        <f>C145</f>
        <v>16171.6</v>
      </c>
      <c r="F16" s="2763"/>
      <c r="G16" s="2763">
        <f>E145</f>
        <v>13542.7</v>
      </c>
      <c r="H16" s="2763"/>
      <c r="I16" s="2763">
        <f>G145</f>
        <v>14605.2</v>
      </c>
      <c r="J16" s="2763"/>
      <c r="K16" s="2763">
        <f>I145</f>
        <v>22665.9</v>
      </c>
      <c r="L16" s="2763"/>
      <c r="M16" s="2763">
        <f>K145</f>
        <v>22416</v>
      </c>
      <c r="N16" s="2763"/>
      <c r="O16" s="2762">
        <f>M145</f>
        <v>22583</v>
      </c>
      <c r="P16" s="2763"/>
      <c r="Q16" s="2763">
        <f>O145</f>
        <v>23825.200000000001</v>
      </c>
      <c r="R16" s="2763"/>
      <c r="S16" s="2763">
        <f>Q145</f>
        <v>22940.5</v>
      </c>
      <c r="T16" s="2763"/>
      <c r="U16" s="2763">
        <f>S145</f>
        <v>25029.5</v>
      </c>
      <c r="V16" s="2763"/>
      <c r="W16" s="2763"/>
      <c r="X16" s="2763"/>
      <c r="Y16" s="2763"/>
      <c r="Z16" s="2763"/>
      <c r="AA16" s="2764"/>
      <c r="AB16" s="2762">
        <f>C16</f>
        <v>14408.300000000001</v>
      </c>
      <c r="AC16" s="2762"/>
      <c r="AD16" s="3392"/>
      <c r="AE16" s="2762">
        <f>'Exhibit F'!AF12+'Exhibit G State'!AG13+'Exhibit H'!AD12</f>
        <v>12361.3</v>
      </c>
      <c r="AF16" s="3355"/>
      <c r="AG16" s="3355"/>
      <c r="AH16" s="2762">
        <f>ROUND(SUM(AB16-AE16),1)</f>
        <v>2047</v>
      </c>
      <c r="AI16" s="3085"/>
      <c r="AJ16" s="1855">
        <f>ROUND(SUM(AH16/AE16),3)</f>
        <v>0.16600000000000001</v>
      </c>
      <c r="AK16" s="2765"/>
    </row>
    <row r="17" spans="1:36" ht="15.75">
      <c r="A17" s="1440"/>
      <c r="B17" s="1440"/>
      <c r="C17" s="1440" t="s">
        <v>15</v>
      </c>
      <c r="D17" s="1440"/>
      <c r="E17" s="2686"/>
      <c r="F17" s="1440"/>
      <c r="G17" s="2686"/>
      <c r="H17" s="1440"/>
      <c r="I17" s="2686"/>
      <c r="J17" s="1440"/>
      <c r="K17" s="2686"/>
      <c r="L17" s="1440"/>
      <c r="M17" s="2686"/>
      <c r="N17" s="1440"/>
      <c r="O17" s="3877"/>
      <c r="P17" s="1440"/>
      <c r="Q17" s="2686"/>
      <c r="R17" s="1440"/>
      <c r="S17" s="2686"/>
      <c r="T17" s="1440"/>
      <c r="U17" s="2686"/>
      <c r="V17" s="1440"/>
      <c r="W17" s="2763"/>
      <c r="X17" s="1440"/>
      <c r="Y17" s="2686"/>
      <c r="Z17" s="1440"/>
      <c r="AA17" s="2766"/>
      <c r="AB17" s="3101" t="s">
        <v>15</v>
      </c>
      <c r="AC17" s="3101"/>
      <c r="AD17" s="3393"/>
      <c r="AE17" s="3101" t="s">
        <v>15</v>
      </c>
      <c r="AF17" s="3354"/>
      <c r="AG17" s="3354"/>
      <c r="AH17" s="3356"/>
      <c r="AI17" s="3101"/>
      <c r="AJ17" s="3356"/>
    </row>
    <row r="18" spans="1:36" ht="15.75">
      <c r="A18" s="2010" t="s">
        <v>14</v>
      </c>
      <c r="B18" s="1440"/>
      <c r="C18" s="1440"/>
      <c r="D18" s="1440"/>
      <c r="E18" s="2686"/>
      <c r="F18" s="1440"/>
      <c r="G18" s="2686"/>
      <c r="H18" s="1440"/>
      <c r="I18" s="2686"/>
      <c r="J18" s="1440"/>
      <c r="K18" s="2686"/>
      <c r="L18" s="1440"/>
      <c r="M18" s="2686"/>
      <c r="N18" s="1440"/>
      <c r="O18" s="3877"/>
      <c r="P18" s="1440"/>
      <c r="Q18" s="2686"/>
      <c r="R18" s="1440"/>
      <c r="S18" s="2686"/>
      <c r="T18" s="1440"/>
      <c r="U18" s="2686"/>
      <c r="V18" s="1440"/>
      <c r="W18" s="2686"/>
      <c r="X18" s="1440"/>
      <c r="Y18" s="2686"/>
      <c r="Z18" s="1440"/>
      <c r="AA18" s="2766"/>
      <c r="AB18" s="3101"/>
      <c r="AC18" s="3101"/>
      <c r="AD18" s="3393"/>
      <c r="AE18" s="3101"/>
      <c r="AF18" s="3354"/>
      <c r="AG18" s="3354"/>
      <c r="AH18" s="3356"/>
      <c r="AI18" s="3101"/>
      <c r="AJ18" s="3356"/>
    </row>
    <row r="19" spans="1:36" ht="15.75">
      <c r="A19" s="2462" t="s">
        <v>1078</v>
      </c>
      <c r="B19" s="1440"/>
      <c r="C19" s="1440"/>
      <c r="D19" s="1440"/>
      <c r="E19" s="2686"/>
      <c r="F19" s="1440"/>
      <c r="G19" s="2686"/>
      <c r="H19" s="1440"/>
      <c r="I19" s="2686"/>
      <c r="J19" s="1440"/>
      <c r="K19" s="2686"/>
      <c r="L19" s="1440"/>
      <c r="M19" s="2686"/>
      <c r="N19" s="1440"/>
      <c r="O19" s="3877"/>
      <c r="P19" s="1440"/>
      <c r="Q19" s="2686"/>
      <c r="R19" s="1440"/>
      <c r="S19" s="2686"/>
      <c r="T19" s="1440"/>
      <c r="U19" s="2686"/>
      <c r="V19" s="1440"/>
      <c r="W19" s="2686"/>
      <c r="X19" s="1440"/>
      <c r="Y19" s="2686"/>
      <c r="Z19" s="1440"/>
      <c r="AA19" s="2767"/>
      <c r="AB19" s="3101"/>
      <c r="AC19" s="3101"/>
      <c r="AD19" s="3393"/>
      <c r="AE19" s="3101"/>
      <c r="AF19" s="3354"/>
      <c r="AG19" s="3354"/>
      <c r="AH19" s="3356"/>
      <c r="AI19" s="3101"/>
      <c r="AJ19" s="3356"/>
    </row>
    <row r="20" spans="1:36" ht="15">
      <c r="A20" s="2463" t="s">
        <v>1143</v>
      </c>
      <c r="B20" s="1440"/>
      <c r="C20" s="1440"/>
      <c r="D20" s="1440"/>
      <c r="E20" s="1439"/>
      <c r="F20" s="1440"/>
      <c r="G20" s="2686"/>
      <c r="H20" s="1440"/>
      <c r="I20" s="2686"/>
      <c r="J20" s="1440"/>
      <c r="K20" s="2686"/>
      <c r="L20" s="1440"/>
      <c r="M20" s="2686"/>
      <c r="N20" s="1440"/>
      <c r="O20" s="3877"/>
      <c r="P20" s="1440"/>
      <c r="Q20" s="2686"/>
      <c r="R20" s="1440"/>
      <c r="S20" s="2686"/>
      <c r="T20" s="1440"/>
      <c r="U20" s="2686"/>
      <c r="V20" s="1440"/>
      <c r="W20" s="2686"/>
      <c r="X20" s="1440"/>
      <c r="Y20" s="2686"/>
      <c r="Z20" s="1440"/>
      <c r="AA20" s="2766"/>
      <c r="AB20" s="3101"/>
      <c r="AC20" s="3101"/>
      <c r="AD20" s="3393"/>
      <c r="AE20" s="3101"/>
      <c r="AF20" s="3354"/>
      <c r="AG20" s="3354"/>
      <c r="AH20" s="3356"/>
      <c r="AI20" s="3101"/>
      <c r="AJ20" s="3356"/>
    </row>
    <row r="21" spans="1:36" ht="15">
      <c r="A21" s="2234" t="s">
        <v>1084</v>
      </c>
      <c r="B21" s="1440"/>
      <c r="C21" s="1439">
        <f>+'Exhibit F'!D17</f>
        <v>3187.3</v>
      </c>
      <c r="D21" s="1439"/>
      <c r="E21" s="1439">
        <f>+'Exhibit F'!F17</f>
        <v>2928.2999999999993</v>
      </c>
      <c r="F21" s="1439"/>
      <c r="G21" s="1439">
        <f>+'Exhibit F'!H17</f>
        <v>3096.3</v>
      </c>
      <c r="H21" s="1439"/>
      <c r="I21" s="1439">
        <f>+'Exhibit F'!J17</f>
        <v>3400.300000000002</v>
      </c>
      <c r="J21" s="1439"/>
      <c r="K21" s="1439">
        <f>+'Exhibit F'!L17</f>
        <v>2876.5999999999985</v>
      </c>
      <c r="L21" s="1439"/>
      <c r="M21" s="1439">
        <f>+'Exhibit F'!N17</f>
        <v>3147.2</v>
      </c>
      <c r="N21" s="1439"/>
      <c r="O21" s="3143">
        <f>+'Exhibit F'!P17</f>
        <v>2919.5000000000009</v>
      </c>
      <c r="P21" s="1440"/>
      <c r="Q21" s="1439">
        <f>+'Exhibit F'!R17</f>
        <v>3032.2999999999993</v>
      </c>
      <c r="R21" s="1440"/>
      <c r="S21" s="1439">
        <f>+'Exhibit F'!T17</f>
        <v>4647.9999999999991</v>
      </c>
      <c r="T21" s="1440"/>
      <c r="U21" s="1439">
        <f>+'Exhibit F'!V17</f>
        <v>4626.5000000000045</v>
      </c>
      <c r="V21" s="1440"/>
      <c r="W21" s="1439"/>
      <c r="X21" s="1440"/>
      <c r="Y21" s="1439"/>
      <c r="Z21" s="1440"/>
      <c r="AA21" s="2766"/>
      <c r="AB21" s="3143">
        <f>ROUND(SUM(C21:Y21),1)</f>
        <v>33862.300000000003</v>
      </c>
      <c r="AC21" s="3101"/>
      <c r="AD21" s="3393"/>
      <c r="AE21" s="3143">
        <f>+'Exhibit F'!AF17</f>
        <v>33882.400000000001</v>
      </c>
      <c r="AF21" s="3354"/>
      <c r="AG21" s="3354"/>
      <c r="AH21" s="2000">
        <f>ROUND(SUM(+AB21-AE21),1)</f>
        <v>-20.100000000000001</v>
      </c>
      <c r="AI21" s="2468"/>
      <c r="AJ21" s="1818">
        <f t="shared" ref="AJ21:AJ26" si="0">ROUND(SUM(+AH21/ABS(AE21)),3)</f>
        <v>-1E-3</v>
      </c>
    </row>
    <row r="22" spans="1:36" ht="15">
      <c r="A22" s="2234" t="s">
        <v>1352</v>
      </c>
      <c r="B22" s="1440"/>
      <c r="C22" s="1439">
        <f>+'Exhibit F'!D18</f>
        <v>211.6</v>
      </c>
      <c r="D22" s="1439"/>
      <c r="E22" s="1439">
        <f>+'Exhibit F'!F18</f>
        <v>70.900000000000006</v>
      </c>
      <c r="F22" s="1439"/>
      <c r="G22" s="1439">
        <f>+'Exhibit F'!H18</f>
        <v>1493</v>
      </c>
      <c r="H22" s="1439"/>
      <c r="I22" s="1439">
        <f>+'Exhibit F'!J18</f>
        <v>6329</v>
      </c>
      <c r="J22" s="1439"/>
      <c r="K22" s="1439">
        <f>+'Exhibit F'!L18</f>
        <v>121.3</v>
      </c>
      <c r="L22" s="1439"/>
      <c r="M22" s="1439">
        <f>+'Exhibit F'!N18</f>
        <v>2510</v>
      </c>
      <c r="N22" s="1439"/>
      <c r="O22" s="3143">
        <f>+'Exhibit F'!P18</f>
        <v>176.80000000000018</v>
      </c>
      <c r="P22" s="1440"/>
      <c r="Q22" s="1439">
        <f>+'Exhibit F'!R18</f>
        <v>99.600000000000364</v>
      </c>
      <c r="R22" s="1440"/>
      <c r="S22" s="1439">
        <f>+'Exhibit F'!T18</f>
        <v>335.5</v>
      </c>
      <c r="T22" s="1440"/>
      <c r="U22" s="1439">
        <f>+'Exhibit F'!V18</f>
        <v>4810.1999999999989</v>
      </c>
      <c r="V22" s="1440"/>
      <c r="W22" s="1439"/>
      <c r="X22" s="1440"/>
      <c r="Y22" s="1439"/>
      <c r="Z22" s="1440"/>
      <c r="AA22" s="2766"/>
      <c r="AB22" s="3143">
        <f>ROUND(SUM(C22:Y22),1)</f>
        <v>16157.9</v>
      </c>
      <c r="AC22" s="3101"/>
      <c r="AD22" s="3393"/>
      <c r="AE22" s="3143">
        <f>+'Exhibit F'!AF18</f>
        <v>16798</v>
      </c>
      <c r="AF22" s="3354"/>
      <c r="AG22" s="3354"/>
      <c r="AH22" s="2000">
        <f t="shared" ref="AH22:AH28" si="1">ROUND(SUM(+AB22-AE22),1)</f>
        <v>-640.1</v>
      </c>
      <c r="AI22" s="2468"/>
      <c r="AJ22" s="1818">
        <f t="shared" si="0"/>
        <v>-3.7999999999999999E-2</v>
      </c>
    </row>
    <row r="23" spans="1:36" ht="15">
      <c r="A23" s="2234" t="s">
        <v>1085</v>
      </c>
      <c r="B23" s="1440"/>
      <c r="C23" s="1439">
        <f>+'Exhibit F'!D19</f>
        <v>339.1</v>
      </c>
      <c r="D23" s="1439"/>
      <c r="E23" s="1439">
        <f>+'Exhibit F'!F19</f>
        <v>124.69999999999999</v>
      </c>
      <c r="F23" s="1439"/>
      <c r="G23" s="1439">
        <f>+'Exhibit F'!H19</f>
        <v>260.90000000000003</v>
      </c>
      <c r="H23" s="1439"/>
      <c r="I23" s="1439">
        <f>+'Exhibit F'!J19</f>
        <v>1765.1000000000001</v>
      </c>
      <c r="J23" s="1439"/>
      <c r="K23" s="1439">
        <f>+'Exhibit F'!L19</f>
        <v>69.299999999999955</v>
      </c>
      <c r="L23" s="1439"/>
      <c r="M23" s="1439">
        <f>+'Exhibit F'!N19</f>
        <v>83.4</v>
      </c>
      <c r="N23" s="1439"/>
      <c r="O23" s="3143">
        <f>+'Exhibit F'!P19</f>
        <v>528.00000000000011</v>
      </c>
      <c r="P23" s="1440"/>
      <c r="Q23" s="1439">
        <f>+'Exhibit F'!R19</f>
        <v>51.400000000000091</v>
      </c>
      <c r="R23" s="1440"/>
      <c r="S23" s="1439">
        <f>+'Exhibit F'!T19</f>
        <v>32.299999999999727</v>
      </c>
      <c r="T23" s="1440"/>
      <c r="U23" s="1439">
        <f>+'Exhibit F'!V19</f>
        <v>22.5</v>
      </c>
      <c r="V23" s="1440"/>
      <c r="W23" s="1439"/>
      <c r="X23" s="1440"/>
      <c r="Y23" s="1439"/>
      <c r="Z23" s="1440"/>
      <c r="AA23" s="2766"/>
      <c r="AB23" s="3143">
        <f t="shared" ref="AB23:AB29" si="2">ROUND(SUM(C23:Y23),1)</f>
        <v>3276.7</v>
      </c>
      <c r="AC23" s="3101"/>
      <c r="AD23" s="3393"/>
      <c r="AE23" s="3143">
        <f>+'Exhibit F'!AF19</f>
        <v>3224.5</v>
      </c>
      <c r="AF23" s="3354"/>
      <c r="AG23" s="3354"/>
      <c r="AH23" s="2000">
        <f t="shared" si="1"/>
        <v>52.2</v>
      </c>
      <c r="AI23" s="2468"/>
      <c r="AJ23" s="1818">
        <f t="shared" si="0"/>
        <v>1.6E-2</v>
      </c>
    </row>
    <row r="24" spans="1:36" ht="15">
      <c r="A24" s="2768" t="s">
        <v>1086</v>
      </c>
      <c r="B24" s="1440"/>
      <c r="C24" s="1439">
        <f>+'Exhibit F'!D20</f>
        <v>-69.8</v>
      </c>
      <c r="D24" s="1439"/>
      <c r="E24" s="1439">
        <f>+'Exhibit F'!F20</f>
        <v>-39.799999999999997</v>
      </c>
      <c r="F24" s="1439"/>
      <c r="G24" s="1439">
        <f>+'Exhibit F'!H20</f>
        <v>-58.400000000000006</v>
      </c>
      <c r="H24" s="1439"/>
      <c r="I24" s="1439">
        <f>+'Exhibit F'!J20</f>
        <v>-186.99999999999997</v>
      </c>
      <c r="J24" s="1439"/>
      <c r="K24" s="1439">
        <f>+'Exhibit F'!L20</f>
        <v>-28.100000000000023</v>
      </c>
      <c r="L24" s="1439"/>
      <c r="M24" s="1439">
        <f>+'Exhibit F'!N20</f>
        <v>-71.7</v>
      </c>
      <c r="N24" s="1439"/>
      <c r="O24" s="3143">
        <f>+'Exhibit F'!P20</f>
        <v>-444.90000000000015</v>
      </c>
      <c r="P24" s="1440"/>
      <c r="Q24" s="1439">
        <f>+'Exhibit F'!R20</f>
        <v>-65.899999999999977</v>
      </c>
      <c r="R24" s="1440"/>
      <c r="S24" s="1439">
        <f>+'Exhibit F'!T20</f>
        <v>-58.299999999999898</v>
      </c>
      <c r="T24" s="1440"/>
      <c r="U24" s="1439">
        <f>+'Exhibit F'!V20</f>
        <v>-3.5000000000001137</v>
      </c>
      <c r="V24" s="1440"/>
      <c r="W24" s="1439"/>
      <c r="X24" s="1440"/>
      <c r="Y24" s="1439"/>
      <c r="Z24" s="1440"/>
      <c r="AA24" s="2766"/>
      <c r="AB24" s="3143">
        <f>ROUND(SUM(C24:Y24),1)</f>
        <v>-1027.4000000000001</v>
      </c>
      <c r="AC24" s="3101"/>
      <c r="AD24" s="3393"/>
      <c r="AE24" s="3143">
        <f>+'Exhibit F'!AF20</f>
        <v>-1005.2</v>
      </c>
      <c r="AF24" s="3354"/>
      <c r="AG24" s="3354"/>
      <c r="AH24" s="2000">
        <f>-ROUND(SUM(+AB24-AE24),1)</f>
        <v>22.2</v>
      </c>
      <c r="AI24" s="2468"/>
      <c r="AJ24" s="1818">
        <f t="shared" si="0"/>
        <v>2.1999999999999999E-2</v>
      </c>
    </row>
    <row r="25" spans="1:36" ht="15">
      <c r="A25" s="2768" t="s">
        <v>1351</v>
      </c>
      <c r="B25" s="1440"/>
      <c r="C25" s="1439">
        <f>+'Exhibit F'!D21</f>
        <v>107.4</v>
      </c>
      <c r="D25" s="1439"/>
      <c r="E25" s="1439">
        <f>+'Exhibit F'!F21</f>
        <v>60.099999999999994</v>
      </c>
      <c r="F25" s="1439"/>
      <c r="G25" s="1439">
        <f>+'Exhibit F'!H21</f>
        <v>63</v>
      </c>
      <c r="H25" s="1439"/>
      <c r="I25" s="1439">
        <f>+'Exhibit F'!J21</f>
        <v>103.10000000000002</v>
      </c>
      <c r="J25" s="1439"/>
      <c r="K25" s="1439">
        <f>+'Exhibit F'!L21</f>
        <v>75.000000000000028</v>
      </c>
      <c r="L25" s="1439"/>
      <c r="M25" s="1439">
        <f>+'Exhibit F'!N21</f>
        <v>97.9</v>
      </c>
      <c r="N25" s="1439"/>
      <c r="O25" s="3143">
        <f>+'Exhibit F'!P21</f>
        <v>133.2999999999999</v>
      </c>
      <c r="P25" s="1440"/>
      <c r="Q25" s="1439">
        <f>+'Exhibit F'!R21</f>
        <v>90.900000000000119</v>
      </c>
      <c r="R25" s="1440"/>
      <c r="S25" s="1439">
        <f>+'Exhibit F'!T21</f>
        <v>119.29999999999998</v>
      </c>
      <c r="T25" s="1440"/>
      <c r="U25" s="1439">
        <f>+'Exhibit F'!V21</f>
        <v>116.10000000000002</v>
      </c>
      <c r="V25" s="1440"/>
      <c r="W25" s="1439"/>
      <c r="X25" s="1440"/>
      <c r="Y25" s="1439"/>
      <c r="Z25" s="1440"/>
      <c r="AA25" s="2766"/>
      <c r="AB25" s="3143">
        <f t="shared" si="2"/>
        <v>966.1</v>
      </c>
      <c r="AC25" s="3101"/>
      <c r="AD25" s="3393"/>
      <c r="AE25" s="3143">
        <f>+'Exhibit F'!AF21</f>
        <v>1096.1000000000001</v>
      </c>
      <c r="AF25" s="3354"/>
      <c r="AG25" s="3354"/>
      <c r="AH25" s="2000">
        <f t="shared" si="1"/>
        <v>-130</v>
      </c>
      <c r="AI25" s="2468"/>
      <c r="AJ25" s="1818">
        <f t="shared" si="0"/>
        <v>-0.11899999999999999</v>
      </c>
    </row>
    <row r="26" spans="1:36" ht="15.75">
      <c r="A26" s="2316" t="s">
        <v>1087</v>
      </c>
      <c r="B26" s="1440"/>
      <c r="C26" s="2042">
        <f>ROUND(SUM(C21:C25),1)</f>
        <v>3775.6</v>
      </c>
      <c r="D26" s="1440"/>
      <c r="E26" s="2042">
        <f>ROUND(SUM(E21:E25),1)</f>
        <v>3144.2</v>
      </c>
      <c r="F26" s="1440"/>
      <c r="G26" s="2042">
        <f>ROUND(SUM(G21:G25),1)</f>
        <v>4854.8</v>
      </c>
      <c r="H26" s="1440"/>
      <c r="I26" s="2042">
        <f>ROUND(SUM(I21:I25),1)</f>
        <v>11410.5</v>
      </c>
      <c r="J26" s="1440"/>
      <c r="K26" s="2042">
        <f>ROUND(SUM(K21:K25),1)</f>
        <v>3114.1</v>
      </c>
      <c r="L26" s="1440"/>
      <c r="M26" s="2042">
        <f>ROUND(SUM(M21:M25),1)</f>
        <v>5766.8</v>
      </c>
      <c r="N26" s="1440"/>
      <c r="O26" s="1460">
        <f>ROUND(SUM(O21:O25),1)</f>
        <v>3312.7</v>
      </c>
      <c r="P26" s="1440"/>
      <c r="Q26" s="2042">
        <f>ROUND(SUM(Q21:Q25),1)</f>
        <v>3208.3</v>
      </c>
      <c r="R26" s="1440"/>
      <c r="S26" s="2042">
        <f>ROUND(SUM(S21:S25),1)</f>
        <v>5076.8</v>
      </c>
      <c r="T26" s="1440"/>
      <c r="U26" s="2042">
        <f>ROUND(SUM(U21:U25),1)</f>
        <v>9571.7999999999993</v>
      </c>
      <c r="V26" s="1440"/>
      <c r="W26" s="2042">
        <f>ROUND(SUM(W21:W25),1)</f>
        <v>0</v>
      </c>
      <c r="X26" s="1440"/>
      <c r="Y26" s="2042">
        <f>ROUND(SUM(Y21:Y25),1)</f>
        <v>0</v>
      </c>
      <c r="Z26" s="1440"/>
      <c r="AA26" s="2766"/>
      <c r="AB26" s="1460">
        <f>ROUND(SUM(AB21:AB25),1)</f>
        <v>53235.6</v>
      </c>
      <c r="AC26" s="3101"/>
      <c r="AD26" s="3393"/>
      <c r="AE26" s="1460">
        <f>ROUND(SUM(AE21:AE25),1)</f>
        <v>53995.8</v>
      </c>
      <c r="AF26" s="3354"/>
      <c r="AG26" s="3354"/>
      <c r="AH26" s="2017">
        <f t="shared" si="1"/>
        <v>-760.2</v>
      </c>
      <c r="AI26" s="2468"/>
      <c r="AJ26" s="2549">
        <f t="shared" si="0"/>
        <v>-1.4E-2</v>
      </c>
    </row>
    <row r="27" spans="1:36" ht="15">
      <c r="A27" s="2768" t="s">
        <v>1089</v>
      </c>
      <c r="B27" s="1440"/>
      <c r="C27" s="1439">
        <f>+'Exhibit F'!D23+'Exhibit G State'!D17</f>
        <v>0</v>
      </c>
      <c r="D27" s="1440"/>
      <c r="E27" s="1439">
        <f>+'Exhibit F'!F23+'Exhibit G State'!F17</f>
        <v>0</v>
      </c>
      <c r="F27" s="1440"/>
      <c r="G27" s="1439">
        <f>+'Exhibit F'!H23+'Exhibit G State'!H17</f>
        <v>0</v>
      </c>
      <c r="H27" s="1440"/>
      <c r="I27" s="1439">
        <f>+'Exhibit F'!J23+'Exhibit G State'!J17</f>
        <v>0</v>
      </c>
      <c r="J27" s="1440"/>
      <c r="K27" s="1439">
        <f>+'Exhibit F'!L23+'Exhibit G State'!L17</f>
        <v>0</v>
      </c>
      <c r="L27" s="1440"/>
      <c r="M27" s="1439">
        <f>+'Exhibit F'!N23+'Exhibit G State'!N17</f>
        <v>0</v>
      </c>
      <c r="N27" s="1440"/>
      <c r="O27" s="1439">
        <f>+'Exhibit F'!P23+'Exhibit G State'!P17</f>
        <v>0</v>
      </c>
      <c r="P27" s="1440"/>
      <c r="Q27" s="1439">
        <f>+'Exhibit F'!R23+'Exhibit G State'!R17</f>
        <v>0</v>
      </c>
      <c r="R27" s="1440"/>
      <c r="S27" s="1439">
        <f>+'Exhibit F'!T23+'Exhibit G State'!T17</f>
        <v>0</v>
      </c>
      <c r="T27" s="1440"/>
      <c r="U27" s="1439">
        <f>+'Exhibit F'!V23+'Exhibit G State'!V17</f>
        <v>0</v>
      </c>
      <c r="V27" s="1440"/>
      <c r="W27" s="1439"/>
      <c r="X27" s="1440"/>
      <c r="Y27" s="1439"/>
      <c r="Z27" s="1440"/>
      <c r="AA27" s="2766"/>
      <c r="AB27" s="3143">
        <f>ROUND(SUM(C27:Y27),1)</f>
        <v>0</v>
      </c>
      <c r="AC27" s="3101"/>
      <c r="AD27" s="3393"/>
      <c r="AE27" s="3143">
        <f>+'Exhibit F'!AF23+'Exhibit G State'!AG17</f>
        <v>0</v>
      </c>
      <c r="AF27" s="3354"/>
      <c r="AG27" s="3354"/>
      <c r="AH27" s="2000">
        <f t="shared" si="1"/>
        <v>0</v>
      </c>
      <c r="AI27" s="2468"/>
      <c r="AJ27" s="1724">
        <f>ROUND(IF(AE27=0,0,AH27/ABS(AE27)),3)</f>
        <v>0</v>
      </c>
    </row>
    <row r="28" spans="1:36" ht="15">
      <c r="A28" s="2768" t="s">
        <v>1090</v>
      </c>
      <c r="B28" s="1440"/>
      <c r="C28" s="1439">
        <f>+'Exhibit F'!D24+'Exhibit H'!B16</f>
        <v>0</v>
      </c>
      <c r="D28" s="1440"/>
      <c r="E28" s="1439">
        <f>+'Exhibit F'!F24+'Exhibit H'!D16</f>
        <v>0</v>
      </c>
      <c r="F28" s="1440"/>
      <c r="G28" s="1439">
        <f>+'Exhibit F'!H24+'Exhibit H'!F16</f>
        <v>0</v>
      </c>
      <c r="H28" s="1440"/>
      <c r="I28" s="1439">
        <f>+'Exhibit F'!J24+'Exhibit H'!H16</f>
        <v>0</v>
      </c>
      <c r="J28" s="1440"/>
      <c r="K28" s="1439">
        <f>+'Exhibit F'!L24+'Exhibit H'!J16</f>
        <v>0</v>
      </c>
      <c r="L28" s="1440"/>
      <c r="M28" s="1439">
        <f>+'Exhibit F'!N24+'Exhibit H'!L16</f>
        <v>0</v>
      </c>
      <c r="N28" s="1440"/>
      <c r="O28" s="3143">
        <f>+'Exhibit F'!P24+'Exhibit H'!N16</f>
        <v>0</v>
      </c>
      <c r="P28" s="1440"/>
      <c r="Q28" s="1439">
        <f>+'Exhibit F'!R24+'Exhibit H'!P16</f>
        <v>0</v>
      </c>
      <c r="R28" s="1440"/>
      <c r="S28" s="1439">
        <f>+'Exhibit F'!T24+'Exhibit H'!R16</f>
        <v>0</v>
      </c>
      <c r="T28" s="1440"/>
      <c r="U28" s="1439">
        <f>+'Exhibit F'!V24+'Exhibit H'!T16</f>
        <v>0</v>
      </c>
      <c r="V28" s="1440"/>
      <c r="W28" s="1439"/>
      <c r="X28" s="1440"/>
      <c r="Y28" s="1439"/>
      <c r="Z28" s="1440"/>
      <c r="AA28" s="2766"/>
      <c r="AB28" s="3143">
        <f t="shared" si="2"/>
        <v>0</v>
      </c>
      <c r="AC28" s="3101"/>
      <c r="AD28" s="3393"/>
      <c r="AE28" s="3143">
        <f>+'Exhibit F'!AF24+'Exhibit H'!AD16</f>
        <v>0</v>
      </c>
      <c r="AF28" s="3354"/>
      <c r="AG28" s="3354"/>
      <c r="AH28" s="2000">
        <f t="shared" si="1"/>
        <v>0</v>
      </c>
      <c r="AI28" s="2468"/>
      <c r="AJ28" s="1724">
        <f>ROUND(IF(AE28=0,0,AH28/ABS(AE28)),3)</f>
        <v>0</v>
      </c>
    </row>
    <row r="29" spans="1:36" ht="15">
      <c r="A29" s="2234" t="s">
        <v>1353</v>
      </c>
      <c r="B29" s="1439"/>
      <c r="C29" s="1439">
        <f>+'Exhibit F'!D25</f>
        <v>-1709.4</v>
      </c>
      <c r="D29" s="1439"/>
      <c r="E29" s="1439">
        <f>+'Exhibit F'!F25</f>
        <v>-945</v>
      </c>
      <c r="F29" s="1439"/>
      <c r="G29" s="1439">
        <f>+'Exhibit F'!H25</f>
        <v>-486.29999999999973</v>
      </c>
      <c r="H29" s="1439"/>
      <c r="I29" s="1439">
        <f>+'Exhibit F'!J25</f>
        <v>-1179.8000000000002</v>
      </c>
      <c r="J29" s="1439"/>
      <c r="K29" s="1439">
        <f>+'Exhibit F'!L25</f>
        <v>-391.1</v>
      </c>
      <c r="L29" s="1440"/>
      <c r="M29" s="1439">
        <f>+'Exhibit F'!N25</f>
        <v>-495.4</v>
      </c>
      <c r="N29" s="1440"/>
      <c r="O29" s="3143">
        <f>+'Exhibit F'!P25</f>
        <v>-781.10000000000093</v>
      </c>
      <c r="P29" s="1440"/>
      <c r="Q29" s="1439">
        <f>+'Exhibit F'!R25</f>
        <v>-633.49999999999989</v>
      </c>
      <c r="R29" s="1440"/>
      <c r="S29" s="1439">
        <f>+'Exhibit F'!T25</f>
        <v>-244</v>
      </c>
      <c r="T29" s="1440"/>
      <c r="U29" s="1439">
        <f>+'Exhibit F'!V25</f>
        <v>-118.79999999999927</v>
      </c>
      <c r="V29" s="1440"/>
      <c r="W29" s="1439"/>
      <c r="X29" s="1440"/>
      <c r="Y29" s="1439"/>
      <c r="Z29" s="1440"/>
      <c r="AA29" s="2766"/>
      <c r="AB29" s="3143">
        <f t="shared" si="2"/>
        <v>-6984.4</v>
      </c>
      <c r="AC29" s="3101"/>
      <c r="AD29" s="3393"/>
      <c r="AE29" s="3143">
        <f>+'Exhibit F'!AF25</f>
        <v>-7779.4</v>
      </c>
      <c r="AF29" s="3354"/>
      <c r="AG29" s="3354"/>
      <c r="AH29" s="2000">
        <f>-ROUND(SUM(+AB29-AE29),1)</f>
        <v>-795</v>
      </c>
      <c r="AI29" s="2468"/>
      <c r="AJ29" s="1818">
        <f>ROUND(SUM(+AH29/ABS(AE29)),3)</f>
        <v>-0.10199999999999999</v>
      </c>
    </row>
    <row r="30" spans="1:36" ht="15.75">
      <c r="A30" s="2473" t="s">
        <v>1088</v>
      </c>
      <c r="B30" s="1440"/>
      <c r="C30" s="2042">
        <f>ROUND(SUM(C26+C27+C28+C29),1)</f>
        <v>2066.1999999999998</v>
      </c>
      <c r="D30" s="1440"/>
      <c r="E30" s="2042">
        <f>ROUND(SUM(E26+E27+E28+E29),1)</f>
        <v>2199.1999999999998</v>
      </c>
      <c r="F30" s="1440"/>
      <c r="G30" s="2042">
        <f>ROUND(SUM(G26+G27+G28+G29),1)</f>
        <v>4368.5</v>
      </c>
      <c r="H30" s="1440"/>
      <c r="I30" s="2042">
        <f>ROUND(SUM(I26+I27+I28+I29),1)</f>
        <v>10230.700000000001</v>
      </c>
      <c r="J30" s="1440"/>
      <c r="K30" s="2042">
        <f>ROUND(SUM(K26+K27+K28+K29),1)</f>
        <v>2723</v>
      </c>
      <c r="L30" s="1440"/>
      <c r="M30" s="2042">
        <f>ROUND(SUM(M26+M27+M28+M29),1)</f>
        <v>5271.4</v>
      </c>
      <c r="N30" s="1440"/>
      <c r="O30" s="1460">
        <f>ROUND(SUM(O26+O27+O28+O29),1)</f>
        <v>2531.6</v>
      </c>
      <c r="P30" s="1440"/>
      <c r="Q30" s="2042">
        <f>ROUND(SUM(Q26+Q27+Q28+Q29),1)</f>
        <v>2574.8000000000002</v>
      </c>
      <c r="R30" s="1440"/>
      <c r="S30" s="2042">
        <f>ROUND(SUM(S26+S27+S28+S29),1)</f>
        <v>4832.8</v>
      </c>
      <c r="T30" s="1440"/>
      <c r="U30" s="2042">
        <f>ROUND(SUM(U26+U27+U28+U29),1)</f>
        <v>9453</v>
      </c>
      <c r="V30" s="1440"/>
      <c r="W30" s="2042">
        <f>ROUND(SUM(W26+W27+W28+W29),1)</f>
        <v>0</v>
      </c>
      <c r="X30" s="1440"/>
      <c r="Y30" s="2042">
        <f>ROUND(SUM(Y26+Y27+Y28+Y29),1)</f>
        <v>0</v>
      </c>
      <c r="Z30" s="1440"/>
      <c r="AA30" s="2766"/>
      <c r="AB30" s="1460">
        <f>ROUND(SUM(AB26+AB27+AB28+AB29),1)</f>
        <v>46251.199999999997</v>
      </c>
      <c r="AC30" s="3101"/>
      <c r="AD30" s="3393"/>
      <c r="AE30" s="1460">
        <f>ROUND(SUM(AE26+AE27+AE28+AE29),1)</f>
        <v>46216.4</v>
      </c>
      <c r="AF30" s="3354"/>
      <c r="AG30" s="3354"/>
      <c r="AH30" s="1460">
        <f>ROUND(SUM(AH26+AH27+AH28-AH29),1)</f>
        <v>34.799999999999997</v>
      </c>
      <c r="AI30" s="3357"/>
      <c r="AJ30" s="2549">
        <f>ROUND(SUM(+AH30/ABS(AE30)),3)</f>
        <v>1E-3</v>
      </c>
    </row>
    <row r="31" spans="1:36" ht="15">
      <c r="A31" s="2463" t="s">
        <v>1140</v>
      </c>
      <c r="B31" s="1440"/>
      <c r="C31" s="1440"/>
      <c r="D31" s="1440"/>
      <c r="E31" s="1440"/>
      <c r="F31" s="1440"/>
      <c r="G31" s="1440"/>
      <c r="H31" s="1440"/>
      <c r="I31" s="1440"/>
      <c r="J31" s="1440"/>
      <c r="K31" s="1440"/>
      <c r="L31" s="1440"/>
      <c r="M31" s="1440"/>
      <c r="N31" s="1440"/>
      <c r="O31" s="3101"/>
      <c r="P31" s="1440"/>
      <c r="Q31" s="1440"/>
      <c r="R31" s="1440"/>
      <c r="S31" s="1440"/>
      <c r="T31" s="1440"/>
      <c r="U31" s="1440"/>
      <c r="V31" s="1440"/>
      <c r="W31" s="1440"/>
      <c r="X31" s="1440"/>
      <c r="Y31" s="1440"/>
      <c r="Z31" s="1440"/>
      <c r="AA31" s="2766"/>
      <c r="AB31" s="3101"/>
      <c r="AC31" s="3101"/>
      <c r="AD31" s="3393"/>
      <c r="AE31" s="3143"/>
      <c r="AF31" s="3354"/>
      <c r="AG31" s="3354"/>
      <c r="AH31" s="3356"/>
      <c r="AI31" s="3101"/>
      <c r="AJ31" s="3356"/>
    </row>
    <row r="32" spans="1:36" ht="15">
      <c r="A32" s="2234" t="s">
        <v>1093</v>
      </c>
      <c r="B32" s="1440"/>
      <c r="C32" s="1439">
        <f>+'Exhibit F'!D28+'Exhibit H'!B19+'Exhibit G State'!D20</f>
        <v>869.39999999999986</v>
      </c>
      <c r="D32" s="1439"/>
      <c r="E32" s="1439">
        <f>+'Exhibit F'!F28+'Exhibit H'!D19+'Exhibit G State'!F20</f>
        <v>790.8</v>
      </c>
      <c r="F32" s="1439"/>
      <c r="G32" s="1439">
        <f>+'Exhibit F'!H28+'Exhibit H'!F19+'Exhibit G State'!H20</f>
        <v>1210</v>
      </c>
      <c r="H32" s="1439"/>
      <c r="I32" s="1439">
        <f>+'Exhibit F'!J28+'Exhibit H'!H19+'Exhibit G State'!J20</f>
        <v>1132.3999999999999</v>
      </c>
      <c r="J32" s="1439"/>
      <c r="K32" s="1439">
        <f>+'Exhibit F'!L28+'Exhibit H'!J19+'Exhibit G State'!L20</f>
        <v>1146.3999999999996</v>
      </c>
      <c r="L32" s="1440"/>
      <c r="M32" s="1439">
        <f>+'Exhibit F'!N28+'Exhibit H'!L19+'Exhibit G State'!N20</f>
        <v>1540.2000000000005</v>
      </c>
      <c r="N32" s="1440"/>
      <c r="O32" s="3143">
        <f>+'Exhibit F'!P28+'Exhibit H'!N19+'Exhibit G State'!P20</f>
        <v>1140.5999999999997</v>
      </c>
      <c r="P32" s="1440"/>
      <c r="Q32" s="1439">
        <f>+'Exhibit F'!R28+'Exhibit H'!P19+'Exhibit G State'!R20</f>
        <v>1166.8000000000004</v>
      </c>
      <c r="R32" s="1440"/>
      <c r="S32" s="1439">
        <f>+'Exhibit F'!T28+'Exhibit H'!R19+'Exhibit G State'!T20</f>
        <v>1500.2000000000007</v>
      </c>
      <c r="T32" s="1440"/>
      <c r="U32" s="1439">
        <f>+'Exhibit F'!V28+'Exhibit H'!T19+'Exhibit G State'!V20</f>
        <v>1280.6999999999998</v>
      </c>
      <c r="V32" s="1440"/>
      <c r="W32" s="1439"/>
      <c r="X32" s="1440"/>
      <c r="Y32" s="1439"/>
      <c r="Z32" s="1440"/>
      <c r="AA32" s="2766"/>
      <c r="AB32" s="3143">
        <f t="shared" ref="AB32:AB38" si="3">ROUND(SUM(C32:Y32),1)</f>
        <v>11777.5</v>
      </c>
      <c r="AC32" s="3101"/>
      <c r="AD32" s="3393"/>
      <c r="AE32" s="3143">
        <f>+'Exhibit F'!AF28+'Exhibit H'!AD19+'Exhibit G State'!AG20</f>
        <v>13516.5</v>
      </c>
      <c r="AF32" s="3354"/>
      <c r="AG32" s="3354"/>
      <c r="AH32" s="2000">
        <f t="shared" ref="AH32:AH38" si="4">ROUND(SUM(+AB32-AE32),1)</f>
        <v>-1739</v>
      </c>
      <c r="AI32" s="2468"/>
      <c r="AJ32" s="1818">
        <f>ROUND(SUM(+AH32/ABS(AE32)),3)</f>
        <v>-0.129</v>
      </c>
    </row>
    <row r="33" spans="1:36" ht="15">
      <c r="A33" s="2234" t="s">
        <v>1094</v>
      </c>
      <c r="B33" s="1440"/>
      <c r="C33" s="1439">
        <f>+'Exhibit F'!D29+'Exhibit G State'!D21</f>
        <v>-0.1</v>
      </c>
      <c r="D33" s="1439"/>
      <c r="E33" s="1439">
        <f>+'Exhibit F'!F29+'Exhibit G State'!F21</f>
        <v>-1.4999999999999998</v>
      </c>
      <c r="F33" s="1439"/>
      <c r="G33" s="1439">
        <f>+'Exhibit F'!H29+'Exhibit G State'!H21</f>
        <v>3.4</v>
      </c>
      <c r="H33" s="1439"/>
      <c r="I33" s="1439">
        <f>+'Exhibit F'!J29+'Exhibit G State'!J21</f>
        <v>2.1</v>
      </c>
      <c r="J33" s="1439"/>
      <c r="K33" s="1439">
        <f>+'Exhibit F'!L29+'Exhibit G State'!L21</f>
        <v>2.0999999999999992</v>
      </c>
      <c r="L33" s="1440"/>
      <c r="M33" s="1439">
        <f>+'Exhibit F'!N29+'Exhibit G State'!N21</f>
        <v>-1.0999999999999992</v>
      </c>
      <c r="N33" s="1440"/>
      <c r="O33" s="3143">
        <f>+'Exhibit F'!P29+'Exhibit G State'!P21</f>
        <v>0</v>
      </c>
      <c r="P33" s="1440"/>
      <c r="Q33" s="1439">
        <f>+'Exhibit F'!R29+'Exhibit G State'!R21</f>
        <v>0</v>
      </c>
      <c r="R33" s="1440"/>
      <c r="S33" s="1439">
        <f>+'Exhibit F'!T29+'Exhibit G State'!T21</f>
        <v>3.7999999999999989</v>
      </c>
      <c r="T33" s="1440"/>
      <c r="U33" s="1439">
        <f>+'Exhibit F'!V29+'Exhibit G State'!V21</f>
        <v>0</v>
      </c>
      <c r="V33" s="1440"/>
      <c r="W33" s="1439"/>
      <c r="X33" s="1440"/>
      <c r="Y33" s="1439"/>
      <c r="Z33" s="1440"/>
      <c r="AA33" s="2766"/>
      <c r="AB33" s="3143">
        <f t="shared" si="3"/>
        <v>8.6999999999999993</v>
      </c>
      <c r="AC33" s="3101"/>
      <c r="AD33" s="3393"/>
      <c r="AE33" s="3143">
        <f>+'Exhibit F'!AF29+'Exhibit G State'!AG21</f>
        <v>12.9</v>
      </c>
      <c r="AF33" s="3354"/>
      <c r="AG33" s="3354"/>
      <c r="AH33" s="2000">
        <f t="shared" si="4"/>
        <v>-4.2</v>
      </c>
      <c r="AI33" s="2468"/>
      <c r="AJ33" s="1724">
        <f>ROUND(IF(AE33=0,1,AH33/ABS(AE33)),3)</f>
        <v>-0.32600000000000001</v>
      </c>
    </row>
    <row r="34" spans="1:36" ht="15">
      <c r="A34" s="2234" t="s">
        <v>1095</v>
      </c>
      <c r="B34" s="1440"/>
      <c r="C34" s="1439">
        <f>+'Exhibit F'!D30+'Exhibit G State'!D22</f>
        <v>98.8</v>
      </c>
      <c r="D34" s="1439"/>
      <c r="E34" s="1439">
        <f>+'Exhibit F'!F30+'Exhibit G State'!F22</f>
        <v>74</v>
      </c>
      <c r="F34" s="1439"/>
      <c r="G34" s="1439">
        <f>+'Exhibit F'!H30+'Exhibit G State'!H22</f>
        <v>86.100000000000009</v>
      </c>
      <c r="H34" s="1439"/>
      <c r="I34" s="1439">
        <f>+'Exhibit F'!J30+'Exhibit G State'!J22</f>
        <v>97.799999999999983</v>
      </c>
      <c r="J34" s="1439"/>
      <c r="K34" s="1439">
        <f>+'Exhibit F'!L30+'Exhibit G State'!L22</f>
        <v>86.999999999999972</v>
      </c>
      <c r="L34" s="1440"/>
      <c r="M34" s="1439">
        <f>+'Exhibit F'!N30+'Exhibit G State'!N22</f>
        <v>103.4</v>
      </c>
      <c r="N34" s="1440"/>
      <c r="O34" s="3143">
        <f>+'Exhibit F'!P30+'Exhibit G State'!P22</f>
        <v>80.999999999999986</v>
      </c>
      <c r="P34" s="1440"/>
      <c r="Q34" s="1439">
        <f>+'Exhibit F'!R30+'Exhibit G State'!R22</f>
        <v>86.000000000000099</v>
      </c>
      <c r="R34" s="1440"/>
      <c r="S34" s="1439">
        <f>+'Exhibit F'!T30+'Exhibit G State'!T22</f>
        <v>87.499999999999915</v>
      </c>
      <c r="T34" s="1440"/>
      <c r="U34" s="1439">
        <f>+'Exhibit F'!V30+'Exhibit G State'!V22</f>
        <v>89.100000000000193</v>
      </c>
      <c r="V34" s="1440"/>
      <c r="W34" s="1439"/>
      <c r="X34" s="1440"/>
      <c r="Y34" s="1439"/>
      <c r="Z34" s="1440"/>
      <c r="AA34" s="2766"/>
      <c r="AB34" s="3143">
        <f t="shared" si="3"/>
        <v>890.7</v>
      </c>
      <c r="AC34" s="3101"/>
      <c r="AD34" s="3393"/>
      <c r="AE34" s="3143">
        <f>+'Exhibit F'!AF30+'Exhibit G State'!AG22</f>
        <v>898.3</v>
      </c>
      <c r="AF34" s="3354"/>
      <c r="AG34" s="3354"/>
      <c r="AH34" s="2000">
        <f t="shared" si="4"/>
        <v>-7.6</v>
      </c>
      <c r="AI34" s="2468"/>
      <c r="AJ34" s="1818">
        <f>ROUND(SUM(+AH34/ABS(AE34)),3)</f>
        <v>-8.0000000000000002E-3</v>
      </c>
    </row>
    <row r="35" spans="1:36" ht="15">
      <c r="A35" s="2234" t="s">
        <v>1237</v>
      </c>
      <c r="B35" s="1440"/>
      <c r="C35" s="1439">
        <f>'Exhibit G State'!D23</f>
        <v>0.5</v>
      </c>
      <c r="D35" s="1439"/>
      <c r="E35" s="1439">
        <f>'Exhibit G State'!F23</f>
        <v>0.60000000000000009</v>
      </c>
      <c r="F35" s="1439"/>
      <c r="G35" s="1439">
        <f>'Exhibit G State'!H23</f>
        <v>0.7</v>
      </c>
      <c r="H35" s="1439"/>
      <c r="I35" s="1439">
        <f>'Exhibit G State'!J23</f>
        <v>0.59999999999999987</v>
      </c>
      <c r="J35" s="1439"/>
      <c r="K35" s="1439">
        <f>'Exhibit G State'!L23</f>
        <v>0.80000000000000027</v>
      </c>
      <c r="L35" s="1440"/>
      <c r="M35" s="1439">
        <f>'Exhibit G State'!N23</f>
        <v>0.69999999999999951</v>
      </c>
      <c r="N35" s="1440"/>
      <c r="O35" s="3143">
        <f>'Exhibit G State'!P23</f>
        <v>0.80000000000000093</v>
      </c>
      <c r="P35" s="1440"/>
      <c r="Q35" s="1439">
        <f>'Exhibit G State'!R23</f>
        <v>0.70000000000000018</v>
      </c>
      <c r="R35" s="1440"/>
      <c r="S35" s="1439">
        <f>'Exhibit G State'!T23</f>
        <v>0.79999999999999871</v>
      </c>
      <c r="T35" s="1440"/>
      <c r="U35" s="1439">
        <f>'Exhibit G State'!V23</f>
        <v>1.0000000000000002</v>
      </c>
      <c r="V35" s="1440"/>
      <c r="W35" s="1439"/>
      <c r="X35" s="1440"/>
      <c r="Y35" s="1439"/>
      <c r="Z35" s="1440"/>
      <c r="AA35" s="2766"/>
      <c r="AB35" s="3143">
        <f t="shared" si="3"/>
        <v>7.2</v>
      </c>
      <c r="AC35" s="3101"/>
      <c r="AD35" s="3393"/>
      <c r="AE35" s="3143">
        <f>'Exhibit G State'!AG23</f>
        <v>4.8</v>
      </c>
      <c r="AF35" s="3354"/>
      <c r="AG35" s="3354"/>
      <c r="AH35" s="2000">
        <f>ROUND(SUM(+AB35-AE35),1)</f>
        <v>2.4</v>
      </c>
      <c r="AI35" s="2468"/>
      <c r="AJ35" s="1724">
        <f>ROUND(IF(AE35=0,1,AH35/ABS(AE35)),3)</f>
        <v>0.5</v>
      </c>
    </row>
    <row r="36" spans="1:36" ht="15">
      <c r="A36" s="2234" t="s">
        <v>1096</v>
      </c>
      <c r="B36" s="1440"/>
      <c r="C36" s="1439">
        <f>+'Exhibit F'!D31+'Exhibit G State'!D24</f>
        <v>6.5</v>
      </c>
      <c r="D36" s="1439"/>
      <c r="E36" s="1439">
        <f>+'Exhibit F'!F31+'Exhibit G State'!F24</f>
        <v>4.6999999999999993</v>
      </c>
      <c r="F36" s="1439"/>
      <c r="G36" s="1439">
        <f>+'Exhibit F'!H31+'Exhibit G State'!H24</f>
        <v>6.5999999999999979</v>
      </c>
      <c r="H36" s="1439"/>
      <c r="I36" s="1439">
        <f>+'Exhibit F'!J31+'Exhibit G State'!J24</f>
        <v>8.5000000000000036</v>
      </c>
      <c r="J36" s="1439"/>
      <c r="K36" s="1439">
        <f>+'Exhibit F'!L31+'Exhibit G State'!L24</f>
        <v>9.0999999999999979</v>
      </c>
      <c r="L36" s="1440"/>
      <c r="M36" s="1439">
        <f>+'Exhibit F'!N31+'Exhibit G State'!N24</f>
        <v>8.899999999999995</v>
      </c>
      <c r="N36" s="1440"/>
      <c r="O36" s="3143">
        <f>+'Exhibit F'!P31+'Exhibit G State'!P24</f>
        <v>8.3000000000000149</v>
      </c>
      <c r="P36" s="1440"/>
      <c r="Q36" s="1439">
        <f>+'Exhibit F'!R31+'Exhibit G State'!R24</f>
        <v>8.5999999999999979</v>
      </c>
      <c r="R36" s="1440"/>
      <c r="S36" s="1439">
        <f>+'Exhibit F'!T31+'Exhibit G State'!T24</f>
        <v>8.7000000000000064</v>
      </c>
      <c r="T36" s="1440"/>
      <c r="U36" s="1439">
        <f>+'Exhibit F'!V31+'Exhibit G State'!V24</f>
        <v>6.5000000000000036</v>
      </c>
      <c r="V36" s="1440"/>
      <c r="W36" s="1439"/>
      <c r="X36" s="1440"/>
      <c r="Y36" s="1439"/>
      <c r="Z36" s="1440"/>
      <c r="AA36" s="2766"/>
      <c r="AB36" s="3143">
        <f t="shared" si="3"/>
        <v>76.400000000000006</v>
      </c>
      <c r="AC36" s="3101"/>
      <c r="AD36" s="3393"/>
      <c r="AE36" s="3143">
        <f>+'Exhibit F'!AF31+'Exhibit G State'!AG24</f>
        <v>92.5</v>
      </c>
      <c r="AF36" s="3354"/>
      <c r="AG36" s="3354"/>
      <c r="AH36" s="2000">
        <f t="shared" si="4"/>
        <v>-16.100000000000001</v>
      </c>
      <c r="AI36" s="2468"/>
      <c r="AJ36" s="1818">
        <f>ROUND(SUM(+AH36/ABS(AE36)),3)</f>
        <v>-0.17399999999999999</v>
      </c>
    </row>
    <row r="37" spans="1:36" ht="15">
      <c r="A37" s="2234" t="s">
        <v>1097</v>
      </c>
      <c r="B37" s="1440"/>
      <c r="C37" s="1439">
        <f>+'Exhibit F'!D32+'Exhibit G State'!D25</f>
        <v>26.7</v>
      </c>
      <c r="D37" s="1439"/>
      <c r="E37" s="1439">
        <f>+'Exhibit F'!F32+'Exhibit G State'!F25</f>
        <v>21.400000000000002</v>
      </c>
      <c r="F37" s="1439"/>
      <c r="G37" s="1439">
        <f>+'Exhibit F'!H32+'Exhibit G State'!H25</f>
        <v>22.8</v>
      </c>
      <c r="H37" s="1439"/>
      <c r="I37" s="1439">
        <f>+'Exhibit F'!J32+'Exhibit G State'!J25</f>
        <v>25.999999999999982</v>
      </c>
      <c r="J37" s="1439"/>
      <c r="K37" s="1439">
        <f>+'Exhibit F'!L32+'Exhibit G State'!L25</f>
        <v>23.100000000000012</v>
      </c>
      <c r="L37" s="1440"/>
      <c r="M37" s="1439">
        <f>+'Exhibit F'!N32+'Exhibit G State'!N25</f>
        <v>23.300000000000008</v>
      </c>
      <c r="N37" s="1440"/>
      <c r="O37" s="3143">
        <f>+'Exhibit F'!P32+'Exhibit G State'!P25</f>
        <v>23.700000000000006</v>
      </c>
      <c r="P37" s="1440"/>
      <c r="Q37" s="1439">
        <f>+'Exhibit F'!R32+'Exhibit G State'!R25</f>
        <v>22.900000000000002</v>
      </c>
      <c r="R37" s="1440"/>
      <c r="S37" s="1439">
        <f>+'Exhibit F'!T32+'Exhibit G State'!T25</f>
        <v>18.599999999999984</v>
      </c>
      <c r="T37" s="1440"/>
      <c r="U37" s="1439">
        <f>+'Exhibit F'!V32+'Exhibit G State'!V25</f>
        <v>29.900000000000016</v>
      </c>
      <c r="V37" s="1440"/>
      <c r="W37" s="1439"/>
      <c r="X37" s="1440"/>
      <c r="Y37" s="1439"/>
      <c r="Z37" s="1440"/>
      <c r="AA37" s="2766"/>
      <c r="AB37" s="3143">
        <f t="shared" si="3"/>
        <v>238.4</v>
      </c>
      <c r="AC37" s="3101"/>
      <c r="AD37" s="3393"/>
      <c r="AE37" s="3143">
        <f>+'Exhibit F'!AF32+'Exhibit G State'!AG25</f>
        <v>234.1</v>
      </c>
      <c r="AF37" s="3354"/>
      <c r="AG37" s="3354"/>
      <c r="AH37" s="2000">
        <f t="shared" si="4"/>
        <v>4.3</v>
      </c>
      <c r="AI37" s="2468"/>
      <c r="AJ37" s="1818">
        <f>ROUND(SUM(+AH37/ABS(AE37)),3)</f>
        <v>1.7999999999999999E-2</v>
      </c>
    </row>
    <row r="38" spans="1:36" ht="15">
      <c r="A38" s="2234" t="s">
        <v>1098</v>
      </c>
      <c r="B38" s="1440"/>
      <c r="C38" s="1439">
        <f>+'Exhibit F'!D33+'Exhibit G State'!D26</f>
        <v>0</v>
      </c>
      <c r="D38" s="1439"/>
      <c r="E38" s="1439">
        <f>+'Exhibit F'!F33+'Exhibit G State'!F26</f>
        <v>0.1</v>
      </c>
      <c r="F38" s="1439"/>
      <c r="G38" s="1439">
        <f>+'Exhibit F'!H33+'Exhibit G State'!H26</f>
        <v>0</v>
      </c>
      <c r="H38" s="1439"/>
      <c r="I38" s="1439">
        <f>+'Exhibit F'!J33+'Exhibit G State'!J26</f>
        <v>0</v>
      </c>
      <c r="J38" s="1439"/>
      <c r="K38" s="1439">
        <f>+'Exhibit F'!L33+'Exhibit G State'!L26</f>
        <v>0.1</v>
      </c>
      <c r="L38" s="1440"/>
      <c r="M38" s="1439">
        <f>+'Exhibit F'!N33+'Exhibit G State'!N26</f>
        <v>0</v>
      </c>
      <c r="N38" s="1440"/>
      <c r="O38" s="3143">
        <f>+'Exhibit F'!P33+'Exhibit G State'!P26</f>
        <v>0</v>
      </c>
      <c r="P38" s="1440"/>
      <c r="Q38" s="1439">
        <f>+'Exhibit F'!R33+'Exhibit G State'!R26</f>
        <v>9.9999999999999978E-2</v>
      </c>
      <c r="R38" s="1440"/>
      <c r="S38" s="1439">
        <f>+'Exhibit F'!T33+'Exhibit G State'!T26</f>
        <v>0.10000000000000006</v>
      </c>
      <c r="T38" s="1440"/>
      <c r="U38" s="1439">
        <f>+'Exhibit F'!V33+'Exhibit G State'!V26</f>
        <v>0</v>
      </c>
      <c r="V38" s="1440"/>
      <c r="W38" s="1439"/>
      <c r="X38" s="1440"/>
      <c r="Y38" s="1439"/>
      <c r="Z38" s="1440"/>
      <c r="AA38" s="2766"/>
      <c r="AB38" s="3143">
        <f t="shared" si="3"/>
        <v>0.4</v>
      </c>
      <c r="AC38" s="3101"/>
      <c r="AD38" s="3393"/>
      <c r="AE38" s="3143">
        <f>+'Exhibit F'!AF33+'Exhibit G State'!AG26</f>
        <v>0.4</v>
      </c>
      <c r="AF38" s="3354"/>
      <c r="AG38" s="3354"/>
      <c r="AH38" s="2000">
        <f t="shared" si="4"/>
        <v>0</v>
      </c>
      <c r="AI38" s="2468"/>
      <c r="AJ38" s="1729">
        <f>ROUND(IF(AE38=0,0,AH38/ABS(AE38)),3)</f>
        <v>0</v>
      </c>
    </row>
    <row r="39" spans="1:36" ht="15">
      <c r="A39" s="2234" t="s">
        <v>1437</v>
      </c>
      <c r="B39" s="1440"/>
      <c r="C39" s="1439">
        <f>'Exhibit F'!D34+'Exhibit G'!D27</f>
        <v>0</v>
      </c>
      <c r="D39" s="1439"/>
      <c r="E39" s="1439">
        <f>'Exhibit F'!F34+'Exhibit G'!F27</f>
        <v>0.1</v>
      </c>
      <c r="F39" s="1439"/>
      <c r="G39" s="1439">
        <f>'Exhibit F'!H34+'Exhibit G'!H27</f>
        <v>11.700000000000001</v>
      </c>
      <c r="H39" s="1439"/>
      <c r="I39" s="1439">
        <f>'Exhibit F'!J34+'Exhibit G'!J27</f>
        <v>-0.40000000000000036</v>
      </c>
      <c r="J39" s="1439"/>
      <c r="K39" s="1439">
        <f>'Exhibit F'!L34+'Exhibit G'!L27</f>
        <v>-9.9999999999999645E-2</v>
      </c>
      <c r="L39" s="1440"/>
      <c r="M39" s="1439">
        <f>'Exhibit F'!N34+'Exhibit G'!N27</f>
        <v>7.3999999999999968</v>
      </c>
      <c r="N39" s="1440"/>
      <c r="O39" s="3143">
        <f>'Exhibit F'!P34+'Exhibit G'!P27</f>
        <v>0</v>
      </c>
      <c r="P39" s="1440"/>
      <c r="Q39" s="1439">
        <f>'Exhibit F'!R34+'Exhibit G'!R27</f>
        <v>0</v>
      </c>
      <c r="R39" s="1440"/>
      <c r="S39" s="1439">
        <f>'Exhibit F'!T34+'Exhibit G'!T27</f>
        <v>6.8000000000000007</v>
      </c>
      <c r="T39" s="1440"/>
      <c r="U39" s="1439">
        <f>'Exhibit F'!V34+'Exhibit G'!V27</f>
        <v>0</v>
      </c>
      <c r="V39" s="1440"/>
      <c r="W39" s="1439"/>
      <c r="X39" s="1440"/>
      <c r="Y39" s="1439"/>
      <c r="Z39" s="1440"/>
      <c r="AA39" s="2766"/>
      <c r="AB39" s="3143">
        <f>ROUND(SUM(C39:Y39),1)</f>
        <v>25.5</v>
      </c>
      <c r="AC39" s="3101"/>
      <c r="AD39" s="3393"/>
      <c r="AE39" s="3143">
        <f>+'Exhibit F'!AF34</f>
        <v>0</v>
      </c>
      <c r="AF39" s="3354"/>
      <c r="AG39" s="3354"/>
      <c r="AH39" s="2000">
        <f>ROUND(SUM(+AB39-AE39),1)</f>
        <v>25.5</v>
      </c>
      <c r="AI39" s="2468"/>
      <c r="AJ39" s="1729">
        <f>ROUND(IF(AE39=0,1,AH39/ABS(AE39)),3)</f>
        <v>1</v>
      </c>
    </row>
    <row r="40" spans="1:36" ht="15">
      <c r="A40" s="2234" t="s">
        <v>1438</v>
      </c>
      <c r="B40" s="1440"/>
      <c r="C40" s="1439">
        <f>'Exhibit F'!D35</f>
        <v>7.2</v>
      </c>
      <c r="D40" s="1439"/>
      <c r="E40" s="1439">
        <f>'Exhibit F'!F35</f>
        <v>0</v>
      </c>
      <c r="F40" s="1439"/>
      <c r="G40" s="1439">
        <f>'Exhibit F'!H35</f>
        <v>0</v>
      </c>
      <c r="H40" s="1439"/>
      <c r="I40" s="1439">
        <f>'Exhibit F'!J35</f>
        <v>8.9000000000000021</v>
      </c>
      <c r="J40" s="1439"/>
      <c r="K40" s="1439">
        <f>'Exhibit F'!L35</f>
        <v>0</v>
      </c>
      <c r="L40" s="1440"/>
      <c r="M40" s="1439">
        <f>'Exhibit F'!N35</f>
        <v>0.29999999999999716</v>
      </c>
      <c r="N40" s="1440"/>
      <c r="O40" s="3143">
        <f>'Exhibit F'!P35</f>
        <v>6.1000000000000014</v>
      </c>
      <c r="P40" s="1440"/>
      <c r="Q40" s="1439">
        <f>'Exhibit F'!R35</f>
        <v>0.10000000000000142</v>
      </c>
      <c r="R40" s="1440"/>
      <c r="S40" s="1439">
        <f>'Exhibit F'!T35</f>
        <v>0.19999999999999574</v>
      </c>
      <c r="T40" s="1440"/>
      <c r="U40" s="1439">
        <f>'Exhibit F'!V35</f>
        <v>7.1000000000000014</v>
      </c>
      <c r="V40" s="1440"/>
      <c r="W40" s="1439"/>
      <c r="X40" s="1440"/>
      <c r="Y40" s="1439"/>
      <c r="Z40" s="1440"/>
      <c r="AA40" s="2766"/>
      <c r="AB40" s="3143">
        <f t="shared" ref="AB40" si="5">ROUND(SUM(C40:Y40),1)</f>
        <v>29.9</v>
      </c>
      <c r="AC40" s="3101"/>
      <c r="AD40" s="3393"/>
      <c r="AE40" s="3143">
        <f>+'Exhibit F'!AF35</f>
        <v>16.899999999999999</v>
      </c>
      <c r="AF40" s="3354"/>
      <c r="AG40" s="3354"/>
      <c r="AH40" s="2000">
        <f t="shared" ref="AH40" si="6">ROUND(SUM(+AB40-AE40),1)</f>
        <v>13</v>
      </c>
      <c r="AI40" s="2468"/>
      <c r="AJ40" s="1729">
        <f>ROUND(IF(AE40=0,1,AH40/ABS(AE40)),3)</f>
        <v>0.76900000000000002</v>
      </c>
    </row>
    <row r="41" spans="1:36" ht="15.75">
      <c r="A41" s="2473" t="s">
        <v>1092</v>
      </c>
      <c r="B41" s="1440"/>
      <c r="C41" s="2042">
        <f>ROUND(SUM(C32:C40),1)</f>
        <v>1009</v>
      </c>
      <c r="D41" s="1440"/>
      <c r="E41" s="2042">
        <f>ROUND(SUM(E32:E40),1)</f>
        <v>890.2</v>
      </c>
      <c r="F41" s="1440"/>
      <c r="G41" s="2042">
        <f>ROUND(SUM(G32:G40),1)</f>
        <v>1341.3</v>
      </c>
      <c r="H41" s="1440"/>
      <c r="I41" s="2042">
        <f>ROUND(SUM(I32:I40),1)</f>
        <v>1275.9000000000001</v>
      </c>
      <c r="J41" s="1440"/>
      <c r="K41" s="2042">
        <f>ROUND(SUM(K32:K40),1)</f>
        <v>1268.5</v>
      </c>
      <c r="L41" s="1440"/>
      <c r="M41" s="2042">
        <f>ROUND(SUM(M32:M40),1)</f>
        <v>1683.1</v>
      </c>
      <c r="N41" s="1440"/>
      <c r="O41" s="1460">
        <f>ROUND(SUM(O32:O40),1)</f>
        <v>1260.5</v>
      </c>
      <c r="P41" s="1440"/>
      <c r="Q41" s="2042">
        <f>ROUND(SUM(Q32:Q40),1)</f>
        <v>1285.2</v>
      </c>
      <c r="R41" s="1440"/>
      <c r="S41" s="2042">
        <f>ROUND(SUM(S32:S40),1)</f>
        <v>1626.7</v>
      </c>
      <c r="T41" s="1440"/>
      <c r="U41" s="2042">
        <f>ROUND(SUM(U32:U40),1)</f>
        <v>1414.3</v>
      </c>
      <c r="V41" s="1440"/>
      <c r="W41" s="2042">
        <f>ROUND(SUM(W32:W40),1)</f>
        <v>0</v>
      </c>
      <c r="X41" s="1440"/>
      <c r="Y41" s="2042">
        <f>ROUND(SUM(Y32:Y40),1)</f>
        <v>0</v>
      </c>
      <c r="Z41" s="1440"/>
      <c r="AA41" s="2766"/>
      <c r="AB41" s="1460">
        <f>ROUND(SUM(AB32:AB40),1)</f>
        <v>13054.7</v>
      </c>
      <c r="AC41" s="3101"/>
      <c r="AD41" s="3393"/>
      <c r="AE41" s="1460">
        <f>ROUND(SUM(AE32:AE40),1)</f>
        <v>14776.4</v>
      </c>
      <c r="AF41" s="3354"/>
      <c r="AG41" s="3354"/>
      <c r="AH41" s="1460">
        <f>ROUND(SUM(AH32:AH40),1)</f>
        <v>-1721.7</v>
      </c>
      <c r="AI41" s="3357"/>
      <c r="AJ41" s="2549">
        <f>ROUND(SUM(+AH41/ABS(AE41)),3)</f>
        <v>-0.11700000000000001</v>
      </c>
    </row>
    <row r="42" spans="1:36" ht="15">
      <c r="A42" s="2463" t="s">
        <v>1141</v>
      </c>
      <c r="B42" s="1440"/>
      <c r="C42" s="1440"/>
      <c r="D42" s="1440"/>
      <c r="E42" s="1440"/>
      <c r="F42" s="1440"/>
      <c r="G42" s="1440"/>
      <c r="H42" s="1440"/>
      <c r="I42" s="1440"/>
      <c r="J42" s="1440"/>
      <c r="K42" s="1440"/>
      <c r="L42" s="1440"/>
      <c r="M42" s="1440"/>
      <c r="N42" s="1440"/>
      <c r="O42" s="3101"/>
      <c r="P42" s="1440"/>
      <c r="Q42" s="1440"/>
      <c r="R42" s="1440"/>
      <c r="S42" s="1440"/>
      <c r="T42" s="1440"/>
      <c r="U42" s="1440"/>
      <c r="V42" s="1440"/>
      <c r="W42" s="1440"/>
      <c r="X42" s="1440"/>
      <c r="Y42" s="1440"/>
      <c r="Z42" s="1440"/>
      <c r="AA42" s="2766"/>
      <c r="AB42" s="3101"/>
      <c r="AC42" s="3101"/>
      <c r="AD42" s="3393"/>
      <c r="AE42" s="3143"/>
      <c r="AF42" s="3354"/>
      <c r="AG42" s="3354"/>
      <c r="AH42" s="3356"/>
      <c r="AI42" s="3101"/>
      <c r="AJ42" s="3356"/>
    </row>
    <row r="43" spans="1:36" ht="15">
      <c r="A43" s="2234" t="s">
        <v>1100</v>
      </c>
      <c r="B43" s="1440"/>
      <c r="C43" s="1439">
        <f>+'Exhibit F'!D38+'Exhibit G State'!D30</f>
        <v>254.4</v>
      </c>
      <c r="D43" s="1439"/>
      <c r="E43" s="1439">
        <f>+'Exhibit F'!F38+'Exhibit G State'!F30</f>
        <v>-134.69999999999999</v>
      </c>
      <c r="F43" s="1439"/>
      <c r="G43" s="1439">
        <f>+'Exhibit F'!H38+'Exhibit G State'!H30</f>
        <v>557.5</v>
      </c>
      <c r="H43" s="1439"/>
      <c r="I43" s="1439">
        <f>+'Exhibit F'!J38+'Exhibit G State'!J30</f>
        <v>563.20000000000005</v>
      </c>
      <c r="J43" s="1439"/>
      <c r="K43" s="1439">
        <f>+'Exhibit F'!L38+'Exhibit G State'!L30</f>
        <v>29.700000000000045</v>
      </c>
      <c r="L43" s="1439"/>
      <c r="M43" s="1439">
        <f>+'Exhibit F'!N38+'Exhibit G State'!N30</f>
        <v>1000.6999999999997</v>
      </c>
      <c r="N43" s="1440"/>
      <c r="O43" s="3143">
        <f>+'Exhibit F'!P38+'Exhibit G State'!P30</f>
        <v>115.00000000000023</v>
      </c>
      <c r="P43" s="1440"/>
      <c r="Q43" s="1439">
        <f>+'Exhibit F'!R38+'Exhibit G State'!R30</f>
        <v>90.099999999999909</v>
      </c>
      <c r="R43" s="1440"/>
      <c r="S43" s="1439">
        <f>+'Exhibit F'!T38+'Exhibit G State'!T30</f>
        <v>1079.0999999999999</v>
      </c>
      <c r="T43" s="1440"/>
      <c r="U43" s="1439">
        <f>+'Exhibit F'!V38+'Exhibit G State'!V30</f>
        <v>45.999999999999915</v>
      </c>
      <c r="V43" s="1440"/>
      <c r="W43" s="1439"/>
      <c r="X43" s="1440"/>
      <c r="Y43" s="1439"/>
      <c r="Z43" s="1440"/>
      <c r="AA43" s="2766"/>
      <c r="AB43" s="3143">
        <f>ROUND(SUM(C43:Y43),1)</f>
        <v>3601</v>
      </c>
      <c r="AC43" s="3101"/>
      <c r="AD43" s="3393"/>
      <c r="AE43" s="3143">
        <f>+'Exhibit F'!AF38+'Exhibit G State'!AG30</f>
        <v>3688.5999999999995</v>
      </c>
      <c r="AF43" s="3354"/>
      <c r="AG43" s="3354"/>
      <c r="AH43" s="2000">
        <f t="shared" ref="AH43:AH54" si="7">ROUND(SUM(+AB43-AE43),1)</f>
        <v>-87.6</v>
      </c>
      <c r="AI43" s="2468"/>
      <c r="AJ43" s="1818">
        <f t="shared" ref="AJ43:AJ48" si="8">ROUND(SUM(+AH43/ABS(AE43)),3)</f>
        <v>-2.4E-2</v>
      </c>
    </row>
    <row r="44" spans="1:36" ht="15">
      <c r="A44" s="2234" t="s">
        <v>1101</v>
      </c>
      <c r="B44" s="1440"/>
      <c r="C44" s="1439">
        <f>+'Exhibit G State'!D31+'Exhibit F'!D39</f>
        <v>15.5</v>
      </c>
      <c r="D44" s="1439"/>
      <c r="E44" s="1439">
        <f>+'Exhibit G State'!F31+'Exhibit F'!F39</f>
        <v>-9.5000000000000018</v>
      </c>
      <c r="F44" s="1439"/>
      <c r="G44" s="1439">
        <f>+'Exhibit G State'!H31+'Exhibit F'!H39</f>
        <v>94.300000000000011</v>
      </c>
      <c r="H44" s="1439"/>
      <c r="I44" s="1439">
        <f>+'Exhibit G State'!J31+'Exhibit F'!J39</f>
        <v>29.699999999999989</v>
      </c>
      <c r="J44" s="1439"/>
      <c r="K44" s="1439">
        <f>+'Exhibit G State'!L31+'Exhibit F'!L39</f>
        <v>2.2000000000000015</v>
      </c>
      <c r="L44" s="1439"/>
      <c r="M44" s="1439">
        <f>+'Exhibit G State'!N31+'Exhibit F'!N39</f>
        <v>104.09999999999998</v>
      </c>
      <c r="N44" s="1440"/>
      <c r="O44" s="3143">
        <f>+'Exhibit G State'!P31+'Exhibit F'!P39</f>
        <v>9.5000000000000071</v>
      </c>
      <c r="P44" s="1440"/>
      <c r="Q44" s="1439">
        <f>+'Exhibit G State'!R31+'Exhibit F'!R39</f>
        <v>0.50000000000001421</v>
      </c>
      <c r="R44" s="1440"/>
      <c r="S44" s="1439">
        <f>+'Exhibit G State'!T31+'Exhibit F'!T39</f>
        <v>99.700000000000017</v>
      </c>
      <c r="T44" s="1440"/>
      <c r="U44" s="1439">
        <f>+'Exhibit G State'!V31+'Exhibit F'!V39</f>
        <v>9.7999999999999687</v>
      </c>
      <c r="V44" s="1440"/>
      <c r="W44" s="1439"/>
      <c r="X44" s="1440"/>
      <c r="Y44" s="1439"/>
      <c r="Z44" s="1440"/>
      <c r="AA44" s="2766"/>
      <c r="AB44" s="3143">
        <f>ROUND(SUM(C44:Y44),1)</f>
        <v>355.8</v>
      </c>
      <c r="AC44" s="3101"/>
      <c r="AD44" s="3393"/>
      <c r="AE44" s="3143">
        <f>+'Exhibit G State'!AG31+'Exhibit F'!AF39</f>
        <v>402.70000000000005</v>
      </c>
      <c r="AF44" s="3354"/>
      <c r="AG44" s="3354"/>
      <c r="AH44" s="2000">
        <f t="shared" si="7"/>
        <v>-46.9</v>
      </c>
      <c r="AI44" s="2468"/>
      <c r="AJ44" s="1818">
        <f t="shared" si="8"/>
        <v>-0.11600000000000001</v>
      </c>
    </row>
    <row r="45" spans="1:36" ht="15">
      <c r="A45" s="2234" t="s">
        <v>1102</v>
      </c>
      <c r="B45" s="1440"/>
      <c r="C45" s="1439">
        <f>+'Exhibit F'!D40+'Exhibit G State'!D32</f>
        <v>70.2</v>
      </c>
      <c r="D45" s="1439"/>
      <c r="E45" s="1439">
        <f>+'Exhibit F'!F40+'Exhibit G State'!F32</f>
        <v>6.5000000000000009</v>
      </c>
      <c r="F45" s="1439"/>
      <c r="G45" s="1439">
        <f>+'Exhibit F'!H40+'Exhibit G State'!H32</f>
        <v>364</v>
      </c>
      <c r="H45" s="1439"/>
      <c r="I45" s="1439">
        <f>+'Exhibit F'!J40+'Exhibit G State'!J32</f>
        <v>33.299999999999983</v>
      </c>
      <c r="J45" s="1439"/>
      <c r="K45" s="1439">
        <f>+'Exhibit F'!L40+'Exhibit G State'!L32</f>
        <v>16.000000000000021</v>
      </c>
      <c r="L45" s="1439"/>
      <c r="M45" s="1439">
        <f>+'Exhibit F'!N40+'Exhibit G State'!N32</f>
        <v>391.7000000000001</v>
      </c>
      <c r="N45" s="1440"/>
      <c r="O45" s="3143">
        <f>+'Exhibit F'!P40+'Exhibit G State'!P32</f>
        <v>23.09999999999998</v>
      </c>
      <c r="P45" s="1440"/>
      <c r="Q45" s="1439">
        <f>+'Exhibit F'!R40+'Exhibit G State'!R32</f>
        <v>9.1999999999999744</v>
      </c>
      <c r="R45" s="1440"/>
      <c r="S45" s="1439">
        <f>+'Exhibit F'!T40+'Exhibit G State'!T32</f>
        <v>421.59999999999991</v>
      </c>
      <c r="T45" s="1440"/>
      <c r="U45" s="1439">
        <f>+'Exhibit F'!V40+'Exhibit G State'!V32</f>
        <v>-4.9000000000000909</v>
      </c>
      <c r="V45" s="1440"/>
      <c r="W45" s="1439"/>
      <c r="X45" s="1440"/>
      <c r="Y45" s="1439"/>
      <c r="Z45" s="1440"/>
      <c r="AA45" s="2766"/>
      <c r="AB45" s="3143">
        <f>ROUND(SUM(C45:Y45),1)</f>
        <v>1330.7</v>
      </c>
      <c r="AC45" s="3101"/>
      <c r="AD45" s="3393"/>
      <c r="AE45" s="3143">
        <f>+'Exhibit F'!AF40+'Exhibit G State'!AG32</f>
        <v>1528</v>
      </c>
      <c r="AF45" s="3354"/>
      <c r="AG45" s="3354"/>
      <c r="AH45" s="2000">
        <f t="shared" si="7"/>
        <v>-197.3</v>
      </c>
      <c r="AI45" s="2468"/>
      <c r="AJ45" s="1818">
        <f t="shared" si="8"/>
        <v>-0.129</v>
      </c>
    </row>
    <row r="46" spans="1:36" ht="15">
      <c r="A46" s="2234" t="s">
        <v>1103</v>
      </c>
      <c r="B46" s="1440"/>
      <c r="C46" s="1439">
        <f>+'Exhibit F'!D41+'Exhibit G State'!D33</f>
        <v>7.3999999999999995</v>
      </c>
      <c r="D46" s="1439"/>
      <c r="E46" s="1439">
        <f>+'Exhibit F'!F41+'Exhibit G State'!F33</f>
        <v>2.5999999999999996</v>
      </c>
      <c r="F46" s="1439"/>
      <c r="G46" s="1439">
        <f>+'Exhibit F'!H41+'Exhibit G State'!H33</f>
        <v>91.800000000000011</v>
      </c>
      <c r="H46" s="1439"/>
      <c r="I46" s="1439">
        <f>+'Exhibit F'!J41+'Exhibit G State'!J33</f>
        <v>0.70000000000000284</v>
      </c>
      <c r="J46" s="1439"/>
      <c r="K46" s="1439">
        <f>+'Exhibit F'!L41+'Exhibit G State'!L33</f>
        <v>46.499999999999986</v>
      </c>
      <c r="L46" s="1439"/>
      <c r="M46" s="1439">
        <f>+'Exhibit F'!N41+'Exhibit G State'!N33</f>
        <v>15.30000000000001</v>
      </c>
      <c r="N46" s="1440"/>
      <c r="O46" s="3143">
        <f>+'Exhibit F'!P41+'Exhibit G State'!P33</f>
        <v>0.40000000000000391</v>
      </c>
      <c r="P46" s="1440"/>
      <c r="Q46" s="1439">
        <f>+'Exhibit F'!R41+'Exhibit G State'!R33</f>
        <v>-0.69999999999999929</v>
      </c>
      <c r="R46" s="1440"/>
      <c r="S46" s="1439">
        <f>+'Exhibit F'!T41+'Exhibit G State'!T33</f>
        <v>1.5999999999999943</v>
      </c>
      <c r="T46" s="1440"/>
      <c r="U46" s="1439">
        <f>+'Exhibit F'!V41+'Exhibit G State'!V33</f>
        <v>-10.10000000000001</v>
      </c>
      <c r="V46" s="1440"/>
      <c r="W46" s="1439"/>
      <c r="X46" s="1440"/>
      <c r="Y46" s="1439"/>
      <c r="Z46" s="1440"/>
      <c r="AA46" s="2766"/>
      <c r="AB46" s="3143">
        <f>ROUND(SUM(C46:Y46),1)</f>
        <v>155.5</v>
      </c>
      <c r="AC46" s="3101"/>
      <c r="AD46" s="3393"/>
      <c r="AE46" s="3143">
        <f>+'Exhibit F'!AF41+'Exhibit G State'!AG33</f>
        <v>-30.299999999999997</v>
      </c>
      <c r="AF46" s="3354"/>
      <c r="AG46" s="3354"/>
      <c r="AH46" s="2000">
        <f t="shared" si="7"/>
        <v>185.8</v>
      </c>
      <c r="AI46" s="2468"/>
      <c r="AJ46" s="1829">
        <f t="shared" si="8"/>
        <v>6.1319999999999997</v>
      </c>
    </row>
    <row r="47" spans="1:36" ht="15">
      <c r="A47" s="2234" t="s">
        <v>1104</v>
      </c>
      <c r="B47" s="1440"/>
      <c r="C47" s="1439">
        <f>+'Exhibit F'!D42+'Exhibit G State'!D34</f>
        <v>30.3</v>
      </c>
      <c r="D47" s="1439"/>
      <c r="E47" s="1439">
        <f>+'Exhibit F'!F42+'Exhibit G State'!F34</f>
        <v>17.599999999999998</v>
      </c>
      <c r="F47" s="1439"/>
      <c r="G47" s="1439">
        <f>+'Exhibit F'!H42+'Exhibit G State'!H34</f>
        <v>37.700000000000003</v>
      </c>
      <c r="H47" s="1439"/>
      <c r="I47" s="1439">
        <f>+'Exhibit F'!J42+'Exhibit G State'!J34</f>
        <v>38.800000000000011</v>
      </c>
      <c r="J47" s="1439"/>
      <c r="K47" s="1439">
        <f>+'Exhibit F'!L42+'Exhibit G State'!L34</f>
        <v>38.699999999999974</v>
      </c>
      <c r="L47" s="1439"/>
      <c r="M47" s="1439">
        <f>+'Exhibit F'!N42+'Exhibit G State'!N34</f>
        <v>43.200000000000017</v>
      </c>
      <c r="N47" s="1440"/>
      <c r="O47" s="3143">
        <f>+'Exhibit F'!P42+'Exhibit G State'!P34</f>
        <v>39.600000000000009</v>
      </c>
      <c r="P47" s="1440"/>
      <c r="Q47" s="1439">
        <f>+'Exhibit F'!R42+'Exhibit G State'!R34</f>
        <v>36.499999999999943</v>
      </c>
      <c r="R47" s="1440"/>
      <c r="S47" s="1439">
        <f>+'Exhibit F'!T42+'Exhibit G State'!T34</f>
        <v>36.40000000000002</v>
      </c>
      <c r="T47" s="1440"/>
      <c r="U47" s="1439">
        <f>+'Exhibit F'!V42+'Exhibit G State'!V34</f>
        <v>33.699999999999989</v>
      </c>
      <c r="V47" s="1440"/>
      <c r="W47" s="1439"/>
      <c r="X47" s="1440"/>
      <c r="Y47" s="1439"/>
      <c r="Z47" s="1440"/>
      <c r="AA47" s="2766"/>
      <c r="AB47" s="3143">
        <f>ROUND(SUM(C47:Y47),1)</f>
        <v>352.5</v>
      </c>
      <c r="AC47" s="3101"/>
      <c r="AD47" s="3393"/>
      <c r="AE47" s="3143">
        <f>+'Exhibit F'!AF42+'Exhibit G State'!AG34</f>
        <v>436.5</v>
      </c>
      <c r="AF47" s="3354"/>
      <c r="AG47" s="3354"/>
      <c r="AH47" s="2000">
        <f t="shared" si="7"/>
        <v>-84</v>
      </c>
      <c r="AI47" s="2468"/>
      <c r="AJ47" s="1818">
        <f t="shared" si="8"/>
        <v>-0.192</v>
      </c>
    </row>
    <row r="48" spans="1:36" ht="15.75">
      <c r="A48" s="2473" t="s">
        <v>1099</v>
      </c>
      <c r="B48" s="1440"/>
      <c r="C48" s="2042">
        <f>ROUND(SUM(C43:C47),1)</f>
        <v>377.8</v>
      </c>
      <c r="D48" s="1440"/>
      <c r="E48" s="2042">
        <f>ROUND(SUM(E43:E47),1)</f>
        <v>-117.5</v>
      </c>
      <c r="F48" s="1440"/>
      <c r="G48" s="2042">
        <f>ROUND(SUM(G43:G47),1)</f>
        <v>1145.3</v>
      </c>
      <c r="H48" s="1440"/>
      <c r="I48" s="2042">
        <f>ROUND(SUM(I43:I47),1)</f>
        <v>665.7</v>
      </c>
      <c r="J48" s="1440"/>
      <c r="K48" s="2042">
        <f>ROUND(SUM(K43:K47),1)</f>
        <v>133.1</v>
      </c>
      <c r="L48" s="1440"/>
      <c r="M48" s="2042">
        <f>ROUND(SUM(M43:M47),1)</f>
        <v>1555</v>
      </c>
      <c r="N48" s="1440"/>
      <c r="O48" s="1460">
        <f>ROUND(SUM(O43:O47),1)</f>
        <v>187.6</v>
      </c>
      <c r="P48" s="1440"/>
      <c r="Q48" s="2042">
        <f>ROUND(SUM(Q43:Q47),1)</f>
        <v>135.6</v>
      </c>
      <c r="R48" s="1440"/>
      <c r="S48" s="2042">
        <f>ROUND(SUM(S43:S47),1)</f>
        <v>1638.4</v>
      </c>
      <c r="T48" s="1440"/>
      <c r="U48" s="2042">
        <f>ROUND(SUM(U43:U47),1)</f>
        <v>74.5</v>
      </c>
      <c r="V48" s="1440"/>
      <c r="W48" s="2042">
        <f>ROUND(SUM(W43:W47),1)</f>
        <v>0</v>
      </c>
      <c r="X48" s="1440"/>
      <c r="Y48" s="2042">
        <f>ROUND(SUM(Y43:Y47),1)</f>
        <v>0</v>
      </c>
      <c r="Z48" s="1440"/>
      <c r="AA48" s="2766"/>
      <c r="AB48" s="1460">
        <f>ROUND(SUM(AB43:AB47),1)</f>
        <v>5795.5</v>
      </c>
      <c r="AC48" s="3101"/>
      <c r="AD48" s="3393"/>
      <c r="AE48" s="1460">
        <f>ROUND(SUM(AE43:AE47),1)</f>
        <v>6025.5</v>
      </c>
      <c r="AF48" s="3354"/>
      <c r="AG48" s="3354"/>
      <c r="AH48" s="1460">
        <f>ROUND(SUM(AH43:AH47),1)</f>
        <v>-230</v>
      </c>
      <c r="AI48" s="3357"/>
      <c r="AJ48" s="2549">
        <f t="shared" si="8"/>
        <v>-3.7999999999999999E-2</v>
      </c>
    </row>
    <row r="49" spans="1:36" ht="15">
      <c r="A49" s="2463" t="s">
        <v>1142</v>
      </c>
      <c r="B49" s="1440"/>
      <c r="C49" s="1440"/>
      <c r="D49" s="1440"/>
      <c r="E49" s="1440"/>
      <c r="F49" s="1440"/>
      <c r="G49" s="1440"/>
      <c r="H49" s="1440"/>
      <c r="I49" s="1440"/>
      <c r="J49" s="1440"/>
      <c r="K49" s="1440"/>
      <c r="L49" s="1440"/>
      <c r="M49" s="1440"/>
      <c r="N49" s="1440"/>
      <c r="O49" s="3101"/>
      <c r="P49" s="1440"/>
      <c r="Q49" s="1440"/>
      <c r="R49" s="1440"/>
      <c r="S49" s="1440"/>
      <c r="T49" s="1440"/>
      <c r="U49" s="1440"/>
      <c r="V49" s="1440"/>
      <c r="W49" s="1440"/>
      <c r="X49" s="1440"/>
      <c r="Y49" s="1440"/>
      <c r="Z49" s="1440"/>
      <c r="AA49" s="2766"/>
      <c r="AB49" s="3101"/>
      <c r="AC49" s="3101"/>
      <c r="AD49" s="3393"/>
      <c r="AE49" s="3143"/>
      <c r="AF49" s="3354"/>
      <c r="AG49" s="3354"/>
      <c r="AH49" s="3356"/>
      <c r="AI49" s="3101"/>
      <c r="AJ49" s="3356"/>
    </row>
    <row r="50" spans="1:36" ht="15">
      <c r="A50" s="2234" t="s">
        <v>1107</v>
      </c>
      <c r="B50" s="1440"/>
      <c r="C50" s="1439">
        <f>+'Exhibit F'!D45</f>
        <v>0</v>
      </c>
      <c r="D50" s="1439"/>
      <c r="E50" s="1439">
        <f>+'Exhibit F'!F45</f>
        <v>0</v>
      </c>
      <c r="F50" s="1439"/>
      <c r="G50" s="1439">
        <f>+'Exhibit F'!H45</f>
        <v>0</v>
      </c>
      <c r="H50" s="1439"/>
      <c r="I50" s="1439">
        <f>+'Exhibit F'!J45</f>
        <v>0</v>
      </c>
      <c r="J50" s="1439"/>
      <c r="K50" s="1439">
        <f>+'Exhibit F'!L45</f>
        <v>0</v>
      </c>
      <c r="L50" s="1440"/>
      <c r="M50" s="1439">
        <f>+'Exhibit F'!N45</f>
        <v>0</v>
      </c>
      <c r="N50" s="1440"/>
      <c r="O50" s="3143">
        <f>+'Exhibit F'!P45</f>
        <v>0</v>
      </c>
      <c r="P50" s="1440"/>
      <c r="Q50" s="1439">
        <f>+'Exhibit F'!R45</f>
        <v>0</v>
      </c>
      <c r="R50" s="1440"/>
      <c r="S50" s="1439">
        <f>+'Exhibit F'!T45</f>
        <v>0</v>
      </c>
      <c r="T50" s="1440"/>
      <c r="U50" s="1439">
        <f>+'Exhibit F'!V45</f>
        <v>0</v>
      </c>
      <c r="V50" s="1440"/>
      <c r="W50" s="1439"/>
      <c r="X50" s="1440"/>
      <c r="Y50" s="1439"/>
      <c r="Z50" s="1440"/>
      <c r="AA50" s="2766"/>
      <c r="AB50" s="3143">
        <f t="shared" ref="AB50:AB54" si="9">ROUND(SUM(C50:Y50),1)</f>
        <v>0</v>
      </c>
      <c r="AC50" s="3101"/>
      <c r="AD50" s="3393"/>
      <c r="AE50" s="3143">
        <f>+'Exhibit F'!AF45</f>
        <v>0</v>
      </c>
      <c r="AF50" s="3354"/>
      <c r="AG50" s="3354"/>
      <c r="AH50" s="2000">
        <f t="shared" si="7"/>
        <v>0</v>
      </c>
      <c r="AI50" s="3101"/>
      <c r="AJ50" s="1724">
        <f>ROUND(IF(AE50=0,0,AH50/ABS(AE50)),3)</f>
        <v>0</v>
      </c>
    </row>
    <row r="51" spans="1:36" ht="15">
      <c r="A51" s="2234" t="s">
        <v>1108</v>
      </c>
      <c r="B51" s="1440"/>
      <c r="C51" s="1439">
        <f>+'Exhibit F'!D46</f>
        <v>72.7</v>
      </c>
      <c r="D51" s="1439"/>
      <c r="E51" s="1439">
        <f>+'Exhibit F'!F46</f>
        <v>52</v>
      </c>
      <c r="F51" s="1439"/>
      <c r="G51" s="1439">
        <f>+'Exhibit F'!H46</f>
        <v>147.30000000000001</v>
      </c>
      <c r="H51" s="1439"/>
      <c r="I51" s="1439">
        <f>+'Exhibit F'!J46</f>
        <v>147.69999999999999</v>
      </c>
      <c r="J51" s="1439"/>
      <c r="K51" s="1439">
        <f>+'Exhibit F'!L46</f>
        <v>55.800000000000011</v>
      </c>
      <c r="L51" s="1440"/>
      <c r="M51" s="1439">
        <f>+'Exhibit F'!N46</f>
        <v>91.299999999999955</v>
      </c>
      <c r="N51" s="1440"/>
      <c r="O51" s="3143">
        <f>+'Exhibit F'!P46</f>
        <v>135.09999999999997</v>
      </c>
      <c r="P51" s="1440"/>
      <c r="Q51" s="1439">
        <f>+'Exhibit F'!R46</f>
        <v>131.49999999999994</v>
      </c>
      <c r="R51" s="1440"/>
      <c r="S51" s="1439">
        <f>+'Exhibit F'!T46</f>
        <v>123.10000000000008</v>
      </c>
      <c r="T51" s="1440"/>
      <c r="U51" s="1439">
        <f>+'Exhibit F'!V46</f>
        <v>293.50000000000011</v>
      </c>
      <c r="V51" s="1440"/>
      <c r="W51" s="1439"/>
      <c r="X51" s="1440"/>
      <c r="Y51" s="1439"/>
      <c r="Z51" s="1440"/>
      <c r="AA51" s="2766"/>
      <c r="AB51" s="3143">
        <f t="shared" si="9"/>
        <v>1250</v>
      </c>
      <c r="AC51" s="3101"/>
      <c r="AD51" s="3393"/>
      <c r="AE51" s="3143">
        <f>+'Exhibit F'!AF46</f>
        <v>907</v>
      </c>
      <c r="AF51" s="3354"/>
      <c r="AG51" s="3354"/>
      <c r="AH51" s="2000">
        <f t="shared" si="7"/>
        <v>343</v>
      </c>
      <c r="AI51" s="3101"/>
      <c r="AJ51" s="1818">
        <f t="shared" ref="AJ51:AJ56" si="10">ROUND(SUM(+AH51/ABS(AE51)),3)</f>
        <v>0.378</v>
      </c>
    </row>
    <row r="52" spans="1:36" ht="15">
      <c r="A52" s="2234" t="s">
        <v>1109</v>
      </c>
      <c r="B52" s="1440"/>
      <c r="C52" s="1439">
        <f>+'Exhibit F'!D47</f>
        <v>0.7</v>
      </c>
      <c r="D52" s="1439"/>
      <c r="E52" s="1439">
        <f>+'Exhibit F'!F47</f>
        <v>0.20000000000000007</v>
      </c>
      <c r="F52" s="1439"/>
      <c r="G52" s="1439">
        <f>+'Exhibit F'!H47</f>
        <v>0.79999999999999993</v>
      </c>
      <c r="H52" s="1439"/>
      <c r="I52" s="1439">
        <f>+'Exhibit F'!J47</f>
        <v>0.99999999999999989</v>
      </c>
      <c r="J52" s="1439"/>
      <c r="K52" s="1439">
        <f>+'Exhibit F'!L47</f>
        <v>1.3999999999999995</v>
      </c>
      <c r="L52" s="1440"/>
      <c r="M52" s="1439">
        <f>+'Exhibit F'!N47</f>
        <v>0.70000000000000018</v>
      </c>
      <c r="N52" s="1440"/>
      <c r="O52" s="3143">
        <f>+'Exhibit F'!P47</f>
        <v>1.6000000000000005</v>
      </c>
      <c r="P52" s="1440"/>
      <c r="Q52" s="1439">
        <f>+'Exhibit F'!R47</f>
        <v>0.79999999999999982</v>
      </c>
      <c r="R52" s="1440"/>
      <c r="S52" s="1439">
        <f>+'Exhibit F'!T47</f>
        <v>0.89999999999999947</v>
      </c>
      <c r="T52" s="1440"/>
      <c r="U52" s="1439">
        <f>+'Exhibit F'!V47</f>
        <v>0.59999999999999964</v>
      </c>
      <c r="V52" s="1440"/>
      <c r="W52" s="1439"/>
      <c r="X52" s="1440"/>
      <c r="Y52" s="1439"/>
      <c r="Z52" s="1440"/>
      <c r="AA52" s="2766"/>
      <c r="AB52" s="3143">
        <f t="shared" si="9"/>
        <v>8.6999999999999993</v>
      </c>
      <c r="AC52" s="3101"/>
      <c r="AD52" s="3393"/>
      <c r="AE52" s="3143">
        <f>+'Exhibit F'!AF47</f>
        <v>12.9</v>
      </c>
      <c r="AF52" s="3354"/>
      <c r="AG52" s="3354"/>
      <c r="AH52" s="2000">
        <f t="shared" si="7"/>
        <v>-4.2</v>
      </c>
      <c r="AI52" s="3101"/>
      <c r="AJ52" s="1818">
        <f t="shared" si="10"/>
        <v>-0.32600000000000001</v>
      </c>
    </row>
    <row r="53" spans="1:36" ht="15">
      <c r="A53" s="2234" t="s">
        <v>1110</v>
      </c>
      <c r="B53" s="1440"/>
      <c r="C53" s="1439">
        <f>+'Exhibit F'!D48+'Exhibit H'!B22</f>
        <v>57.2</v>
      </c>
      <c r="D53" s="1439"/>
      <c r="E53" s="1439">
        <f>+'Exhibit F'!F48+'Exhibit H'!D22</f>
        <v>48.399999999999991</v>
      </c>
      <c r="F53" s="1439"/>
      <c r="G53" s="1439">
        <f>+'Exhibit F'!H48+'Exhibit H'!F22</f>
        <v>37.900000000000006</v>
      </c>
      <c r="H53" s="1439"/>
      <c r="I53" s="3143">
        <f>+'Exhibit F'!J48+'Exhibit H'!H22</f>
        <v>53.000000000000014</v>
      </c>
      <c r="J53" s="1439"/>
      <c r="K53" s="1439">
        <f>+'Exhibit F'!L48+'Exhibit H'!J22</f>
        <v>56.399999999999991</v>
      </c>
      <c r="L53" s="1440"/>
      <c r="M53" s="1439">
        <f>+'Exhibit F'!N48+'Exhibit H'!L22</f>
        <v>70.300000000000011</v>
      </c>
      <c r="N53" s="1440"/>
      <c r="O53" s="3143">
        <f>+'Exhibit F'!P48+'Exhibit H'!N22</f>
        <v>65.800000000000011</v>
      </c>
      <c r="P53" s="1440"/>
      <c r="Q53" s="1439">
        <f>+'Exhibit F'!R48+'Exhibit H'!P22</f>
        <v>78.899999999999977</v>
      </c>
      <c r="R53" s="1440"/>
      <c r="S53" s="1439">
        <f>+'Exhibit F'!T48+'Exhibit H'!R22</f>
        <v>95.200000000000045</v>
      </c>
      <c r="T53" s="1440"/>
      <c r="U53" s="1439">
        <f>+'Exhibit F'!V48+'Exhibit H'!T22</f>
        <v>110.89999999999998</v>
      </c>
      <c r="V53" s="1440"/>
      <c r="W53" s="1439"/>
      <c r="X53" s="1440"/>
      <c r="Y53" s="1439"/>
      <c r="Z53" s="1440"/>
      <c r="AA53" s="2766"/>
      <c r="AB53" s="3143">
        <f t="shared" si="9"/>
        <v>674</v>
      </c>
      <c r="AC53" s="3101"/>
      <c r="AD53" s="3393"/>
      <c r="AE53" s="3143">
        <f>+'Exhibit F'!AF48+'Exhibit I State'!AG28+'Exhibit H'!AD22</f>
        <v>856.7</v>
      </c>
      <c r="AF53" s="3354"/>
      <c r="AG53" s="3354"/>
      <c r="AH53" s="2000">
        <f t="shared" si="7"/>
        <v>-182.7</v>
      </c>
      <c r="AI53" s="3101"/>
      <c r="AJ53" s="1818">
        <f t="shared" si="10"/>
        <v>-0.21299999999999999</v>
      </c>
    </row>
    <row r="54" spans="1:36" ht="15">
      <c r="A54" s="2234" t="s">
        <v>1111</v>
      </c>
      <c r="B54" s="1440"/>
      <c r="C54" s="1439">
        <f>+'Exhibit F'!D49</f>
        <v>0.1</v>
      </c>
      <c r="D54" s="1439"/>
      <c r="E54" s="1439">
        <f>+'Exhibit F'!F49</f>
        <v>0</v>
      </c>
      <c r="F54" s="1439"/>
      <c r="G54" s="1439">
        <f>+'Exhibit F'!H49</f>
        <v>0</v>
      </c>
      <c r="H54" s="1439"/>
      <c r="I54" s="1439">
        <f>+'Exhibit F'!J49</f>
        <v>0</v>
      </c>
      <c r="J54" s="1439"/>
      <c r="K54" s="1439">
        <f>+'Exhibit F'!L49</f>
        <v>0</v>
      </c>
      <c r="L54" s="1440"/>
      <c r="M54" s="1439">
        <f>+'Exhibit F'!N49</f>
        <v>0</v>
      </c>
      <c r="N54" s="1440"/>
      <c r="O54" s="3143">
        <f>+'Exhibit F'!P49</f>
        <v>0</v>
      </c>
      <c r="P54" s="1440"/>
      <c r="Q54" s="1439">
        <f>+'Exhibit F'!R49</f>
        <v>0</v>
      </c>
      <c r="R54" s="1440"/>
      <c r="S54" s="1439">
        <f>+'Exhibit F'!T49</f>
        <v>0</v>
      </c>
      <c r="T54" s="1440"/>
      <c r="U54" s="1439">
        <f>+'Exhibit F'!V49</f>
        <v>0</v>
      </c>
      <c r="V54" s="1440"/>
      <c r="W54" s="1439"/>
      <c r="X54" s="1440"/>
      <c r="Y54" s="1439"/>
      <c r="Z54" s="1440"/>
      <c r="AA54" s="2766"/>
      <c r="AB54" s="3143">
        <f t="shared" si="9"/>
        <v>0.1</v>
      </c>
      <c r="AC54" s="3101"/>
      <c r="AD54" s="3393"/>
      <c r="AE54" s="3143">
        <f>+'Exhibit F'!AF49</f>
        <v>1.9</v>
      </c>
      <c r="AF54" s="3354"/>
      <c r="AG54" s="3354"/>
      <c r="AH54" s="2000">
        <f t="shared" si="7"/>
        <v>-1.8</v>
      </c>
      <c r="AI54" s="3101"/>
      <c r="AJ54" s="1818">
        <f>ROUND(IF(AE54=0,0,AH54/ABS(AE54)),3)</f>
        <v>-0.94699999999999995</v>
      </c>
    </row>
    <row r="55" spans="1:36" ht="15">
      <c r="A55" s="2768" t="s">
        <v>1370</v>
      </c>
      <c r="B55" s="1440"/>
      <c r="C55" s="1439">
        <f>+'Exhibit F'!D50+'Exhibit H'!B23</f>
        <v>0.2</v>
      </c>
      <c r="D55" s="1439"/>
      <c r="E55" s="1439">
        <f>+'Exhibit F'!F50+'Exhibit H'!D23</f>
        <v>-0.2</v>
      </c>
      <c r="F55" s="1439"/>
      <c r="G55" s="1439">
        <f>+'Exhibit F'!H50+'Exhibit H'!F23</f>
        <v>0.2</v>
      </c>
      <c r="H55" s="1439"/>
      <c r="I55" s="1439">
        <f>+'Exhibit F'!J50+'Exhibit H'!H23</f>
        <v>0.2</v>
      </c>
      <c r="J55" s="1439"/>
      <c r="K55" s="1439">
        <f>+'Exhibit F'!L50+'Exhibit H'!J23</f>
        <v>0.19999999999999996</v>
      </c>
      <c r="L55" s="1439"/>
      <c r="M55" s="1439">
        <f>+'Exhibit F'!N50+'Exhibit H'!L23</f>
        <v>0.20000000000000012</v>
      </c>
      <c r="N55" s="1439"/>
      <c r="O55" s="3143">
        <f>+'Exhibit F'!P50+'Exhibit H'!N23</f>
        <v>0.3</v>
      </c>
      <c r="P55" s="1440"/>
      <c r="Q55" s="1439">
        <f>+'Exhibit F'!R50+'Exhibit H'!P23</f>
        <v>0.19999999999999993</v>
      </c>
      <c r="R55" s="1440"/>
      <c r="S55" s="1439">
        <f>+'Exhibit F'!T50+'Exhibit H'!R23</f>
        <v>0.8</v>
      </c>
      <c r="T55" s="1440"/>
      <c r="U55" s="1439">
        <f>+'Exhibit F'!V50+'Exhibit H'!T23</f>
        <v>0.69999999999999918</v>
      </c>
      <c r="V55" s="1440"/>
      <c r="W55" s="1439"/>
      <c r="X55" s="1440"/>
      <c r="Y55" s="1439"/>
      <c r="Z55" s="1440"/>
      <c r="AA55" s="2766"/>
      <c r="AB55" s="3143">
        <f t="shared" ref="AB55" si="11">ROUND(SUM(C55:Y55),1)</f>
        <v>2.8</v>
      </c>
      <c r="AC55" s="3101"/>
      <c r="AD55" s="3393"/>
      <c r="AE55" s="3145">
        <f>+'Exhibit F'!AF50+'Exhibit H'!AD23</f>
        <v>1.9</v>
      </c>
      <c r="AF55" s="3354"/>
      <c r="AG55" s="3354"/>
      <c r="AH55" s="2000">
        <f t="shared" ref="AH55" si="12">ROUND(SUM(+AB55-AE55),1)</f>
        <v>0.9</v>
      </c>
      <c r="AI55" s="2468"/>
      <c r="AJ55" s="1724">
        <f>ROUND(IF(AE55=0,1,AH55/ABS(AE55)),3)</f>
        <v>0.47399999999999998</v>
      </c>
    </row>
    <row r="56" spans="1:36" ht="15.75">
      <c r="A56" s="2473" t="s">
        <v>1105</v>
      </c>
      <c r="B56" s="1440"/>
      <c r="C56" s="1460">
        <f>ROUND(SUM(C50:C55),1)</f>
        <v>130.9</v>
      </c>
      <c r="D56" s="1440"/>
      <c r="E56" s="1460">
        <f>ROUND(SUM(E50:E55),1)</f>
        <v>100.4</v>
      </c>
      <c r="F56" s="1440"/>
      <c r="G56" s="1460">
        <f>ROUND(SUM(G50:G55),1)</f>
        <v>186.2</v>
      </c>
      <c r="H56" s="1440"/>
      <c r="I56" s="1460">
        <f>ROUND(SUM(I50:I55),1)</f>
        <v>201.9</v>
      </c>
      <c r="J56" s="1440"/>
      <c r="K56" s="1460">
        <f>ROUND(SUM(K50:K55),1)</f>
        <v>113.8</v>
      </c>
      <c r="L56" s="1440"/>
      <c r="M56" s="1460">
        <f>ROUND(SUM(M50:M55),1)</f>
        <v>162.5</v>
      </c>
      <c r="N56" s="1440"/>
      <c r="O56" s="1460">
        <f>ROUND(SUM(O50:O55),1)</f>
        <v>202.8</v>
      </c>
      <c r="P56" s="1440"/>
      <c r="Q56" s="1460">
        <f>ROUND(SUM(Q50:Q55),1)</f>
        <v>211.4</v>
      </c>
      <c r="R56" s="1440"/>
      <c r="S56" s="1460">
        <f>ROUND(SUM(S50:S55),1)</f>
        <v>220</v>
      </c>
      <c r="T56" s="1440"/>
      <c r="U56" s="1460">
        <f>ROUND(SUM(U50:U55),1)</f>
        <v>405.7</v>
      </c>
      <c r="V56" s="1440"/>
      <c r="W56" s="1460">
        <f>ROUND(SUM(W50:W55),1)</f>
        <v>0</v>
      </c>
      <c r="X56" s="1440"/>
      <c r="Y56" s="1460">
        <f>ROUND(SUM(Y50:Y55),1)</f>
        <v>0</v>
      </c>
      <c r="Z56" s="1440"/>
      <c r="AA56" s="2766"/>
      <c r="AB56" s="1460">
        <f>ROUND(SUM(AB50:AB55),1)</f>
        <v>1935.6</v>
      </c>
      <c r="AC56" s="3101"/>
      <c r="AD56" s="3393"/>
      <c r="AE56" s="1460">
        <f>ROUND(SUM(AE50:AE55),1)</f>
        <v>1780.4</v>
      </c>
      <c r="AF56" s="3354"/>
      <c r="AG56" s="3354"/>
      <c r="AH56" s="1460">
        <f>ROUND(SUM(AH50:AH55),1)</f>
        <v>155.19999999999999</v>
      </c>
      <c r="AI56" s="3357"/>
      <c r="AJ56" s="1820">
        <f t="shared" si="10"/>
        <v>8.6999999999999994E-2</v>
      </c>
    </row>
    <row r="57" spans="1:36" ht="15.75">
      <c r="A57" s="1440"/>
      <c r="B57" s="1440"/>
      <c r="C57" s="2769"/>
      <c r="D57" s="1439"/>
      <c r="E57" s="2769"/>
      <c r="F57" s="2769"/>
      <c r="G57" s="2769"/>
      <c r="H57" s="2769"/>
      <c r="I57" s="2769"/>
      <c r="J57" s="2769"/>
      <c r="K57" s="2769"/>
      <c r="L57" s="2769"/>
      <c r="M57" s="2769"/>
      <c r="N57" s="2769"/>
      <c r="O57" s="3145"/>
      <c r="P57" s="2769"/>
      <c r="Q57" s="2769"/>
      <c r="R57" s="2769"/>
      <c r="S57" s="2769"/>
      <c r="T57" s="2769"/>
      <c r="U57" s="2769"/>
      <c r="V57" s="2769"/>
      <c r="W57" s="2769"/>
      <c r="X57" s="2769"/>
      <c r="Y57" s="2769"/>
      <c r="Z57" s="1439"/>
      <c r="AA57" s="2770"/>
      <c r="AB57" s="3144"/>
      <c r="AC57" s="3143"/>
      <c r="AD57" s="3394"/>
      <c r="AE57" s="3145"/>
      <c r="AF57" s="3145"/>
      <c r="AG57" s="3145"/>
      <c r="AH57" s="3145"/>
      <c r="AI57" s="3101"/>
      <c r="AJ57" s="1821"/>
    </row>
    <row r="58" spans="1:36" ht="15.75">
      <c r="A58" s="2473" t="s">
        <v>1079</v>
      </c>
      <c r="B58" s="2022"/>
      <c r="C58" s="19">
        <f>ROUND(SUM(C56+C48+C41+C30),1)</f>
        <v>3583.9</v>
      </c>
      <c r="D58" s="2006"/>
      <c r="E58" s="19">
        <f>ROUND(SUM(E56+E48+E41+E30),1)</f>
        <v>3072.3</v>
      </c>
      <c r="F58" s="2006"/>
      <c r="G58" s="19">
        <f>ROUND(SUM(G56+G48+G41+G30),1)</f>
        <v>7041.3</v>
      </c>
      <c r="H58" s="2006"/>
      <c r="I58" s="19">
        <f>ROUND(SUM(I56+I48+I41+I30),1)</f>
        <v>12374.2</v>
      </c>
      <c r="J58" s="2006"/>
      <c r="K58" s="19">
        <f>ROUND(SUM(K56+K48+K41+K30),1)</f>
        <v>4238.3999999999996</v>
      </c>
      <c r="L58" s="2006"/>
      <c r="M58" s="19">
        <f>ROUND(SUM(M56+M48+M41+M30),1)</f>
        <v>8672</v>
      </c>
      <c r="N58" s="2006"/>
      <c r="O58" s="1652">
        <f>ROUND(SUM(O56+O48+O41+O30),1)</f>
        <v>4182.5</v>
      </c>
      <c r="P58" s="2006"/>
      <c r="Q58" s="19">
        <f>ROUND(SUM(Q56+Q48+Q41+Q30),1)</f>
        <v>4207</v>
      </c>
      <c r="R58" s="2006"/>
      <c r="S58" s="19">
        <f>ROUND(SUM(S56+S48+S41+S30),1)</f>
        <v>8317.9</v>
      </c>
      <c r="T58" s="2006"/>
      <c r="U58" s="19">
        <f>ROUND(SUM(U56+U48+U41+U30),1)</f>
        <v>11347.5</v>
      </c>
      <c r="V58" s="2006"/>
      <c r="W58" s="19">
        <f>ROUND(SUM(W56+W48+W41+W30),1)</f>
        <v>0</v>
      </c>
      <c r="X58" s="1463"/>
      <c r="Y58" s="19">
        <f>ROUND(SUM(Y56+Y48+Y41+Y30),1)</f>
        <v>0</v>
      </c>
      <c r="Z58" s="1463"/>
      <c r="AA58" s="2043"/>
      <c r="AB58" s="3395">
        <f>ROUND(SUM(C58:Y58),1)</f>
        <v>67037</v>
      </c>
      <c r="AC58" s="1995"/>
      <c r="AD58" s="2039"/>
      <c r="AE58" s="1983">
        <f>ROUND(SUM(+AE30+AE41+AE48+AE56),1)</f>
        <v>68798.7</v>
      </c>
      <c r="AF58" s="1977"/>
      <c r="AG58" s="3157"/>
      <c r="AH58" s="1983">
        <f>ROUND(+AB58-AE58,1)</f>
        <v>-1761.7</v>
      </c>
      <c r="AI58" s="2041"/>
      <c r="AJ58" s="3358">
        <f>ROUND(SUM(+AH58/ABS(AE58)),3)</f>
        <v>-2.5999999999999999E-2</v>
      </c>
    </row>
    <row r="59" spans="1:36" ht="15">
      <c r="A59" s="1440"/>
      <c r="B59" s="1440"/>
      <c r="C59" s="1439"/>
      <c r="D59" s="1439"/>
      <c r="E59" s="1439"/>
      <c r="F59" s="1439"/>
      <c r="G59" s="1439"/>
      <c r="H59" s="1439"/>
      <c r="I59" s="1439"/>
      <c r="J59" s="1439"/>
      <c r="K59" s="1439"/>
      <c r="L59" s="1439"/>
      <c r="M59" s="1439"/>
      <c r="N59" s="1439"/>
      <c r="O59" s="3143"/>
      <c r="P59" s="1439"/>
      <c r="Q59" s="1439"/>
      <c r="R59" s="1439"/>
      <c r="S59" s="1439"/>
      <c r="T59" s="1439"/>
      <c r="U59" s="1439"/>
      <c r="V59" s="1439"/>
      <c r="W59" s="1439"/>
      <c r="X59" s="1439"/>
      <c r="Y59" s="1439"/>
      <c r="Z59" s="1439"/>
      <c r="AA59" s="2770"/>
      <c r="AB59" s="3143"/>
      <c r="AC59" s="3143"/>
      <c r="AD59" s="3394"/>
      <c r="AE59" s="3143"/>
      <c r="AF59" s="3145"/>
      <c r="AG59" s="3145"/>
      <c r="AH59" s="3143"/>
      <c r="AI59" s="3101"/>
      <c r="AJ59" s="1818"/>
    </row>
    <row r="60" spans="1:36" ht="15.75">
      <c r="A60" s="2462" t="s">
        <v>1014</v>
      </c>
      <c r="B60" s="1440"/>
      <c r="C60" s="1439"/>
      <c r="D60" s="1439"/>
      <c r="E60" s="1439"/>
      <c r="F60" s="1439"/>
      <c r="G60" s="1439"/>
      <c r="H60" s="1439"/>
      <c r="I60" s="1439"/>
      <c r="J60" s="1439"/>
      <c r="K60" s="1439"/>
      <c r="L60" s="1439"/>
      <c r="M60" s="1439"/>
      <c r="N60" s="1439"/>
      <c r="O60" s="3143"/>
      <c r="P60" s="1439"/>
      <c r="Q60" s="1439"/>
      <c r="R60" s="1439"/>
      <c r="S60" s="1439"/>
      <c r="T60" s="1439"/>
      <c r="U60" s="1439"/>
      <c r="V60" s="1439"/>
      <c r="W60" s="1439"/>
      <c r="X60" s="1439"/>
      <c r="Y60" s="1439"/>
      <c r="Z60" s="1439"/>
      <c r="AA60" s="2771"/>
      <c r="AB60" s="3143"/>
      <c r="AC60" s="3143"/>
      <c r="AD60" s="3394"/>
      <c r="AE60" s="3143"/>
      <c r="AF60" s="3145"/>
      <c r="AG60" s="3145"/>
      <c r="AH60" s="3143"/>
      <c r="AI60" s="3101"/>
      <c r="AJ60" s="1724"/>
    </row>
    <row r="61" spans="1:36" ht="15">
      <c r="A61" s="2485" t="s">
        <v>1133</v>
      </c>
      <c r="B61" s="1440"/>
      <c r="C61" s="1439"/>
      <c r="D61" s="1439"/>
      <c r="E61" s="1439"/>
      <c r="F61" s="1439"/>
      <c r="G61" s="1439"/>
      <c r="H61" s="1439"/>
      <c r="I61" s="1439"/>
      <c r="J61" s="1439"/>
      <c r="K61" s="1439"/>
      <c r="L61" s="1439"/>
      <c r="M61" s="1439"/>
      <c r="N61" s="1439"/>
      <c r="O61" s="3143"/>
      <c r="P61" s="1439"/>
      <c r="Q61" s="1439"/>
      <c r="R61" s="1439"/>
      <c r="S61" s="1439"/>
      <c r="T61" s="1439"/>
      <c r="U61" s="1439"/>
      <c r="V61" s="1439"/>
      <c r="W61" s="1439"/>
      <c r="X61" s="1439"/>
      <c r="Y61" s="1439"/>
      <c r="Z61" s="1439"/>
      <c r="AA61" s="2771"/>
      <c r="AB61" s="3143"/>
      <c r="AC61" s="3143"/>
      <c r="AD61" s="3394"/>
      <c r="AE61" s="3143"/>
      <c r="AF61" s="3145"/>
      <c r="AG61" s="3145"/>
      <c r="AH61" s="3143"/>
      <c r="AI61" s="3101"/>
      <c r="AJ61" s="1724"/>
    </row>
    <row r="62" spans="1:36" ht="15">
      <c r="A62" s="2485" t="s">
        <v>1012</v>
      </c>
      <c r="B62" s="1440"/>
      <c r="C62" s="1439">
        <f>+'Exhibit F'!D57+'Exhibit G State'!D41</f>
        <v>1.6</v>
      </c>
      <c r="D62" s="1439"/>
      <c r="E62" s="1439">
        <f>+'Exhibit F'!F57+'Exhibit G State'!F41</f>
        <v>0.69999999999999973</v>
      </c>
      <c r="F62" s="1439"/>
      <c r="G62" s="1439">
        <f>+'Exhibit F'!H57+'Exhibit G State'!H41</f>
        <v>0.80000000000000027</v>
      </c>
      <c r="H62" s="1439"/>
      <c r="I62" s="1439">
        <f>+'Exhibit F'!J57+'Exhibit G State'!J41</f>
        <v>0.89999999999999991</v>
      </c>
      <c r="J62" s="1439"/>
      <c r="K62" s="1439">
        <f>+'Exhibit F'!L57+'Exhibit G State'!L41</f>
        <v>25.900000000000002</v>
      </c>
      <c r="L62" s="1439"/>
      <c r="M62" s="1439">
        <f>+'Exhibit F'!N57+'Exhibit G State'!N41</f>
        <v>85.999999999999986</v>
      </c>
      <c r="N62" s="1439"/>
      <c r="O62" s="3143">
        <f>+'Exhibit F'!P57+'Exhibit G State'!P41</f>
        <v>11.400000000000023</v>
      </c>
      <c r="P62" s="1439"/>
      <c r="Q62" s="1439">
        <f>+'Exhibit F'!R57+'Exhibit G State'!R41</f>
        <v>215.89999999999998</v>
      </c>
      <c r="R62" s="1439"/>
      <c r="S62" s="1439">
        <f>+'Exhibit F'!T57+'Exhibit G State'!T41</f>
        <v>31.40000000000002</v>
      </c>
      <c r="T62" s="1439"/>
      <c r="U62" s="1439">
        <f>+'Exhibit F'!V57+'Exhibit G State'!V41</f>
        <v>6.0000000000000533</v>
      </c>
      <c r="V62" s="1439"/>
      <c r="W62" s="1439"/>
      <c r="X62" s="1439"/>
      <c r="Y62" s="1439"/>
      <c r="Z62" s="1439"/>
      <c r="AA62" s="2771"/>
      <c r="AB62" s="3143">
        <f>ROUND(SUM(C62:Y62),1)</f>
        <v>380.6</v>
      </c>
      <c r="AC62" s="3143"/>
      <c r="AD62" s="3394"/>
      <c r="AE62" s="3143">
        <f>+'Exhibit F'!AF57+'Exhibit G State'!AG41</f>
        <v>296</v>
      </c>
      <c r="AF62" s="3145"/>
      <c r="AG62" s="3145"/>
      <c r="AH62" s="3143">
        <f t="shared" ref="AH62:AH102" si="13">ROUND(SUM(AB62-AE62),1)</f>
        <v>84.6</v>
      </c>
      <c r="AI62" s="3101"/>
      <c r="AJ62" s="1818">
        <f>ROUND(SUM(AH62/ABS(AE62)),3)</f>
        <v>0.28599999999999998</v>
      </c>
    </row>
    <row r="63" spans="1:36" ht="15">
      <c r="A63" s="2485" t="s">
        <v>1013</v>
      </c>
      <c r="B63" s="1440"/>
      <c r="C63" s="1439">
        <f>+'Exhibit F'!D58</f>
        <v>0.7</v>
      </c>
      <c r="D63" s="1439"/>
      <c r="E63" s="1439">
        <f>+'Exhibit F'!F58</f>
        <v>0.30000000000000004</v>
      </c>
      <c r="F63" s="1439"/>
      <c r="G63" s="1439">
        <f>+'Exhibit F'!H58</f>
        <v>20.6</v>
      </c>
      <c r="H63" s="1439"/>
      <c r="I63" s="1439">
        <f>+'Exhibit F'!J58</f>
        <v>-4.6000000000000014</v>
      </c>
      <c r="J63" s="1439"/>
      <c r="K63" s="1439">
        <f>+'Exhibit F'!L58</f>
        <v>0.1</v>
      </c>
      <c r="L63" s="1439"/>
      <c r="M63" s="1439">
        <f>+'Exhibit F'!N58</f>
        <v>43.199999999999996</v>
      </c>
      <c r="N63" s="1439"/>
      <c r="O63" s="3143">
        <f>+'Exhibit F'!P58</f>
        <v>2.1000000000000014</v>
      </c>
      <c r="P63" s="1439"/>
      <c r="Q63" s="1439">
        <f>+'Exhibit F'!R58</f>
        <v>0.70000000000000284</v>
      </c>
      <c r="R63" s="1439"/>
      <c r="S63" s="1439">
        <f>+'Exhibit F'!T58</f>
        <v>21.400000000000006</v>
      </c>
      <c r="T63" s="1439"/>
      <c r="U63" s="1439">
        <f>+'Exhibit F'!V58</f>
        <v>0.79999999999999716</v>
      </c>
      <c r="V63" s="1439"/>
      <c r="W63" s="1439"/>
      <c r="X63" s="1439"/>
      <c r="Y63" s="1439"/>
      <c r="Z63" s="1439"/>
      <c r="AA63" s="2771"/>
      <c r="AB63" s="3143">
        <f>ROUND(SUM(C63:Y63),1)</f>
        <v>85.3</v>
      </c>
      <c r="AC63" s="3143"/>
      <c r="AD63" s="3394"/>
      <c r="AE63" s="3143">
        <f>+'Exhibit F'!AF58</f>
        <v>72.599999999999994</v>
      </c>
      <c r="AF63" s="3145"/>
      <c r="AG63" s="3145"/>
      <c r="AH63" s="3143">
        <f t="shared" si="13"/>
        <v>12.7</v>
      </c>
      <c r="AI63" s="3101"/>
      <c r="AJ63" s="1818">
        <f>ROUND(SUM(AH63/ABS(AE63)),3)</f>
        <v>0.17499999999999999</v>
      </c>
    </row>
    <row r="64" spans="1:36" ht="15">
      <c r="A64" s="2485" t="s">
        <v>1134</v>
      </c>
      <c r="B64" s="1440"/>
      <c r="C64" s="1439"/>
      <c r="D64" s="1439"/>
      <c r="E64" s="1439"/>
      <c r="F64" s="1439"/>
      <c r="G64" s="1439"/>
      <c r="H64" s="1439"/>
      <c r="I64" s="1439"/>
      <c r="J64" s="1439"/>
      <c r="K64" s="1439"/>
      <c r="L64" s="1439"/>
      <c r="M64" s="1439"/>
      <c r="N64" s="1439"/>
      <c r="O64" s="3143"/>
      <c r="P64" s="1439"/>
      <c r="Q64" s="1439"/>
      <c r="R64" s="1439"/>
      <c r="S64" s="1439"/>
      <c r="T64" s="1439"/>
      <c r="U64" s="1439"/>
      <c r="V64" s="1439"/>
      <c r="W64" s="1439"/>
      <c r="X64" s="1439"/>
      <c r="Y64" s="1439"/>
      <c r="Z64" s="1439"/>
      <c r="AA64" s="2771"/>
      <c r="AB64" s="3143"/>
      <c r="AC64" s="3143"/>
      <c r="AD64" s="3394"/>
      <c r="AE64" s="3143"/>
      <c r="AF64" s="3145"/>
      <c r="AG64" s="3145"/>
      <c r="AH64" s="3143" t="s">
        <v>15</v>
      </c>
      <c r="AI64" s="3101" t="s">
        <v>15</v>
      </c>
      <c r="AJ64" s="1724" t="s">
        <v>15</v>
      </c>
    </row>
    <row r="65" spans="1:36" ht="15">
      <c r="A65" s="2485" t="s">
        <v>1017</v>
      </c>
      <c r="B65" s="1440"/>
      <c r="C65" s="1439">
        <f>+'Exhibit F'!D60+'Exhibit G State'!D43</f>
        <v>42.7</v>
      </c>
      <c r="D65" s="1439"/>
      <c r="E65" s="1439">
        <f>+'Exhibit F'!F60+'Exhibit G State'!F43</f>
        <v>21.799999999999997</v>
      </c>
      <c r="F65" s="1439"/>
      <c r="G65" s="1439">
        <f>+'Exhibit F'!H60+'Exhibit G State'!H43</f>
        <v>82.4</v>
      </c>
      <c r="H65" s="1439"/>
      <c r="I65" s="1439">
        <f>+'Exhibit F'!J60+'Exhibit G State'!J43</f>
        <v>69.799999999999983</v>
      </c>
      <c r="J65" s="1439"/>
      <c r="K65" s="1439">
        <f>+'Exhibit F'!L60+'Exhibit G State'!L43</f>
        <v>33.399999999999977</v>
      </c>
      <c r="L65" s="1439"/>
      <c r="M65" s="1439">
        <f>+'Exhibit F'!N60+'Exhibit G State'!N43</f>
        <v>65.500000000000057</v>
      </c>
      <c r="N65" s="1439"/>
      <c r="O65" s="3143">
        <f>+'Exhibit F'!P60+'Exhibit G State'!P43</f>
        <v>88.9</v>
      </c>
      <c r="P65" s="1439"/>
      <c r="Q65" s="1439">
        <f>+'Exhibit F'!R60+'Exhibit G State'!R43</f>
        <v>6</v>
      </c>
      <c r="R65" s="1439"/>
      <c r="S65" s="1439">
        <f>+'Exhibit F'!T60+'Exhibit G State'!T43</f>
        <v>90.799999999999983</v>
      </c>
      <c r="T65" s="1439"/>
      <c r="U65" s="1439">
        <f>+'Exhibit F'!V60+'Exhibit G State'!V43</f>
        <v>55.799999999999955</v>
      </c>
      <c r="V65" s="1439"/>
      <c r="W65" s="1439"/>
      <c r="X65" s="1439"/>
      <c r="Y65" s="1439"/>
      <c r="Z65" s="1439"/>
      <c r="AA65" s="2771"/>
      <c r="AB65" s="3143">
        <f>ROUND(SUM(C65:Y65),1)</f>
        <v>557.1</v>
      </c>
      <c r="AC65" s="3143"/>
      <c r="AD65" s="3394"/>
      <c r="AE65" s="3143">
        <f>+'Exhibit F'!AF60+'Exhibit G State'!AG43</f>
        <v>616.9</v>
      </c>
      <c r="AF65" s="3145"/>
      <c r="AG65" s="3145"/>
      <c r="AH65" s="3143">
        <f t="shared" si="13"/>
        <v>-59.8</v>
      </c>
      <c r="AI65" s="3101"/>
      <c r="AJ65" s="1818">
        <f>ROUND(SUM(AH65/ABS(AE65)),3)</f>
        <v>-9.7000000000000003E-2</v>
      </c>
    </row>
    <row r="66" spans="1:36" ht="15">
      <c r="A66" s="2485" t="s">
        <v>1018</v>
      </c>
      <c r="B66" s="1440"/>
      <c r="C66" s="1439">
        <f>+'Exhibit F'!D61+'Exhibit G State'!D44</f>
        <v>571.19999999999993</v>
      </c>
      <c r="D66" s="1439"/>
      <c r="E66" s="1439">
        <f>+'Exhibit F'!F61+'Exhibit G State'!F44</f>
        <v>466.80000000000007</v>
      </c>
      <c r="F66" s="1439"/>
      <c r="G66" s="1439">
        <f>+'Exhibit F'!H61+'Exhibit G State'!H44</f>
        <v>506.10000000000008</v>
      </c>
      <c r="H66" s="1439"/>
      <c r="I66" s="1439">
        <f>+'Exhibit F'!J61+'Exhibit G State'!J44</f>
        <v>442.59999999999997</v>
      </c>
      <c r="J66" s="1439"/>
      <c r="K66" s="1439">
        <f>+'Exhibit F'!L61+'Exhibit G State'!L44</f>
        <v>463.5999999999998</v>
      </c>
      <c r="L66" s="1439"/>
      <c r="M66" s="1439">
        <f>+'Exhibit F'!N61+'Exhibit G State'!N44</f>
        <v>520</v>
      </c>
      <c r="N66" s="1439"/>
      <c r="O66" s="3143">
        <f>+'Exhibit F'!P61+'Exhibit G State'!P44</f>
        <v>509.00000000000006</v>
      </c>
      <c r="P66" s="1439"/>
      <c r="Q66" s="1439">
        <f>+'Exhibit F'!R61+'Exhibit G State'!R44</f>
        <v>477.10000000000019</v>
      </c>
      <c r="R66" s="1439"/>
      <c r="S66" s="1439">
        <f>+'Exhibit F'!T61+'Exhibit G State'!T44</f>
        <v>507.20000000000005</v>
      </c>
      <c r="T66" s="1439"/>
      <c r="U66" s="1439">
        <f>+'Exhibit F'!V61+'Exhibit G State'!V44</f>
        <v>460.99999999999994</v>
      </c>
      <c r="V66" s="1439"/>
      <c r="W66" s="1439"/>
      <c r="X66" s="1439"/>
      <c r="Y66" s="1439"/>
      <c r="Z66" s="1439"/>
      <c r="AA66" s="2771"/>
      <c r="AB66" s="3143">
        <f>ROUND(SUM(C66:Y66),1)</f>
        <v>4924.6000000000004</v>
      </c>
      <c r="AC66" s="3143"/>
      <c r="AD66" s="3394"/>
      <c r="AE66" s="3143">
        <f>+'Exhibit F'!AF61+'Exhibit G State'!AG44+'Exhibit H'!AD30</f>
        <v>5403.5999999999995</v>
      </c>
      <c r="AF66" s="3145"/>
      <c r="AG66" s="3145"/>
      <c r="AH66" s="3143">
        <f t="shared" si="13"/>
        <v>-479</v>
      </c>
      <c r="AI66" s="3101"/>
      <c r="AJ66" s="1818">
        <f>ROUND(SUM(AH66/ABS(AE66)),3)</f>
        <v>-8.8999999999999996E-2</v>
      </c>
    </row>
    <row r="67" spans="1:36" ht="15">
      <c r="A67" s="2485" t="s">
        <v>1019</v>
      </c>
      <c r="B67" s="1440"/>
      <c r="C67" s="1439">
        <f>+'Exhibit F'!D62+'Exhibit G State'!D45</f>
        <v>0.1</v>
      </c>
      <c r="D67" s="1439"/>
      <c r="E67" s="1439">
        <f>+'Exhibit F'!F62+'Exhibit G State'!F45</f>
        <v>0</v>
      </c>
      <c r="F67" s="1439"/>
      <c r="G67" s="1439">
        <f>+'Exhibit F'!H62+'Exhibit G State'!H45</f>
        <v>0.4</v>
      </c>
      <c r="H67" s="1439"/>
      <c r="I67" s="1439">
        <f>+'Exhibit F'!J62+'Exhibit G State'!J45</f>
        <v>4.4000000000000004</v>
      </c>
      <c r="J67" s="1439"/>
      <c r="K67" s="1439">
        <f>+'Exhibit F'!L62+'Exhibit G State'!L45</f>
        <v>0.39999999999999947</v>
      </c>
      <c r="L67" s="1439"/>
      <c r="M67" s="1439">
        <f>+'Exhibit F'!N62+'Exhibit G State'!N45</f>
        <v>45.400000000000006</v>
      </c>
      <c r="N67" s="1439"/>
      <c r="O67" s="3143">
        <f>+'Exhibit F'!P62+'Exhibit G State'!P45</f>
        <v>-10.100000000000001</v>
      </c>
      <c r="P67" s="1439"/>
      <c r="Q67" s="1439">
        <f>+'Exhibit F'!R62+'Exhibit G State'!R45</f>
        <v>-1.6000000000000014</v>
      </c>
      <c r="R67" s="1439"/>
      <c r="S67" s="1439">
        <f>+'Exhibit F'!T62+'Exhibit G State'!T45</f>
        <v>0.70000000000000284</v>
      </c>
      <c r="T67" s="1439"/>
      <c r="U67" s="1439">
        <f>+'Exhibit F'!V62+'Exhibit G State'!V45</f>
        <v>0</v>
      </c>
      <c r="V67" s="1439"/>
      <c r="W67" s="1439"/>
      <c r="X67" s="1439"/>
      <c r="Y67" s="1439"/>
      <c r="Z67" s="1439"/>
      <c r="AA67" s="2771"/>
      <c r="AB67" s="3143">
        <f>ROUND(SUM(C67:Y67),1)</f>
        <v>39.700000000000003</v>
      </c>
      <c r="AC67" s="3143"/>
      <c r="AD67" s="3394"/>
      <c r="AE67" s="3143">
        <f>+'Exhibit F'!AF62+'Exhibit G State'!AG45</f>
        <v>44</v>
      </c>
      <c r="AF67" s="3145"/>
      <c r="AG67" s="3145"/>
      <c r="AH67" s="3143">
        <f t="shared" si="13"/>
        <v>-4.3</v>
      </c>
      <c r="AI67" s="3101"/>
      <c r="AJ67" s="1724">
        <f>ROUND(IF(AE67=0,0,AH67/ABS(AE67)),3)</f>
        <v>-9.8000000000000004E-2</v>
      </c>
    </row>
    <row r="68" spans="1:36" ht="15">
      <c r="A68" s="2485" t="s">
        <v>1020</v>
      </c>
      <c r="B68" s="1440"/>
      <c r="C68" s="1439">
        <f>+'Exhibit F'!D63+'Exhibit G State'!D46</f>
        <v>0</v>
      </c>
      <c r="D68" s="1439"/>
      <c r="E68" s="1439">
        <f>+'Exhibit F'!F63+'Exhibit G State'!F46</f>
        <v>0.1</v>
      </c>
      <c r="F68" s="1439"/>
      <c r="G68" s="1439">
        <f>+'Exhibit F'!H63+'Exhibit G State'!H46</f>
        <v>0</v>
      </c>
      <c r="H68" s="1439"/>
      <c r="I68" s="1439">
        <f>+'Exhibit F'!J63+'Exhibit G State'!J46</f>
        <v>0</v>
      </c>
      <c r="J68" s="1439"/>
      <c r="K68" s="1439">
        <f>+'Exhibit F'!L63+'Exhibit G State'!L46</f>
        <v>0</v>
      </c>
      <c r="L68" s="1439"/>
      <c r="M68" s="1439">
        <f>+'Exhibit F'!N63+'Exhibit G State'!N46</f>
        <v>0</v>
      </c>
      <c r="N68" s="1439"/>
      <c r="O68" s="3143">
        <f>+'Exhibit F'!P63+'Exhibit G State'!P46</f>
        <v>0</v>
      </c>
      <c r="P68" s="1439"/>
      <c r="Q68" s="1439">
        <f>+'Exhibit F'!R63+'Exhibit G State'!R46</f>
        <v>0.1</v>
      </c>
      <c r="R68" s="1439"/>
      <c r="S68" s="1439">
        <f>+'Exhibit F'!T63+'Exhibit G State'!T46</f>
        <v>0</v>
      </c>
      <c r="T68" s="1439"/>
      <c r="U68" s="1439">
        <f>+'Exhibit F'!V63+'Exhibit G State'!V46</f>
        <v>0</v>
      </c>
      <c r="V68" s="1439"/>
      <c r="W68" s="1439"/>
      <c r="X68" s="1439"/>
      <c r="Y68" s="1439"/>
      <c r="Z68" s="1439"/>
      <c r="AA68" s="2771"/>
      <c r="AB68" s="3143">
        <f>ROUND(SUM(C68:Y68),1)</f>
        <v>0.2</v>
      </c>
      <c r="AC68" s="3143"/>
      <c r="AD68" s="3394"/>
      <c r="AE68" s="3143">
        <f>+'Exhibit F'!AF63+'Exhibit G State'!AG46</f>
        <v>0.9</v>
      </c>
      <c r="AF68" s="3145"/>
      <c r="AG68" s="3145"/>
      <c r="AH68" s="3143">
        <f t="shared" si="13"/>
        <v>-0.7</v>
      </c>
      <c r="AI68" s="3101"/>
      <c r="AJ68" s="1724">
        <f>ROUND(IF(AE68=0,0,AH68/ABS(AE68)),3)</f>
        <v>-0.77800000000000002</v>
      </c>
    </row>
    <row r="69" spans="1:36" ht="15">
      <c r="A69" s="2485" t="s">
        <v>1139</v>
      </c>
      <c r="B69" s="1440"/>
      <c r="C69" s="1439"/>
      <c r="D69" s="1439"/>
      <c r="E69" s="1439"/>
      <c r="F69" s="1439"/>
      <c r="G69" s="1439"/>
      <c r="H69" s="1439"/>
      <c r="I69" s="1439"/>
      <c r="J69" s="1439"/>
      <c r="K69" s="1439"/>
      <c r="L69" s="1439"/>
      <c r="M69" s="1439"/>
      <c r="N69" s="1439"/>
      <c r="O69" s="3143"/>
      <c r="P69" s="1439"/>
      <c r="Q69" s="1439"/>
      <c r="R69" s="1439"/>
      <c r="S69" s="1439"/>
      <c r="T69" s="1439"/>
      <c r="U69" s="1439"/>
      <c r="V69" s="1439"/>
      <c r="W69" s="1439"/>
      <c r="X69" s="1439"/>
      <c r="Y69" s="1439"/>
      <c r="Z69" s="1439"/>
      <c r="AA69" s="2771"/>
      <c r="AB69" s="3143"/>
      <c r="AC69" s="3143"/>
      <c r="AD69" s="3394"/>
      <c r="AE69" s="3143"/>
      <c r="AF69" s="3145"/>
      <c r="AG69" s="3145"/>
      <c r="AH69" s="3143"/>
      <c r="AI69" s="3101"/>
      <c r="AJ69" s="1724"/>
    </row>
    <row r="70" spans="1:36" ht="15">
      <c r="A70" s="2485" t="s">
        <v>1021</v>
      </c>
      <c r="B70" s="1440"/>
      <c r="C70" s="1439">
        <f>+'Exhibit F'!D65+'Exhibit H'!B32</f>
        <v>2.2000000000000002</v>
      </c>
      <c r="D70" s="1439"/>
      <c r="E70" s="1439">
        <f>+'Exhibit F'!F65+'Exhibit H'!D32</f>
        <v>2.8999999999999995</v>
      </c>
      <c r="F70" s="1439"/>
      <c r="G70" s="1439">
        <f>+'Exhibit F'!H65+'Exhibit H'!F32</f>
        <v>2.9000000000000004</v>
      </c>
      <c r="H70" s="1439"/>
      <c r="I70" s="1439">
        <f>+'Exhibit F'!J65+'Exhibit H'!H32</f>
        <v>4.8999999999999995</v>
      </c>
      <c r="J70" s="1439"/>
      <c r="K70" s="1439">
        <f>+'Exhibit F'!L65+'Exhibit H'!J32</f>
        <v>4.8000000000000016</v>
      </c>
      <c r="L70" s="1439"/>
      <c r="M70" s="1439">
        <f>+'Exhibit F'!N65+'Exhibit H'!L32</f>
        <v>5.4000000000000012</v>
      </c>
      <c r="N70" s="1439"/>
      <c r="O70" s="3143">
        <f>+'Exhibit F'!P65+'Exhibit H'!N32</f>
        <v>5.0000000000000009</v>
      </c>
      <c r="P70" s="1439"/>
      <c r="Q70" s="1439">
        <f>+'Exhibit F'!R65+'Exhibit H'!P32</f>
        <v>3.7999999999999963</v>
      </c>
      <c r="R70" s="1439"/>
      <c r="S70" s="1439">
        <f>+'Exhibit F'!T65+'Exhibit H'!R32</f>
        <v>3</v>
      </c>
      <c r="T70" s="1439"/>
      <c r="U70" s="1439">
        <f>+'Exhibit F'!V65+'Exhibit H'!T32</f>
        <v>4.8999999999999995</v>
      </c>
      <c r="V70" s="1439"/>
      <c r="W70" s="1439"/>
      <c r="X70" s="1439"/>
      <c r="Y70" s="1439"/>
      <c r="Z70" s="1439"/>
      <c r="AA70" s="2771"/>
      <c r="AB70" s="3143">
        <f t="shared" ref="AB70:AB77" si="14">ROUND(SUM(C70:Y70),1)</f>
        <v>39.799999999999997</v>
      </c>
      <c r="AC70" s="3143"/>
      <c r="AD70" s="3394"/>
      <c r="AE70" s="3143">
        <f>+'Exhibit F'!AF65+'Exhibit H'!AD32</f>
        <v>62.8</v>
      </c>
      <c r="AF70" s="3145"/>
      <c r="AG70" s="3145"/>
      <c r="AH70" s="3143">
        <f t="shared" si="13"/>
        <v>-23</v>
      </c>
      <c r="AI70" s="3101"/>
      <c r="AJ70" s="1818">
        <f>ROUND(SUM(AH70/ABS(AE70)),3)</f>
        <v>-0.36599999999999999</v>
      </c>
    </row>
    <row r="71" spans="1:36" ht="15">
      <c r="A71" s="2485" t="s">
        <v>1231</v>
      </c>
      <c r="B71" s="1440"/>
      <c r="C71" s="1439">
        <f>'Exhibit G State'!D48</f>
        <v>0</v>
      </c>
      <c r="D71" s="1439" t="s">
        <v>15</v>
      </c>
      <c r="E71" s="1439">
        <f>'Exhibit G State'!F48</f>
        <v>0</v>
      </c>
      <c r="F71" s="1439"/>
      <c r="G71" s="1439">
        <f>'Exhibit G State'!H48</f>
        <v>0.1</v>
      </c>
      <c r="H71" s="1439"/>
      <c r="I71" s="1439">
        <f>'Exhibit G State'!J48</f>
        <v>0.19999999999999998</v>
      </c>
      <c r="J71" s="1439"/>
      <c r="K71" s="1439">
        <f>'Exhibit G State'!L48</f>
        <v>0.70000000000000007</v>
      </c>
      <c r="L71" s="1439"/>
      <c r="M71" s="1439">
        <f>'Exhibit G State'!N48</f>
        <v>0.69999999999999984</v>
      </c>
      <c r="N71" s="1439"/>
      <c r="O71" s="3143">
        <f>'Exhibit G State'!P48</f>
        <v>0.10000000000000009</v>
      </c>
      <c r="P71" s="1439"/>
      <c r="Q71" s="1439">
        <f>'Exhibit G State'!R48</f>
        <v>0.30000000000000016</v>
      </c>
      <c r="R71" s="1439"/>
      <c r="S71" s="1439">
        <f>'Exhibit G State'!T48</f>
        <v>0.10000000000000009</v>
      </c>
      <c r="T71" s="1439"/>
      <c r="U71" s="1439">
        <f>'Exhibit G State'!V48</f>
        <v>0</v>
      </c>
      <c r="V71" s="1439"/>
      <c r="W71" s="1439"/>
      <c r="X71" s="1439"/>
      <c r="Y71" s="1439"/>
      <c r="Z71" s="1439"/>
      <c r="AA71" s="2770"/>
      <c r="AB71" s="3143">
        <f t="shared" si="14"/>
        <v>2.2000000000000002</v>
      </c>
      <c r="AC71" s="3143"/>
      <c r="AD71" s="3394"/>
      <c r="AE71" s="3143">
        <f>'Exhibit G State'!AG48</f>
        <v>2.6</v>
      </c>
      <c r="AF71" s="3145"/>
      <c r="AG71" s="3145"/>
      <c r="AH71" s="3143">
        <f t="shared" si="13"/>
        <v>-0.4</v>
      </c>
      <c r="AI71" s="3101"/>
      <c r="AJ71" s="1724">
        <f>ROUND(IF(AE71=0,0,AH71/ABS(AE71)),3)</f>
        <v>-0.154</v>
      </c>
    </row>
    <row r="72" spans="1:36" ht="15">
      <c r="A72" s="2485" t="s">
        <v>1022</v>
      </c>
      <c r="B72" s="1440"/>
      <c r="C72" s="1439">
        <f>+'Exhibit F'!D67+'Exhibit G State'!D49+'Exhibit H'!B33</f>
        <v>67.2</v>
      </c>
      <c r="D72" s="1439"/>
      <c r="E72" s="1439">
        <f>+'Exhibit F'!F67+'Exhibit G State'!F49+'Exhibit H'!D33</f>
        <v>69.799999999999983</v>
      </c>
      <c r="F72" s="1439"/>
      <c r="G72" s="1439">
        <f>+'Exhibit F'!H67+'Exhibit G State'!H49+'Exhibit H'!F33</f>
        <v>114.39999999999998</v>
      </c>
      <c r="H72" s="1439"/>
      <c r="I72" s="1439">
        <f>+'Exhibit F'!J67+'Exhibit G State'!J49+'Exhibit H'!H33</f>
        <v>54.300000000000011</v>
      </c>
      <c r="J72" s="1439"/>
      <c r="K72" s="1439">
        <f>+'Exhibit F'!L67+'Exhibit G State'!L49+'Exhibit H'!J33</f>
        <v>46.000000000000028</v>
      </c>
      <c r="L72" s="1439"/>
      <c r="M72" s="1439">
        <f>+'Exhibit F'!N67+'Exhibit G State'!N49+'Exhibit H'!L33</f>
        <v>125.5</v>
      </c>
      <c r="N72" s="1439"/>
      <c r="O72" s="3143">
        <f>+'Exhibit F'!P67+'Exhibit G State'!P49+'Exhibit H'!N33</f>
        <v>64</v>
      </c>
      <c r="P72" s="1439"/>
      <c r="Q72" s="1439">
        <f>+'Exhibit F'!R67+'Exhibit G State'!R49+'Exhibit H'!P33</f>
        <v>44.800000000000011</v>
      </c>
      <c r="R72" s="1439"/>
      <c r="S72" s="1439">
        <f>+'Exhibit F'!T67+'Exhibit G State'!T49+'Exhibit H'!R33</f>
        <v>113.89999999999999</v>
      </c>
      <c r="T72" s="1439"/>
      <c r="U72" s="1439">
        <f>+'Exhibit F'!V67+'Exhibit G State'!V49+'Exhibit H'!T33</f>
        <v>79.29999999999994</v>
      </c>
      <c r="V72" s="1439"/>
      <c r="W72" s="1439"/>
      <c r="X72" s="1439"/>
      <c r="Y72" s="1439"/>
      <c r="Z72" s="1439"/>
      <c r="AA72" s="2771"/>
      <c r="AB72" s="3143">
        <f t="shared" si="14"/>
        <v>779.2</v>
      </c>
      <c r="AC72" s="3143"/>
      <c r="AD72" s="3394"/>
      <c r="AE72" s="3143">
        <f>+'Exhibit F'!AF67+'Exhibit G State'!AG49+'Exhibit H'!AD33</f>
        <v>817.5</v>
      </c>
      <c r="AF72" s="3145"/>
      <c r="AG72" s="3145"/>
      <c r="AH72" s="3143">
        <f t="shared" si="13"/>
        <v>-38.299999999999997</v>
      </c>
      <c r="AI72" s="3101"/>
      <c r="AJ72" s="1818">
        <f>ROUND(SUM(AH72/AE72),3)</f>
        <v>-4.7E-2</v>
      </c>
    </row>
    <row r="73" spans="1:36" ht="15">
      <c r="A73" s="2485" t="s">
        <v>1023</v>
      </c>
      <c r="B73" s="1440"/>
      <c r="C73" s="1439">
        <f>+'Exhibit F'!D68+'Exhibit G State'!D50+'Exhibit H'!B34</f>
        <v>4.3000000000000007</v>
      </c>
      <c r="D73" s="1439"/>
      <c r="E73" s="1439">
        <f>+'Exhibit F'!F68+'Exhibit G State'!F50+'Exhibit H'!D34</f>
        <v>3.2999999999999994</v>
      </c>
      <c r="F73" s="1439"/>
      <c r="G73" s="1439">
        <f>+'Exhibit F'!H68+'Exhibit G State'!H50+'Exhibit H'!F34</f>
        <v>5.5</v>
      </c>
      <c r="H73" s="1439"/>
      <c r="I73" s="1439">
        <f>+'Exhibit F'!J68+'Exhibit G State'!J50+'Exhibit H'!H34</f>
        <v>3.0999999999999996</v>
      </c>
      <c r="J73" s="1439"/>
      <c r="K73" s="1439">
        <f>+'Exhibit F'!L68+'Exhibit G State'!L50+'Exhibit H'!J34</f>
        <v>88.799999999999983</v>
      </c>
      <c r="L73" s="1439"/>
      <c r="M73" s="1439">
        <f>+'Exhibit F'!N68+'Exhibit G State'!N50+'Exhibit H'!L34</f>
        <v>-9.8000000000000007</v>
      </c>
      <c r="N73" s="1439"/>
      <c r="O73" s="3143">
        <f>+'Exhibit F'!P68+'Exhibit G State'!P50+'Exhibit H'!N34</f>
        <v>14.600000000000003</v>
      </c>
      <c r="P73" s="1439"/>
      <c r="Q73" s="1439">
        <f>+'Exhibit F'!R68+'Exhibit G State'!R50+'Exhibit H'!P34</f>
        <v>33.4</v>
      </c>
      <c r="R73" s="1439"/>
      <c r="S73" s="1439">
        <f>+'Exhibit F'!T68+'Exhibit G State'!T50+'Exhibit H'!R34</f>
        <v>28.500000000000014</v>
      </c>
      <c r="T73" s="1439"/>
      <c r="U73" s="1439">
        <f>+'Exhibit F'!V68+'Exhibit G State'!V50+'Exhibit H'!T34</f>
        <v>16.699999999999996</v>
      </c>
      <c r="V73" s="1439"/>
      <c r="W73" s="1439"/>
      <c r="X73" s="1439"/>
      <c r="Y73" s="1439"/>
      <c r="Z73" s="1439"/>
      <c r="AA73" s="2771"/>
      <c r="AB73" s="3143">
        <f t="shared" si="14"/>
        <v>188.4</v>
      </c>
      <c r="AC73" s="3143"/>
      <c r="AD73" s="3394"/>
      <c r="AE73" s="3143">
        <f>+'Exhibit F'!AF68+'Exhibit G State'!AG50+'Exhibit H'!AD34</f>
        <v>236.5</v>
      </c>
      <c r="AF73" s="3145"/>
      <c r="AG73" s="3145"/>
      <c r="AH73" s="3143">
        <f t="shared" si="13"/>
        <v>-48.1</v>
      </c>
      <c r="AI73" s="3101"/>
      <c r="AJ73" s="1818">
        <f>ROUND(SUM(AH73/ABS(AE73)),3)</f>
        <v>-0.20300000000000001</v>
      </c>
    </row>
    <row r="74" spans="1:36" ht="15">
      <c r="A74" s="2485" t="s">
        <v>1024</v>
      </c>
      <c r="B74" s="1440"/>
      <c r="C74" s="1439">
        <f>+'Exhibit F'!D69+'Exhibit G State'!D51+'Exhibit H'!B35</f>
        <v>0.6</v>
      </c>
      <c r="D74" s="1439"/>
      <c r="E74" s="1439">
        <f>+'Exhibit F'!F69+'Exhibit G State'!F51+'Exhibit H'!D35</f>
        <v>0.4</v>
      </c>
      <c r="F74" s="1439"/>
      <c r="G74" s="1439">
        <f>+'Exhibit F'!H69+'Exhibit G State'!H51+'Exhibit H'!F35</f>
        <v>0.19999999999999996</v>
      </c>
      <c r="H74" s="1439"/>
      <c r="I74" s="1439">
        <f>+'Exhibit F'!J69+'Exhibit G State'!J51+'Exhibit H'!H35</f>
        <v>1.6</v>
      </c>
      <c r="J74" s="1439"/>
      <c r="K74" s="1439">
        <f>+'Exhibit F'!L69+'Exhibit G State'!L51+'Exhibit H'!J35</f>
        <v>0</v>
      </c>
      <c r="L74" s="1439"/>
      <c r="M74" s="1439">
        <f>+'Exhibit F'!N69+'Exhibit G State'!N51+'Exhibit H'!L35</f>
        <v>0.19999999999999998</v>
      </c>
      <c r="N74" s="1439"/>
      <c r="O74" s="3143">
        <f>+'Exhibit F'!P69+'Exhibit G State'!P51+'Exhibit H'!N35</f>
        <v>0.49999999999999989</v>
      </c>
      <c r="P74" s="1439"/>
      <c r="Q74" s="1439">
        <f>+'Exhibit F'!R69+'Exhibit G State'!R51+'Exhibit H'!P35</f>
        <v>0.10000000000000009</v>
      </c>
      <c r="R74" s="1439"/>
      <c r="S74" s="1439">
        <f>+'Exhibit F'!T69+'Exhibit G State'!T51+'Exhibit H'!R35</f>
        <v>0.19999999999999965</v>
      </c>
      <c r="T74" s="1439"/>
      <c r="U74" s="1439">
        <f>+'Exhibit F'!V69+'Exhibit G State'!V51+'Exhibit H'!T35</f>
        <v>0.70000000000000051</v>
      </c>
      <c r="V74" s="1439"/>
      <c r="W74" s="1439"/>
      <c r="X74" s="1439"/>
      <c r="Y74" s="1439"/>
      <c r="Z74" s="1439"/>
      <c r="AA74" s="2771"/>
      <c r="AB74" s="3143">
        <f t="shared" si="14"/>
        <v>4.5</v>
      </c>
      <c r="AC74" s="3143"/>
      <c r="AD74" s="3394"/>
      <c r="AE74" s="3143">
        <f>+'Exhibit F'!AF69+'Exhibit G State'!AG51+'Exhibit H'!AD35</f>
        <v>7.4</v>
      </c>
      <c r="AF74" s="3145"/>
      <c r="AG74" s="3145"/>
      <c r="AH74" s="3143">
        <f t="shared" si="13"/>
        <v>-2.9</v>
      </c>
      <c r="AI74" s="3101"/>
      <c r="AJ74" s="1818">
        <f>ROUND(SUM(AH74/ABS(AE74)),3)</f>
        <v>-0.39200000000000002</v>
      </c>
    </row>
    <row r="75" spans="1:36" ht="15">
      <c r="A75" s="2485" t="s">
        <v>1025</v>
      </c>
      <c r="B75" s="1440"/>
      <c r="C75" s="1439">
        <f>+'Exhibit F'!D70+'Exhibit G State'!D52+'Exhibit H'!B36</f>
        <v>-82</v>
      </c>
      <c r="D75" s="1439"/>
      <c r="E75" s="1439">
        <f>+'Exhibit F'!F70+'Exhibit G State'!F52+'Exhibit H'!D36</f>
        <v>-33.199999999999996</v>
      </c>
      <c r="F75" s="1439"/>
      <c r="G75" s="1439">
        <f>+'Exhibit F'!H70+'Exhibit G State'!H52+'Exhibit H'!F36</f>
        <v>144.19999999999999</v>
      </c>
      <c r="H75" s="1439"/>
      <c r="I75" s="1439">
        <f>+'Exhibit F'!J70+'Exhibit G State'!J52+'Exhibit H'!H36</f>
        <v>140.30000000000001</v>
      </c>
      <c r="J75" s="1439"/>
      <c r="K75" s="1439">
        <f>+'Exhibit F'!L70+'Exhibit G State'!L52+'Exhibit H'!J36</f>
        <v>40.200000000000017</v>
      </c>
      <c r="L75" s="1439"/>
      <c r="M75" s="1439">
        <f>+'Exhibit F'!N70+'Exhibit G State'!N52+'Exhibit H'!L36</f>
        <v>71.499999999999986</v>
      </c>
      <c r="N75" s="1439"/>
      <c r="O75" s="3143">
        <f>+'Exhibit F'!P70+'Exhibit G State'!P52+'Exhibit H'!N36</f>
        <v>44.300000000000011</v>
      </c>
      <c r="P75" s="1439"/>
      <c r="Q75" s="1439">
        <f>+'Exhibit F'!R70+'Exhibit G State'!R52+'Exhibit H'!P36</f>
        <v>53.900000000000006</v>
      </c>
      <c r="R75" s="1439"/>
      <c r="S75" s="1439">
        <f>+'Exhibit F'!T70+'Exhibit G State'!T52+'Exhibit H'!R36</f>
        <v>54.800000000000026</v>
      </c>
      <c r="T75" s="1439"/>
      <c r="U75" s="1439">
        <f>+'Exhibit F'!V70+'Exhibit G State'!V52+'Exhibit H'!T36</f>
        <v>50.799999999999955</v>
      </c>
      <c r="V75" s="1439"/>
      <c r="W75" s="1439"/>
      <c r="X75" s="1439"/>
      <c r="Y75" s="1439"/>
      <c r="Z75" s="1439"/>
      <c r="AA75" s="2771"/>
      <c r="AB75" s="3143">
        <f t="shared" si="14"/>
        <v>484.8</v>
      </c>
      <c r="AC75" s="3143"/>
      <c r="AD75" s="3394"/>
      <c r="AE75" s="3143">
        <f>+'Exhibit F'!AF70+'Exhibit G State'!AG52+'Exhibit H'!AD36</f>
        <v>529.09999999999991</v>
      </c>
      <c r="AF75" s="3145"/>
      <c r="AG75" s="3145"/>
      <c r="AH75" s="3143">
        <f t="shared" si="13"/>
        <v>-44.3</v>
      </c>
      <c r="AI75" s="3101"/>
      <c r="AJ75" s="1724">
        <f>ROUND(IF(AE75=0,0,AH75/ABS(AE75)),3)</f>
        <v>-8.4000000000000005E-2</v>
      </c>
    </row>
    <row r="76" spans="1:36" ht="15">
      <c r="A76" s="2485" t="s">
        <v>1026</v>
      </c>
      <c r="B76" s="1440"/>
      <c r="C76" s="1439">
        <f>+'Exhibit F'!D71+'Exhibit G State'!D53+'Exhibit H'!B37</f>
        <v>43</v>
      </c>
      <c r="D76" s="1439"/>
      <c r="E76" s="1439">
        <f>+'Exhibit F'!F71+'Exhibit G State'!F53+'Exhibit H'!D37</f>
        <v>0</v>
      </c>
      <c r="F76" s="1439"/>
      <c r="G76" s="1439">
        <f>+'Exhibit F'!H71+'Exhibit G State'!H53+'Exhibit H'!F37</f>
        <v>36.1</v>
      </c>
      <c r="H76" s="1439"/>
      <c r="I76" s="1439">
        <f>+'Exhibit F'!J71+'Exhibit G State'!J53+'Exhibit H'!H37</f>
        <v>34.199999999999996</v>
      </c>
      <c r="J76" s="1439"/>
      <c r="K76" s="1439">
        <f>+'Exhibit F'!L71+'Exhibit G State'!L53+'Exhibit H'!J37</f>
        <v>32.299999999999997</v>
      </c>
      <c r="L76" s="1439"/>
      <c r="M76" s="1439">
        <f>+'Exhibit F'!N71+'Exhibit G State'!N53+'Exhibit H'!L37</f>
        <v>147.29999999999995</v>
      </c>
      <c r="N76" s="1439"/>
      <c r="O76" s="3143">
        <f>+'Exhibit F'!P71+'Exhibit G State'!P53+'Exhibit H'!N37</f>
        <v>85.200000000000017</v>
      </c>
      <c r="P76" s="1439"/>
      <c r="Q76" s="1439">
        <f>+'Exhibit F'!R71+'Exhibit G State'!R53+'Exhibit H'!P37</f>
        <v>60.700000000000024</v>
      </c>
      <c r="R76" s="1439"/>
      <c r="S76" s="1439">
        <f>+'Exhibit F'!T71+'Exhibit G State'!T53+'Exhibit H'!R37</f>
        <v>57.000000000000014</v>
      </c>
      <c r="T76" s="1439"/>
      <c r="U76" s="1439">
        <f>+'Exhibit F'!V71+'Exhibit G State'!V53+'Exhibit H'!T37</f>
        <v>46.199999999999932</v>
      </c>
      <c r="V76" s="1439"/>
      <c r="W76" s="1439"/>
      <c r="X76" s="1439"/>
      <c r="Y76" s="1439"/>
      <c r="Z76" s="1439"/>
      <c r="AA76" s="2771"/>
      <c r="AB76" s="3143">
        <f t="shared" si="14"/>
        <v>542</v>
      </c>
      <c r="AC76" s="3143"/>
      <c r="AD76" s="3394"/>
      <c r="AE76" s="3143">
        <f>+'Exhibit F'!AF71+'Exhibit G State'!AG53+'Exhibit H'!AD37</f>
        <v>706.9</v>
      </c>
      <c r="AF76" s="3145"/>
      <c r="AG76" s="3145"/>
      <c r="AH76" s="3143">
        <f t="shared" si="13"/>
        <v>-164.9</v>
      </c>
      <c r="AI76" s="3101"/>
      <c r="AJ76" s="1818">
        <f>ROUND(SUM(AH76/ABS(AE76)),3)</f>
        <v>-0.23300000000000001</v>
      </c>
    </row>
    <row r="77" spans="1:36" ht="15">
      <c r="A77" s="2485" t="s">
        <v>1015</v>
      </c>
      <c r="B77" s="1440"/>
      <c r="C77" s="1439">
        <f>+'Exhibit F'!D72+'Exhibit G State'!D54</f>
        <v>98.600000000000009</v>
      </c>
      <c r="D77" s="1439"/>
      <c r="E77" s="1439">
        <f>+'Exhibit F'!F72+'Exhibit G State'!F54</f>
        <v>231.59999999999997</v>
      </c>
      <c r="F77" s="1439"/>
      <c r="G77" s="1439">
        <f>+'Exhibit F'!H72+'Exhibit G State'!H54</f>
        <v>16.100000000000044</v>
      </c>
      <c r="H77" s="1439"/>
      <c r="I77" s="1439">
        <f>+'Exhibit F'!J72+'Exhibit G State'!J54</f>
        <v>199.90000000000006</v>
      </c>
      <c r="J77" s="1439"/>
      <c r="K77" s="1439">
        <f>+'Exhibit F'!L72+'Exhibit G State'!L54</f>
        <v>3.4999999999999991</v>
      </c>
      <c r="L77" s="1439"/>
      <c r="M77" s="1439">
        <f>+'Exhibit F'!N72+'Exhibit G State'!N54</f>
        <v>13.799999999999997</v>
      </c>
      <c r="N77" s="1439"/>
      <c r="O77" s="3143">
        <f>+'Exhibit F'!P72+'Exhibit G State'!P54</f>
        <v>78.099999999999937</v>
      </c>
      <c r="P77" s="1439"/>
      <c r="Q77" s="1439">
        <f>+'Exhibit F'!R72+'Exhibit G State'!R54</f>
        <v>153.19999999999996</v>
      </c>
      <c r="R77" s="1439"/>
      <c r="S77" s="1439">
        <f>+'Exhibit F'!T72+'Exhibit G State'!T54</f>
        <v>9.6000000000000227</v>
      </c>
      <c r="T77" s="1439"/>
      <c r="U77" s="1439">
        <f>+'Exhibit F'!V72+'Exhibit G State'!V54</f>
        <v>37.499999999999972</v>
      </c>
      <c r="V77" s="1439"/>
      <c r="W77" s="1439"/>
      <c r="X77" s="1439"/>
      <c r="Y77" s="1439"/>
      <c r="Z77" s="1439"/>
      <c r="AA77" s="2771"/>
      <c r="AB77" s="3143">
        <f t="shared" si="14"/>
        <v>841.9</v>
      </c>
      <c r="AC77" s="3143"/>
      <c r="AD77" s="3394"/>
      <c r="AE77" s="3143">
        <f>+'Exhibit F'!AF72+'Exhibit G State'!AG54</f>
        <v>1291.0000000000002</v>
      </c>
      <c r="AF77" s="3145"/>
      <c r="AG77" s="3145"/>
      <c r="AH77" s="3143">
        <f t="shared" si="13"/>
        <v>-449.1</v>
      </c>
      <c r="AI77" s="3101"/>
      <c r="AJ77" s="1818">
        <f>ROUND(SUM(AH77/ABS(AE77)),3)</f>
        <v>-0.34799999999999998</v>
      </c>
    </row>
    <row r="78" spans="1:36" ht="15">
      <c r="A78" s="2485" t="s">
        <v>1136</v>
      </c>
      <c r="B78" s="1440"/>
      <c r="C78" s="1439"/>
      <c r="D78" s="1439"/>
      <c r="E78" s="1439"/>
      <c r="F78" s="1439"/>
      <c r="G78" s="1439"/>
      <c r="H78" s="1439"/>
      <c r="I78" s="1439"/>
      <c r="J78" s="1439"/>
      <c r="K78" s="1439"/>
      <c r="L78" s="1439"/>
      <c r="M78" s="1439"/>
      <c r="N78" s="1439"/>
      <c r="O78" s="3143"/>
      <c r="P78" s="1439"/>
      <c r="Q78" s="1439"/>
      <c r="R78" s="1439"/>
      <c r="S78" s="1439"/>
      <c r="T78" s="1439"/>
      <c r="U78" s="1439"/>
      <c r="V78" s="1439"/>
      <c r="W78" s="1439"/>
      <c r="X78" s="1439"/>
      <c r="Y78" s="1439"/>
      <c r="Z78" s="1439"/>
      <c r="AA78" s="2771"/>
      <c r="AB78" s="3143"/>
      <c r="AC78" s="3143"/>
      <c r="AD78" s="3394"/>
      <c r="AE78" s="3143"/>
      <c r="AF78" s="3145"/>
      <c r="AG78" s="3145"/>
      <c r="AH78" s="3143"/>
      <c r="AI78" s="3101"/>
      <c r="AJ78" s="1818" t="s">
        <v>15</v>
      </c>
    </row>
    <row r="79" spans="1:36" ht="15">
      <c r="A79" s="2485" t="s">
        <v>1027</v>
      </c>
      <c r="B79" s="1440"/>
      <c r="C79" s="1439">
        <f>+'Exhibit G State'!D56</f>
        <v>0</v>
      </c>
      <c r="D79" s="1439"/>
      <c r="E79" s="1439">
        <f>+'Exhibit G State'!F56</f>
        <v>0</v>
      </c>
      <c r="F79" s="1439"/>
      <c r="G79" s="1439">
        <f>+'Exhibit G State'!H56</f>
        <v>0</v>
      </c>
      <c r="H79" s="1439"/>
      <c r="I79" s="1439">
        <f>+'Exhibit G State'!J56</f>
        <v>20.8</v>
      </c>
      <c r="J79" s="1439"/>
      <c r="K79" s="1439">
        <f>+'Exhibit G State'!L56</f>
        <v>0</v>
      </c>
      <c r="L79" s="1439"/>
      <c r="M79" s="1439">
        <f>+'Exhibit G State'!N56</f>
        <v>8</v>
      </c>
      <c r="N79" s="1439"/>
      <c r="O79" s="3143">
        <f>+'Exhibit G State'!P56</f>
        <v>33.400000000000006</v>
      </c>
      <c r="P79" s="1439"/>
      <c r="Q79" s="1439">
        <f>+'Exhibit G State'!R56</f>
        <v>10</v>
      </c>
      <c r="R79" s="1439"/>
      <c r="S79" s="1439">
        <f>+'Exhibit G State'!T56</f>
        <v>10.200000000000003</v>
      </c>
      <c r="T79" s="1439"/>
      <c r="U79" s="1439">
        <f>+'Exhibit G State'!V56</f>
        <v>27.099999999999994</v>
      </c>
      <c r="V79" s="1439"/>
      <c r="W79" s="1439"/>
      <c r="X79" s="1439"/>
      <c r="Y79" s="1439"/>
      <c r="Z79" s="1439"/>
      <c r="AA79" s="2771"/>
      <c r="AB79" s="3143">
        <f>ROUND(SUM(C79:Y79),1)</f>
        <v>109.5</v>
      </c>
      <c r="AC79" s="3143"/>
      <c r="AD79" s="3394"/>
      <c r="AE79" s="3143">
        <f>+'Exhibit G State'!AG56</f>
        <v>246.3</v>
      </c>
      <c r="AF79" s="3145"/>
      <c r="AG79" s="3145"/>
      <c r="AH79" s="3143">
        <f t="shared" si="13"/>
        <v>-136.80000000000001</v>
      </c>
      <c r="AI79" s="3101"/>
      <c r="AJ79" s="1829">
        <f>ROUND(SUM(AH79/ABS(AE79)),3)</f>
        <v>-0.55500000000000005</v>
      </c>
    </row>
    <row r="80" spans="1:36" ht="15">
      <c r="A80" s="2485" t="s">
        <v>1028</v>
      </c>
      <c r="B80" s="1440"/>
      <c r="C80" s="1439">
        <f>+'Exhibit G State'!D57</f>
        <v>157</v>
      </c>
      <c r="D80" s="1439"/>
      <c r="E80" s="1439">
        <f>+'Exhibit G State'!F57</f>
        <v>142.10000000000002</v>
      </c>
      <c r="F80" s="1439"/>
      <c r="G80" s="1439">
        <f>+'Exhibit G State'!H57</f>
        <v>173.79999999999995</v>
      </c>
      <c r="H80" s="1439"/>
      <c r="I80" s="1439">
        <f>+'Exhibit G State'!J57</f>
        <v>202.20000000000005</v>
      </c>
      <c r="J80" s="1439"/>
      <c r="K80" s="1439">
        <f>+'Exhibit G State'!L57</f>
        <v>195.89999999999998</v>
      </c>
      <c r="L80" s="1439"/>
      <c r="M80" s="1439">
        <f>+'Exhibit G State'!N57</f>
        <v>199.29999999999995</v>
      </c>
      <c r="N80" s="1439"/>
      <c r="O80" s="3143">
        <f>+'Exhibit G State'!P57</f>
        <v>168.29999999999995</v>
      </c>
      <c r="P80" s="1439"/>
      <c r="Q80" s="1439">
        <f>+'Exhibit G State'!R57</f>
        <v>171.00000000000011</v>
      </c>
      <c r="R80" s="1439"/>
      <c r="S80" s="1439">
        <f>+'Exhibit G State'!T57</f>
        <v>215.59999999999991</v>
      </c>
      <c r="T80" s="1439"/>
      <c r="U80" s="1439">
        <f>+'Exhibit G State'!V57</f>
        <v>256.5</v>
      </c>
      <c r="V80" s="1439"/>
      <c r="W80" s="1439"/>
      <c r="X80" s="1439"/>
      <c r="Y80" s="1439"/>
      <c r="Z80" s="1439"/>
      <c r="AA80" s="2771"/>
      <c r="AB80" s="3143">
        <f>ROUND(SUM(C80:Y80),1)</f>
        <v>1881.7</v>
      </c>
      <c r="AC80" s="3143"/>
      <c r="AD80" s="3394"/>
      <c r="AE80" s="3143">
        <f>+'Exhibit G State'!AG57</f>
        <v>2054.3000000000002</v>
      </c>
      <c r="AF80" s="3145"/>
      <c r="AG80" s="3145"/>
      <c r="AH80" s="3143">
        <f t="shared" si="13"/>
        <v>-172.6</v>
      </c>
      <c r="AI80" s="3101"/>
      <c r="AJ80" s="1829">
        <f>ROUND(SUM(AH80/ABS(AE80)),3)</f>
        <v>-8.4000000000000005E-2</v>
      </c>
    </row>
    <row r="81" spans="1:36" ht="15">
      <c r="A81" s="2485" t="s">
        <v>1029</v>
      </c>
      <c r="B81" s="1440"/>
      <c r="C81" s="1439">
        <f>+'Exhibit G State'!D58</f>
        <v>0</v>
      </c>
      <c r="D81" s="1439"/>
      <c r="E81" s="1439">
        <f>+'Exhibit G State'!F58</f>
        <v>0.6</v>
      </c>
      <c r="F81" s="1439"/>
      <c r="G81" s="1439">
        <f>+'Exhibit G State'!H58</f>
        <v>0</v>
      </c>
      <c r="H81" s="1439"/>
      <c r="I81" s="1439">
        <f>+'Exhibit G State'!J58</f>
        <v>-0.39999999999999997</v>
      </c>
      <c r="J81" s="1439"/>
      <c r="K81" s="1439">
        <f>+'Exhibit G State'!L58</f>
        <v>0</v>
      </c>
      <c r="L81" s="1439"/>
      <c r="M81" s="1439">
        <f>+'Exhibit G State'!N58</f>
        <v>33.799999999999997</v>
      </c>
      <c r="N81" s="1439"/>
      <c r="O81" s="3143">
        <f>+'Exhibit G State'!P58</f>
        <v>59.600000000000009</v>
      </c>
      <c r="P81" s="1439"/>
      <c r="Q81" s="1439">
        <f>+'Exhibit G State'!R58</f>
        <v>54.200000000000017</v>
      </c>
      <c r="R81" s="1439"/>
      <c r="S81" s="1439">
        <f>+'Exhibit G State'!T58</f>
        <v>57.999999999999986</v>
      </c>
      <c r="T81" s="1439"/>
      <c r="U81" s="1439">
        <f>+'Exhibit G State'!V58</f>
        <v>58.899999999999906</v>
      </c>
      <c r="V81" s="1439"/>
      <c r="W81" s="1439"/>
      <c r="X81" s="1439"/>
      <c r="Y81" s="1439"/>
      <c r="Z81" s="1439"/>
      <c r="AA81" s="2771"/>
      <c r="AB81" s="3143">
        <f>ROUND(SUM(C81:Y81),1)</f>
        <v>264.7</v>
      </c>
      <c r="AC81" s="3143"/>
      <c r="AD81" s="3394"/>
      <c r="AE81" s="3143">
        <f>+'Exhibit G State'!AG58</f>
        <v>808.7</v>
      </c>
      <c r="AF81" s="3145"/>
      <c r="AG81" s="3145"/>
      <c r="AH81" s="3143">
        <f t="shared" si="13"/>
        <v>-544</v>
      </c>
      <c r="AI81" s="3101"/>
      <c r="AJ81" s="1829">
        <f>ROUND(SUM(AH81/ABS(AE81)),3)</f>
        <v>-0.67300000000000004</v>
      </c>
    </row>
    <row r="82" spans="1:36" ht="15">
      <c r="A82" s="2485" t="s">
        <v>1016</v>
      </c>
      <c r="B82" s="1440"/>
      <c r="C82" s="1439">
        <f>+'Exhibit F'!D73+'Exhibit H'!B38+'Exhibit G State'!D59</f>
        <v>29.2</v>
      </c>
      <c r="D82" s="1439"/>
      <c r="E82" s="1439">
        <f>+'Exhibit F'!F73+'Exhibit H'!D38+'Exhibit G State'!F59</f>
        <v>13.8</v>
      </c>
      <c r="F82" s="1439"/>
      <c r="G82" s="1439">
        <f>+'Exhibit F'!H73+'Exhibit H'!F38+'Exhibit G State'!H59</f>
        <v>7.6999999999999993</v>
      </c>
      <c r="H82" s="1439"/>
      <c r="I82" s="1439">
        <f>+'Exhibit F'!J73+'Exhibit H'!H38+'Exhibit G State'!J59</f>
        <v>4.3000000000000007</v>
      </c>
      <c r="J82" s="1439"/>
      <c r="K82" s="1439">
        <f>+'Exhibit F'!L73+'Exhibit H'!J38+'Exhibit G State'!L59</f>
        <v>5.399999999999995</v>
      </c>
      <c r="L82" s="1439"/>
      <c r="M82" s="1439">
        <f>+'Exhibit F'!N73+'Exhibit H'!L38+'Exhibit G State'!N59</f>
        <v>5.3000000000000078</v>
      </c>
      <c r="N82" s="1439"/>
      <c r="O82" s="3143">
        <f>+'Exhibit F'!P73+'Exhibit H'!N38+'Exhibit G State'!P59</f>
        <v>4.9999999999999964</v>
      </c>
      <c r="P82" s="1439"/>
      <c r="Q82" s="1439">
        <f>+'Exhibit F'!R73+'Exhibit H'!P38+'Exhibit G State'!R59</f>
        <v>4.9999999999999982</v>
      </c>
      <c r="R82" s="1439"/>
      <c r="S82" s="1439">
        <f>+'Exhibit F'!T73+'Exhibit H'!R38+'Exhibit G State'!T59</f>
        <v>5.0999999999999996</v>
      </c>
      <c r="T82" s="1439"/>
      <c r="U82" s="1439">
        <f>+'Exhibit F'!V73+'Exhibit H'!T38+'Exhibit G State'!V59</f>
        <v>5.6000000000000014</v>
      </c>
      <c r="V82" s="1439"/>
      <c r="W82" s="1439"/>
      <c r="X82" s="1439"/>
      <c r="Y82" s="1439"/>
      <c r="Z82" s="1439"/>
      <c r="AA82" s="2771"/>
      <c r="AB82" s="3143">
        <f>ROUND(SUM(C82:Y82),1)</f>
        <v>86.4</v>
      </c>
      <c r="AC82" s="3143"/>
      <c r="AD82" s="3394"/>
      <c r="AE82" s="3143">
        <f>+'Exhibit F'!AF73+'Exhibit H'!AD38+'Exhibit G State'!AG59</f>
        <v>331.70000000000005</v>
      </c>
      <c r="AF82" s="3145"/>
      <c r="AG82" s="3145"/>
      <c r="AH82" s="3143">
        <f t="shared" si="13"/>
        <v>-245.3</v>
      </c>
      <c r="AI82" s="3101"/>
      <c r="AJ82" s="1829">
        <f>ROUND(SUM(AH82/ABS(AE82)),3)</f>
        <v>-0.74</v>
      </c>
    </row>
    <row r="83" spans="1:36" ht="15">
      <c r="A83" s="2485" t="s">
        <v>1137</v>
      </c>
      <c r="B83" s="1440"/>
      <c r="C83" s="1439"/>
      <c r="D83" s="1439"/>
      <c r="E83" s="1439"/>
      <c r="F83" s="1439"/>
      <c r="G83" s="1439"/>
      <c r="H83" s="1439"/>
      <c r="I83" s="1439"/>
      <c r="J83" s="1439"/>
      <c r="K83" s="1439"/>
      <c r="L83" s="1439"/>
      <c r="M83" s="1439"/>
      <c r="N83" s="1439"/>
      <c r="O83" s="3143"/>
      <c r="P83" s="1439"/>
      <c r="Q83" s="1439"/>
      <c r="R83" s="1439"/>
      <c r="S83" s="1439"/>
      <c r="T83" s="1439"/>
      <c r="U83" s="1439"/>
      <c r="V83" s="1439"/>
      <c r="W83" s="1439"/>
      <c r="X83" s="1439"/>
      <c r="Y83" s="1439"/>
      <c r="Z83" s="1439"/>
      <c r="AA83" s="2771"/>
      <c r="AB83" s="3143"/>
      <c r="AC83" s="3143"/>
      <c r="AD83" s="3394"/>
      <c r="AE83" s="3143"/>
      <c r="AF83" s="3145"/>
      <c r="AG83" s="3145"/>
      <c r="AH83" s="3143"/>
      <c r="AI83" s="3101"/>
      <c r="AJ83" s="1724"/>
    </row>
    <row r="84" spans="1:36" ht="15">
      <c r="A84" s="2485" t="s">
        <v>1030</v>
      </c>
      <c r="B84" s="1440"/>
      <c r="C84" s="1439">
        <f>+'Exhibit G State'!D61</f>
        <v>0</v>
      </c>
      <c r="D84" s="1439"/>
      <c r="E84" s="1439">
        <f>+'Exhibit G State'!F61+'Exhibit F'!F75</f>
        <v>1000</v>
      </c>
      <c r="F84" s="1439"/>
      <c r="G84" s="1439">
        <f>+'Exhibit G State'!H61+'Exhibit F'!H75</f>
        <v>3500</v>
      </c>
      <c r="H84" s="1439"/>
      <c r="I84" s="1439">
        <f>+'Exhibit G State'!J61+'Exhibit F'!J75</f>
        <v>0</v>
      </c>
      <c r="J84" s="1439"/>
      <c r="K84" s="1439">
        <f>+'Exhibit G State'!L61+'Exhibit F'!L75</f>
        <v>0</v>
      </c>
      <c r="L84" s="1439"/>
      <c r="M84" s="1439">
        <f>+'Exhibit G State'!N61+'Exhibit F'!N75</f>
        <v>0</v>
      </c>
      <c r="N84" s="1439"/>
      <c r="O84" s="3143">
        <f>+'Exhibit G State'!P61+'Exhibit F'!P75</f>
        <v>0</v>
      </c>
      <c r="P84" s="1439"/>
      <c r="Q84" s="1439">
        <f>+'Exhibit G State'!R61+'Exhibit F'!R75</f>
        <v>0</v>
      </c>
      <c r="R84" s="1439"/>
      <c r="S84" s="1439">
        <f>+'Exhibit G State'!T61+'Exhibit F'!T75+'Exhibit H'!R40</f>
        <v>0.4</v>
      </c>
      <c r="T84" s="1439"/>
      <c r="U84" s="1439">
        <f>+'Exhibit G State'!V61+'Exhibit F'!V75+'Exhibit H'!T40</f>
        <v>0</v>
      </c>
      <c r="V84" s="1439"/>
      <c r="W84" s="1439"/>
      <c r="X84" s="1439"/>
      <c r="Y84" s="1439"/>
      <c r="Z84" s="1439"/>
      <c r="AA84" s="2771"/>
      <c r="AB84" s="3143">
        <f t="shared" ref="AB84:AB89" si="15">ROUND(SUM(C84:Y84),1)</f>
        <v>4500.3999999999996</v>
      </c>
      <c r="AC84" s="3143"/>
      <c r="AD84" s="3394"/>
      <c r="AE84" s="3143">
        <f>+'Exhibit G State'!AG61+'Exhibit H'!AD40</f>
        <v>0</v>
      </c>
      <c r="AF84" s="3145"/>
      <c r="AG84" s="3145"/>
      <c r="AH84" s="3143">
        <f t="shared" si="13"/>
        <v>4500.3999999999996</v>
      </c>
      <c r="AI84" s="3101"/>
      <c r="AJ84" s="1724">
        <f>ROUND(IF(AE84=0,1,AH84/ABS(AE84)),3)</f>
        <v>1</v>
      </c>
    </row>
    <row r="85" spans="1:36" ht="15">
      <c r="A85" s="2485" t="s">
        <v>1031</v>
      </c>
      <c r="B85" s="1440"/>
      <c r="C85" s="1439">
        <f>+'Exhibit F'!D76+'Exhibit G State'!D62</f>
        <v>0</v>
      </c>
      <c r="D85" s="1439"/>
      <c r="E85" s="1439">
        <f>+'Exhibit F'!F76+'Exhibit G State'!F62</f>
        <v>0</v>
      </c>
      <c r="F85" s="1439"/>
      <c r="G85" s="1439">
        <f>+'Exhibit F'!H76+'Exhibit G State'!H62</f>
        <v>0</v>
      </c>
      <c r="H85" s="1439"/>
      <c r="I85" s="1439">
        <f>+'Exhibit F'!J76+'Exhibit G State'!J62</f>
        <v>0</v>
      </c>
      <c r="J85" s="1439"/>
      <c r="K85" s="1439">
        <f>+'Exhibit F'!L76+'Exhibit G State'!L62</f>
        <v>0</v>
      </c>
      <c r="L85" s="1439"/>
      <c r="M85" s="1439">
        <f>+'Exhibit F'!N76+'Exhibit G State'!N62</f>
        <v>0</v>
      </c>
      <c r="N85" s="1439"/>
      <c r="O85" s="3143">
        <f>+'Exhibit F'!P76+'Exhibit G State'!P62</f>
        <v>8.9</v>
      </c>
      <c r="P85" s="1439"/>
      <c r="Q85" s="1439">
        <f>+'Exhibit F'!R76+'Exhibit G State'!R62</f>
        <v>0</v>
      </c>
      <c r="R85" s="1439"/>
      <c r="S85" s="1439">
        <f>+'Exhibit F'!T76+'Exhibit G State'!T62</f>
        <v>0</v>
      </c>
      <c r="T85" s="1439"/>
      <c r="U85" s="1439">
        <f>+'Exhibit F'!V76+'Exhibit G State'!V62</f>
        <v>0</v>
      </c>
      <c r="V85" s="1439"/>
      <c r="W85" s="1439"/>
      <c r="X85" s="1439"/>
      <c r="Y85" s="1439"/>
      <c r="Z85" s="1439"/>
      <c r="AA85" s="2771"/>
      <c r="AB85" s="3143">
        <f t="shared" si="15"/>
        <v>8.9</v>
      </c>
      <c r="AC85" s="3143"/>
      <c r="AD85" s="3394"/>
      <c r="AE85" s="3143">
        <f>+'Exhibit F'!AF76+'Exhibit G State'!AG62</f>
        <v>40.5</v>
      </c>
      <c r="AF85" s="3145"/>
      <c r="AG85" s="3145"/>
      <c r="AH85" s="3143">
        <f t="shared" si="13"/>
        <v>-31.6</v>
      </c>
      <c r="AI85" s="3101"/>
      <c r="AJ85" s="1818">
        <f>ROUND(IF(AE85=0,0,AH85/ABS(AE85)),3)</f>
        <v>-0.78</v>
      </c>
    </row>
    <row r="86" spans="1:36" ht="15">
      <c r="A86" s="2485" t="s">
        <v>1032</v>
      </c>
      <c r="B86" s="1440"/>
      <c r="C86" s="1439">
        <f>+'Exhibit F'!D77+'Exhibit G State'!D63</f>
        <v>0.5</v>
      </c>
      <c r="D86" s="1439"/>
      <c r="E86" s="1439">
        <f>+'Exhibit F'!F77+'Exhibit G State'!F63</f>
        <v>1.4</v>
      </c>
      <c r="F86" s="1439"/>
      <c r="G86" s="1439">
        <f>+'Exhibit F'!H77+'Exhibit G State'!H63</f>
        <v>25.5</v>
      </c>
      <c r="H86" s="1439"/>
      <c r="I86" s="1439">
        <f>+'Exhibit F'!J77+'Exhibit G State'!J63</f>
        <v>24.7</v>
      </c>
      <c r="J86" s="1439"/>
      <c r="K86" s="1439">
        <f>+'Exhibit F'!L77+'Exhibit G State'!L63</f>
        <v>0</v>
      </c>
      <c r="L86" s="1439"/>
      <c r="M86" s="1439">
        <f>+'Exhibit F'!N77+'Exhibit G State'!N63</f>
        <v>1.8000000000000043</v>
      </c>
      <c r="N86" s="1439"/>
      <c r="O86" s="3143">
        <f>+'Exhibit F'!P77+'Exhibit G State'!P63</f>
        <v>30.199999999999996</v>
      </c>
      <c r="P86" s="1439"/>
      <c r="Q86" s="1439">
        <f>+'Exhibit F'!R77+'Exhibit G State'!R63</f>
        <v>0.5</v>
      </c>
      <c r="R86" s="1439"/>
      <c r="S86" s="1439">
        <f>+'Exhibit F'!T77+'Exhibit G State'!T63</f>
        <v>21.599999999999994</v>
      </c>
      <c r="T86" s="1439"/>
      <c r="U86" s="1439">
        <f>+'Exhibit F'!V77+'Exhibit G State'!V63</f>
        <v>4.2999999999999972</v>
      </c>
      <c r="V86" s="1439"/>
      <c r="W86" s="1439"/>
      <c r="X86" s="1439"/>
      <c r="Y86" s="1439"/>
      <c r="Z86" s="1439"/>
      <c r="AA86" s="2771"/>
      <c r="AB86" s="3143">
        <f t="shared" si="15"/>
        <v>110.5</v>
      </c>
      <c r="AC86" s="3143"/>
      <c r="AD86" s="3394"/>
      <c r="AE86" s="3143">
        <f>+'Exhibit F'!AF77+'Exhibit G State'!AG63</f>
        <v>83.5</v>
      </c>
      <c r="AF86" s="3145"/>
      <c r="AG86" s="3145"/>
      <c r="AH86" s="3143">
        <f t="shared" si="13"/>
        <v>27</v>
      </c>
      <c r="AI86" s="3101"/>
      <c r="AJ86" s="1829">
        <f>ROUND(SUM(AH86/ABS(AE86)),3)</f>
        <v>0.32300000000000001</v>
      </c>
    </row>
    <row r="87" spans="1:36" ht="15">
      <c r="A87" s="2485" t="s">
        <v>1033</v>
      </c>
      <c r="B87" s="1440"/>
      <c r="C87" s="1439">
        <f>+'Exhibit F'!D78+'Exhibit G State'!D64</f>
        <v>8.9</v>
      </c>
      <c r="D87" s="1439"/>
      <c r="E87" s="1439">
        <f>+'Exhibit F'!F78+'Exhibit G State'!F64</f>
        <v>0.29999999999999893</v>
      </c>
      <c r="F87" s="1439"/>
      <c r="G87" s="1439">
        <f>+'Exhibit F'!H78+'Exhibit G State'!H64</f>
        <v>0</v>
      </c>
      <c r="H87" s="1439"/>
      <c r="I87" s="1439">
        <f>+'Exhibit F'!J78+'Exhibit G State'!J64</f>
        <v>4.2000000000000011</v>
      </c>
      <c r="J87" s="1439"/>
      <c r="K87" s="1439">
        <f>+'Exhibit F'!L78+'Exhibit G State'!L64</f>
        <v>1.7999999999999989</v>
      </c>
      <c r="L87" s="1439"/>
      <c r="M87" s="1439">
        <f>+'Exhibit F'!N78+'Exhibit G State'!N64</f>
        <v>0</v>
      </c>
      <c r="N87" s="1439"/>
      <c r="O87" s="3143">
        <f>+'Exhibit F'!P78+'Exhibit G State'!P64</f>
        <v>0.40000000000000036</v>
      </c>
      <c r="P87" s="1439"/>
      <c r="Q87" s="1439">
        <f>+'Exhibit F'!R78+'Exhibit G State'!R64</f>
        <v>0</v>
      </c>
      <c r="R87" s="1439"/>
      <c r="S87" s="1439">
        <f>+'Exhibit F'!T78+'Exhibit G State'!T64</f>
        <v>28.2</v>
      </c>
      <c r="T87" s="1439"/>
      <c r="U87" s="1439">
        <f>+'Exhibit F'!V78+'Exhibit G State'!V64</f>
        <v>2.5</v>
      </c>
      <c r="V87" s="1439"/>
      <c r="W87" s="1439"/>
      <c r="X87" s="1439"/>
      <c r="Y87" s="1439"/>
      <c r="Z87" s="1439"/>
      <c r="AA87" s="2771"/>
      <c r="AB87" s="3143">
        <f t="shared" si="15"/>
        <v>46.3</v>
      </c>
      <c r="AC87" s="3143"/>
      <c r="AD87" s="3394"/>
      <c r="AE87" s="3143">
        <f>+'Exhibit F'!AF78+'Exhibit G State'!AG64</f>
        <v>80.099999999999994</v>
      </c>
      <c r="AF87" s="3145"/>
      <c r="AG87" s="3145"/>
      <c r="AH87" s="3143">
        <f t="shared" si="13"/>
        <v>-33.799999999999997</v>
      </c>
      <c r="AI87" s="3101"/>
      <c r="AJ87" s="1829">
        <f>ROUND(SUM(AH87/ABS(AE87)),3)</f>
        <v>-0.42199999999999999</v>
      </c>
    </row>
    <row r="88" spans="1:36" ht="15">
      <c r="A88" s="2485" t="s">
        <v>1034</v>
      </c>
      <c r="B88" s="1440"/>
      <c r="C88" s="1439">
        <f>+'Exhibit F'!D79+'Exhibit H'!B41+'Exhibit G State'!D65</f>
        <v>9.2999999999999989</v>
      </c>
      <c r="D88" s="1439"/>
      <c r="E88" s="1439">
        <f>+'Exhibit F'!F79+'Exhibit H'!D41+'Exhibit G State'!F65</f>
        <v>2.5000000000000009</v>
      </c>
      <c r="F88" s="1439"/>
      <c r="G88" s="1439">
        <f>+'Exhibit F'!H79+'Exhibit H'!F41+'Exhibit G State'!H65</f>
        <v>3.7999999999999994</v>
      </c>
      <c r="H88" s="1439"/>
      <c r="I88" s="1439">
        <f>+'Exhibit F'!J79+'Exhibit H'!H41+'Exhibit G State'!J65</f>
        <v>3.7999999999999994</v>
      </c>
      <c r="J88" s="1439"/>
      <c r="K88" s="1439">
        <f>+'Exhibit F'!L79+'Exhibit H'!J41+'Exhibit G State'!L65</f>
        <v>1.7000000000000015</v>
      </c>
      <c r="L88" s="1439"/>
      <c r="M88" s="1439">
        <f>+'Exhibit F'!N79+'Exhibit H'!L41+'Exhibit G State'!N65</f>
        <v>4.6999999999999993</v>
      </c>
      <c r="N88" s="1439"/>
      <c r="O88" s="3143">
        <f>+'Exhibit F'!P79+'Exhibit H'!N41+'Exhibit G State'!P65</f>
        <v>3.4000000000000021</v>
      </c>
      <c r="P88" s="1439"/>
      <c r="Q88" s="1439">
        <f>+'Exhibit F'!R79+'Exhibit H'!P41+'Exhibit G State'!R65</f>
        <v>3.4999999999999942</v>
      </c>
      <c r="R88" s="1439"/>
      <c r="S88" s="1439">
        <f>+'Exhibit F'!T79+'Exhibit H'!R41+'Exhibit G State'!T65</f>
        <v>5.1000000000000014</v>
      </c>
      <c r="T88" s="1439"/>
      <c r="U88" s="1439">
        <f>+'Exhibit F'!V79+'Exhibit H'!T41+'Exhibit G State'!V65</f>
        <v>4.0000000000000044</v>
      </c>
      <c r="V88" s="1439"/>
      <c r="W88" s="1439"/>
      <c r="X88" s="1439"/>
      <c r="Y88" s="1439"/>
      <c r="Z88" s="1439"/>
      <c r="AA88" s="2771"/>
      <c r="AB88" s="3143">
        <f t="shared" si="15"/>
        <v>41.8</v>
      </c>
      <c r="AC88" s="3143"/>
      <c r="AD88" s="3394"/>
      <c r="AE88" s="3143">
        <f>+'Exhibit F'!AF79+'Exhibit H'!AD41+'Exhibit G State'!AG65</f>
        <v>62.5</v>
      </c>
      <c r="AF88" s="3145"/>
      <c r="AG88" s="3145"/>
      <c r="AH88" s="3143">
        <f t="shared" si="13"/>
        <v>-20.7</v>
      </c>
      <c r="AI88" s="3101"/>
      <c r="AJ88" s="1829">
        <f>ROUND(SUM(AH88/ABS(AE88)),3)</f>
        <v>-0.33100000000000002</v>
      </c>
    </row>
    <row r="89" spans="1:36" ht="15">
      <c r="A89" s="2485" t="s">
        <v>1035</v>
      </c>
      <c r="B89" s="1440"/>
      <c r="C89" s="1439">
        <f>+'Exhibit F'!D80+'Exhibit H'!B42+'Exhibit G State'!D66</f>
        <v>-5.0999999999999996</v>
      </c>
      <c r="D89" s="1439"/>
      <c r="E89" s="1439">
        <f>+'Exhibit F'!F80+'Exhibit H'!D42+'Exhibit G State'!F66</f>
        <v>-42.800000000000004</v>
      </c>
      <c r="F89" s="1439"/>
      <c r="G89" s="1439">
        <f>+'Exhibit F'!H80+'Exhibit H'!F42+'Exhibit G State'!H66</f>
        <v>-0.29999999999999855</v>
      </c>
      <c r="H89" s="1439"/>
      <c r="I89" s="1439">
        <f>+'Exhibit F'!J80+'Exhibit H'!H42+'Exhibit G State'!J66</f>
        <v>1.9999999999999987</v>
      </c>
      <c r="J89" s="1439"/>
      <c r="K89" s="1439">
        <f>+'Exhibit F'!L80+'Exhibit H'!J42+'Exhibit G State'!L66</f>
        <v>4.0000000000000044</v>
      </c>
      <c r="L89" s="1439"/>
      <c r="M89" s="1439">
        <f>+'Exhibit F'!N80+'Exhibit H'!L42+'Exhibit G State'!N66</f>
        <v>34.700000000000003</v>
      </c>
      <c r="N89" s="1439"/>
      <c r="O89" s="3143">
        <f>+'Exhibit F'!P80+'Exhibit H'!N42+'Exhibit G State'!P66</f>
        <v>60.999999999999993</v>
      </c>
      <c r="P89" s="1439"/>
      <c r="Q89" s="1439">
        <f>+'Exhibit F'!R80+'Exhibit H'!P42+'Exhibit G State'!R66</f>
        <v>11.599999999999991</v>
      </c>
      <c r="R89" s="1439"/>
      <c r="S89" s="1439">
        <f>+'Exhibit F'!T80+'Exhibit H'!R42+'Exhibit G State'!T66</f>
        <v>7.600000000000005</v>
      </c>
      <c r="T89" s="1439"/>
      <c r="U89" s="1439">
        <f>+'Exhibit F'!V80+'Exhibit H'!T42+'Exhibit G State'!V66</f>
        <v>29.400000000000013</v>
      </c>
      <c r="V89" s="1439"/>
      <c r="W89" s="1439"/>
      <c r="X89" s="1439"/>
      <c r="Y89" s="1439"/>
      <c r="Z89" s="1439"/>
      <c r="AA89" s="2771"/>
      <c r="AB89" s="3143">
        <f t="shared" si="15"/>
        <v>102.1</v>
      </c>
      <c r="AC89" s="3143"/>
      <c r="AD89" s="3394"/>
      <c r="AE89" s="3143">
        <f>+'Exhibit F'!AF80+'Exhibit H'!AD42+'Exhibit G State'!AG66</f>
        <v>268.60000000000002</v>
      </c>
      <c r="AF89" s="3145"/>
      <c r="AG89" s="3145"/>
      <c r="AH89" s="3143">
        <f t="shared" si="13"/>
        <v>-166.5</v>
      </c>
      <c r="AI89" s="3101"/>
      <c r="AJ89" s="1829">
        <f>ROUND(SUM(AH89/ABS(AE89)),3)</f>
        <v>-0.62</v>
      </c>
    </row>
    <row r="90" spans="1:36" ht="15">
      <c r="A90" s="2485" t="s">
        <v>1138</v>
      </c>
      <c r="B90" s="1440"/>
      <c r="C90" s="1439"/>
      <c r="D90" s="1439"/>
      <c r="E90" s="1439"/>
      <c r="F90" s="1439"/>
      <c r="G90" s="1439"/>
      <c r="H90" s="1439"/>
      <c r="I90" s="1439"/>
      <c r="J90" s="1439"/>
      <c r="K90" s="1439"/>
      <c r="L90" s="1439"/>
      <c r="M90" s="1439"/>
      <c r="N90" s="1439"/>
      <c r="O90" s="3143"/>
      <c r="P90" s="1439"/>
      <c r="Q90" s="1439"/>
      <c r="R90" s="1439"/>
      <c r="S90" s="1439"/>
      <c r="T90" s="1439"/>
      <c r="U90" s="1439"/>
      <c r="V90" s="1439"/>
      <c r="W90" s="1439"/>
      <c r="X90" s="1439"/>
      <c r="Y90" s="1439"/>
      <c r="Z90" s="1439"/>
      <c r="AA90" s="2771"/>
      <c r="AB90" s="3143"/>
      <c r="AC90" s="3143"/>
      <c r="AD90" s="3394"/>
      <c r="AE90" s="3143"/>
      <c r="AF90" s="3145"/>
      <c r="AG90" s="3145"/>
      <c r="AH90" s="3143"/>
      <c r="AI90" s="3101"/>
      <c r="AJ90" s="1724"/>
    </row>
    <row r="91" spans="1:36" ht="15">
      <c r="A91" s="2485" t="s">
        <v>1036</v>
      </c>
      <c r="B91" s="1440"/>
      <c r="C91" s="1439">
        <f>+'Exhibit F'!D82+'Exhibit G State'!D68</f>
        <v>25</v>
      </c>
      <c r="D91" s="1439"/>
      <c r="E91" s="1439">
        <f>+'Exhibit F'!F82+'Exhibit G State'!F68</f>
        <v>8.8000000000000007</v>
      </c>
      <c r="F91" s="1439"/>
      <c r="G91" s="1439">
        <f>+'Exhibit F'!H82+'Exhibit G State'!H68</f>
        <v>25.399999999999995</v>
      </c>
      <c r="H91" s="1439"/>
      <c r="I91" s="1439">
        <f>+'Exhibit F'!J82+'Exhibit G State'!J68</f>
        <v>9.100000000000005</v>
      </c>
      <c r="J91" s="1439"/>
      <c r="K91" s="1439">
        <f>+'Exhibit F'!L82+'Exhibit G State'!L68</f>
        <v>8.8999999999999968</v>
      </c>
      <c r="L91" s="1439"/>
      <c r="M91" s="1439">
        <f>+'Exhibit F'!N82+'Exhibit G State'!N68</f>
        <v>25.600000000000009</v>
      </c>
      <c r="N91" s="1439"/>
      <c r="O91" s="3143">
        <f>+'Exhibit F'!P82+'Exhibit G State'!P68</f>
        <v>24.5</v>
      </c>
      <c r="P91" s="1439"/>
      <c r="Q91" s="1439">
        <f>+'Exhibit F'!R82+'Exhibit G State'!R68</f>
        <v>8.7999999999999829</v>
      </c>
      <c r="R91" s="1439"/>
      <c r="S91" s="1439">
        <f>+'Exhibit F'!T82+'Exhibit G State'!T68</f>
        <v>22.60000000000003</v>
      </c>
      <c r="T91" s="1439"/>
      <c r="U91" s="1439">
        <f>+'Exhibit F'!V82+'Exhibit G State'!V68</f>
        <v>8.2999999999999972</v>
      </c>
      <c r="V91" s="1439"/>
      <c r="W91" s="1439"/>
      <c r="X91" s="1439"/>
      <c r="Y91" s="1439"/>
      <c r="Z91" s="1439"/>
      <c r="AA91" s="2771"/>
      <c r="AB91" s="3143">
        <f t="shared" ref="AB91:AB102" si="16">ROUND(SUM(C91:Y91),1)</f>
        <v>167</v>
      </c>
      <c r="AC91" s="3143"/>
      <c r="AD91" s="3394"/>
      <c r="AE91" s="3143">
        <f>+'Exhibit F'!AF82+'Exhibit G State'!AG68</f>
        <v>175.8</v>
      </c>
      <c r="AF91" s="3145"/>
      <c r="AG91" s="3145"/>
      <c r="AH91" s="3143">
        <f t="shared" si="13"/>
        <v>-8.8000000000000007</v>
      </c>
      <c r="AI91" s="3101"/>
      <c r="AJ91" s="1829">
        <f>ROUND(SUM(AH91/ABS(AE91)),3)</f>
        <v>-0.05</v>
      </c>
    </row>
    <row r="92" spans="1:36" ht="15">
      <c r="A92" s="2485" t="s">
        <v>1037</v>
      </c>
      <c r="B92" s="1440"/>
      <c r="C92" s="1439">
        <f>+'Exhibit G State'!D69+'Exhibit F'!D83</f>
        <v>0.60000000000000009</v>
      </c>
      <c r="D92" s="1439"/>
      <c r="E92" s="1439">
        <f>+'Exhibit G State'!F69+'Exhibit F'!F83</f>
        <v>-0.30000000000000004</v>
      </c>
      <c r="F92" s="1439"/>
      <c r="G92" s="1439">
        <f>+'Exhibit G State'!H69+'Exhibit F'!H83</f>
        <v>0.2</v>
      </c>
      <c r="H92" s="1439"/>
      <c r="I92" s="1439">
        <f>+'Exhibit G State'!J69+'Exhibit F'!J83</f>
        <v>0.19999999999999785</v>
      </c>
      <c r="J92" s="1439"/>
      <c r="K92" s="1439">
        <f>ROUND(SUM(+'Exhibit G State'!L69+'Exhibit F'!L83),0)</f>
        <v>0</v>
      </c>
      <c r="L92" s="1439"/>
      <c r="M92" s="1439">
        <f>+'Exhibit G State'!N69+'Exhibit F'!N83</f>
        <v>1.3000000000000007</v>
      </c>
      <c r="N92" s="1439"/>
      <c r="O92" s="3143">
        <f>+'Exhibit G State'!P69+'Exhibit F'!P83</f>
        <v>0.19999999999999174</v>
      </c>
      <c r="P92" s="1439"/>
      <c r="Q92" s="1439">
        <f>+'Exhibit G State'!R69+'Exhibit F'!R83</f>
        <v>0.90000000000001146</v>
      </c>
      <c r="R92" s="1439"/>
      <c r="S92" s="1439">
        <f>+'Exhibit G State'!T69+'Exhibit F'!T83</f>
        <v>14.2</v>
      </c>
      <c r="T92" s="1439"/>
      <c r="U92" s="1439">
        <f>+'Exhibit G State'!V69+'Exhibit F'!V83</f>
        <v>1.1999999999999829</v>
      </c>
      <c r="V92" s="1439"/>
      <c r="W92" s="1439"/>
      <c r="X92" s="1439"/>
      <c r="Y92" s="1439"/>
      <c r="Z92" s="1439"/>
      <c r="AA92" s="2771"/>
      <c r="AB92" s="3143">
        <f t="shared" si="16"/>
        <v>18.5</v>
      </c>
      <c r="AC92" s="3143"/>
      <c r="AD92" s="3394"/>
      <c r="AE92" s="3143">
        <f>+'Exhibit G State'!AG69+'Exhibit F'!AF83</f>
        <v>20.299999999999997</v>
      </c>
      <c r="AF92" s="3145"/>
      <c r="AG92" s="3145"/>
      <c r="AH92" s="3143">
        <f t="shared" si="13"/>
        <v>-1.8</v>
      </c>
      <c r="AI92" s="3101"/>
      <c r="AJ92" s="1729">
        <f>ROUND(IF(AE92=0,1,AH92/ABS(AE92)),3)</f>
        <v>-8.8999999999999996E-2</v>
      </c>
    </row>
    <row r="93" spans="1:36" ht="15">
      <c r="A93" s="892" t="s">
        <v>1373</v>
      </c>
      <c r="B93" s="1440"/>
      <c r="C93" s="1439">
        <v>0</v>
      </c>
      <c r="D93" s="1439"/>
      <c r="E93" s="1439">
        <v>0</v>
      </c>
      <c r="F93" s="1439"/>
      <c r="G93" s="1439">
        <v>0</v>
      </c>
      <c r="H93" s="1439"/>
      <c r="I93" s="1439">
        <v>0</v>
      </c>
      <c r="J93" s="1439"/>
      <c r="K93" s="1439">
        <v>0</v>
      </c>
      <c r="L93" s="1439"/>
      <c r="M93" s="1439">
        <v>0</v>
      </c>
      <c r="N93" s="1439"/>
      <c r="O93" s="3143">
        <v>0</v>
      </c>
      <c r="P93" s="1439"/>
      <c r="Q93" s="1439">
        <v>0</v>
      </c>
      <c r="R93" s="1439"/>
      <c r="S93" s="1439">
        <f>'Exhibit G'!T70</f>
        <v>68</v>
      </c>
      <c r="T93" s="1439"/>
      <c r="U93" s="1439">
        <f>'Exhibit G'!V70</f>
        <v>50</v>
      </c>
      <c r="V93" s="1439"/>
      <c r="W93" s="1439"/>
      <c r="X93" s="1439"/>
      <c r="Y93" s="1439"/>
      <c r="Z93" s="1439"/>
      <c r="AA93" s="2771"/>
      <c r="AB93" s="3143">
        <f t="shared" si="16"/>
        <v>118</v>
      </c>
      <c r="AC93" s="3143"/>
      <c r="AD93" s="3394"/>
      <c r="AE93" s="3143">
        <f>+'Exhibit G State'!AG70</f>
        <v>468</v>
      </c>
      <c r="AF93" s="3145"/>
      <c r="AG93" s="3145"/>
      <c r="AH93" s="3143">
        <f t="shared" ref="AH93" si="17">ROUND(SUM(AB93-AE93),1)</f>
        <v>-350</v>
      </c>
      <c r="AI93" s="3101"/>
      <c r="AJ93" s="1724">
        <f>ROUND(IF(AE93=0,1,AH93/ABS(AE93)),3)</f>
        <v>-0.748</v>
      </c>
    </row>
    <row r="94" spans="1:36" ht="15">
      <c r="A94" s="2485" t="s">
        <v>1038</v>
      </c>
      <c r="B94" s="1440"/>
      <c r="C94" s="1439">
        <f>+'Exhibit F'!D84+'Exhibit G State'!D71</f>
        <v>0.6</v>
      </c>
      <c r="D94" s="1439"/>
      <c r="E94" s="1439">
        <f>+'Exhibit F'!F84+'Exhibit G State'!F71</f>
        <v>1.5</v>
      </c>
      <c r="F94" s="1439"/>
      <c r="G94" s="1439">
        <f>+'Exhibit F'!H84+'Exhibit G State'!H71</f>
        <v>22.099999999999998</v>
      </c>
      <c r="H94" s="1439"/>
      <c r="I94" s="1439">
        <f>+'Exhibit F'!J84+'Exhibit G State'!J71</f>
        <v>0.69999999999999929</v>
      </c>
      <c r="J94" s="1439"/>
      <c r="K94" s="1439">
        <f>+'Exhibit F'!L84+'Exhibit G State'!L71</f>
        <v>0.60000000000000142</v>
      </c>
      <c r="L94" s="1439"/>
      <c r="M94" s="1439">
        <f>+'Exhibit F'!N84+'Exhibit G State'!N71</f>
        <v>0.5</v>
      </c>
      <c r="N94" s="1439"/>
      <c r="O94" s="3143">
        <f>+'Exhibit F'!P84+'Exhibit G State'!P71</f>
        <v>5.1000000000000014</v>
      </c>
      <c r="P94" s="1439"/>
      <c r="Q94" s="1439">
        <f>+'Exhibit F'!R84+'Exhibit G State'!R71</f>
        <v>0.29999999999999716</v>
      </c>
      <c r="R94" s="1439"/>
      <c r="S94" s="1439">
        <f>+'Exhibit F'!T84+'Exhibit G State'!T71</f>
        <v>1.7000000000000028</v>
      </c>
      <c r="T94" s="1439"/>
      <c r="U94" s="1439">
        <f>+'Exhibit F'!V84+'Exhibit G State'!V71</f>
        <v>0.10000000000000142</v>
      </c>
      <c r="V94" s="1439"/>
      <c r="W94" s="1439"/>
      <c r="X94" s="1439"/>
      <c r="Y94" s="1439"/>
      <c r="Z94" s="1439"/>
      <c r="AA94" s="2771"/>
      <c r="AB94" s="3143">
        <f t="shared" si="16"/>
        <v>33.200000000000003</v>
      </c>
      <c r="AC94" s="3143"/>
      <c r="AD94" s="3394"/>
      <c r="AE94" s="3143">
        <f>+'Exhibit F'!AF84+'Exhibit G State'!AG71</f>
        <v>6.9</v>
      </c>
      <c r="AF94" s="3145"/>
      <c r="AG94" s="3145"/>
      <c r="AH94" s="3143">
        <f t="shared" si="13"/>
        <v>26.3</v>
      </c>
      <c r="AI94" s="3101"/>
      <c r="AJ94" s="1829">
        <f t="shared" ref="AJ94:AJ101" si="18">ROUND(SUM(AH94/ABS(AE94)),3)</f>
        <v>3.8119999999999998</v>
      </c>
    </row>
    <row r="95" spans="1:36" ht="15">
      <c r="A95" s="2485" t="s">
        <v>1039</v>
      </c>
      <c r="B95" s="1440"/>
      <c r="C95" s="1439">
        <f>+'Exhibit F'!D85+'Exhibit G State'!D72</f>
        <v>5.5</v>
      </c>
      <c r="D95" s="1439"/>
      <c r="E95" s="1439">
        <f>+'Exhibit F'!F85+'Exhibit G State'!F72</f>
        <v>5.4</v>
      </c>
      <c r="F95" s="1439"/>
      <c r="G95" s="1439">
        <f>+'Exhibit F'!H85+'Exhibit G State'!H72</f>
        <v>7.4</v>
      </c>
      <c r="H95" s="1439"/>
      <c r="I95" s="1439">
        <f>+'Exhibit F'!J85+'Exhibit G State'!J72</f>
        <v>5.8999999999999986</v>
      </c>
      <c r="J95" s="1439"/>
      <c r="K95" s="1439">
        <f>+'Exhibit F'!L85+'Exhibit G State'!L72</f>
        <v>6.1</v>
      </c>
      <c r="L95" s="1439"/>
      <c r="M95" s="1439">
        <f>+'Exhibit F'!N85+'Exhibit G State'!N72</f>
        <v>5.7000000000000046</v>
      </c>
      <c r="N95" s="1439"/>
      <c r="O95" s="3143">
        <f>+'Exhibit F'!P85+'Exhibit G State'!P72</f>
        <v>5</v>
      </c>
      <c r="P95" s="1439"/>
      <c r="Q95" s="1439">
        <f>+'Exhibit F'!R85+'Exhibit G State'!R72</f>
        <v>5.4999999999999982</v>
      </c>
      <c r="R95" s="1439"/>
      <c r="S95" s="1439">
        <f>+'Exhibit F'!T85+'Exhibit G State'!T72</f>
        <v>8.7000000000000046</v>
      </c>
      <c r="T95" s="1439"/>
      <c r="U95" s="1439">
        <f>+'Exhibit F'!V85+'Exhibit G State'!V72</f>
        <v>6.2999999999999972</v>
      </c>
      <c r="V95" s="1439"/>
      <c r="W95" s="1439"/>
      <c r="X95" s="1439"/>
      <c r="Y95" s="1439"/>
      <c r="Z95" s="1439"/>
      <c r="AA95" s="2771"/>
      <c r="AB95" s="3143">
        <f t="shared" si="16"/>
        <v>61.5</v>
      </c>
      <c r="AC95" s="3143"/>
      <c r="AD95" s="3394"/>
      <c r="AE95" s="3143">
        <f>+'Exhibit F'!AF85+'Exhibit G State'!AG72</f>
        <v>71.400000000000006</v>
      </c>
      <c r="AF95" s="3145"/>
      <c r="AG95" s="3145"/>
      <c r="AH95" s="3143">
        <f t="shared" si="13"/>
        <v>-9.9</v>
      </c>
      <c r="AI95" s="3101"/>
      <c r="AJ95" s="1818">
        <f t="shared" si="18"/>
        <v>-0.13900000000000001</v>
      </c>
    </row>
    <row r="96" spans="1:36" ht="15">
      <c r="A96" s="2485" t="s">
        <v>1040</v>
      </c>
      <c r="B96" s="1440"/>
      <c r="C96" s="1439">
        <f>+'Exhibit F'!D86+'Exhibit H'!B44+'Exhibit G State'!D73</f>
        <v>526.5</v>
      </c>
      <c r="D96" s="1439"/>
      <c r="E96" s="1439">
        <f>+'Exhibit F'!F86+'Exhibit H'!D44+'Exhibit G State'!F73</f>
        <v>372.80000000000007</v>
      </c>
      <c r="F96" s="1439"/>
      <c r="G96" s="1439">
        <f>+'Exhibit F'!H86+'Exhibit H'!F44+'Exhibit G State'!H73</f>
        <v>350.59999999999997</v>
      </c>
      <c r="H96" s="1439"/>
      <c r="I96" s="1439">
        <f>+'Exhibit F'!J86+'Exhibit H'!H44+'Exhibit G State'!J73</f>
        <v>227.49999999999994</v>
      </c>
      <c r="J96" s="1439"/>
      <c r="K96" s="1439">
        <f>+'Exhibit F'!L86+'Exhibit H'!J44+'Exhibit G State'!L73</f>
        <v>221.80000000000007</v>
      </c>
      <c r="L96" s="1439"/>
      <c r="M96" s="1439">
        <f>+'Exhibit F'!N86+'Exhibit H'!L44+'Exhibit G State'!N73</f>
        <v>78.999999999999915</v>
      </c>
      <c r="N96" s="1439"/>
      <c r="O96" s="3143">
        <f>+'Exhibit F'!P86+'Exhibit H'!N44+'Exhibit G State'!P73</f>
        <v>291.40000000000009</v>
      </c>
      <c r="P96" s="1439"/>
      <c r="Q96" s="1439">
        <f>+'Exhibit F'!R86+'Exhibit H'!P44+'Exhibit G State'!R73</f>
        <v>187.10000000000011</v>
      </c>
      <c r="R96" s="1439"/>
      <c r="S96" s="1439">
        <f>+'Exhibit F'!T86+'Exhibit H'!R44+'Exhibit G State'!T73</f>
        <v>371.4</v>
      </c>
      <c r="T96" s="1439"/>
      <c r="U96" s="1439">
        <f>+'Exhibit F'!V86+'Exhibit H'!T44+'Exhibit G State'!V73</f>
        <v>208.10000000000011</v>
      </c>
      <c r="V96" s="1439"/>
      <c r="W96" s="1439"/>
      <c r="X96" s="1439"/>
      <c r="Y96" s="1439"/>
      <c r="Z96" s="1439"/>
      <c r="AA96" s="2771"/>
      <c r="AB96" s="3143">
        <f t="shared" si="16"/>
        <v>2836.2</v>
      </c>
      <c r="AC96" s="3143"/>
      <c r="AD96" s="3394"/>
      <c r="AE96" s="3143">
        <f>+'Exhibit F'!AF86+'Exhibit H'!AD44+'Exhibit G State'!AG73</f>
        <v>2120.1</v>
      </c>
      <c r="AF96" s="3145"/>
      <c r="AG96" s="3145"/>
      <c r="AH96" s="3143">
        <f t="shared" si="13"/>
        <v>716.1</v>
      </c>
      <c r="AI96" s="3101"/>
      <c r="AJ96" s="1818">
        <f t="shared" si="18"/>
        <v>0.33800000000000002</v>
      </c>
    </row>
    <row r="97" spans="1:45" ht="15">
      <c r="A97" s="2485" t="s">
        <v>1041</v>
      </c>
      <c r="B97" s="1440"/>
      <c r="C97" s="1439">
        <f>+'Exhibit G State'!D74+'Exhibit F'!D87</f>
        <v>0.1</v>
      </c>
      <c r="D97" s="1439"/>
      <c r="E97" s="1439">
        <f>+'Exhibit G State'!F74+'Exhibit F'!F87</f>
        <v>6.6000000000000005</v>
      </c>
      <c r="F97" s="1439"/>
      <c r="G97" s="1439">
        <f>+'Exhibit G State'!H74+'Exhibit F'!H87</f>
        <v>5.6999999999999993</v>
      </c>
      <c r="H97" s="1439"/>
      <c r="I97" s="1439">
        <f>+'Exhibit G State'!J74+'Exhibit F'!J87</f>
        <v>10.199999999999998</v>
      </c>
      <c r="J97" s="1439"/>
      <c r="K97" s="1439">
        <f>+'Exhibit G State'!L74+'Exhibit F'!L87</f>
        <v>5.3000000000000007</v>
      </c>
      <c r="L97" s="1439"/>
      <c r="M97" s="1439">
        <f>+'Exhibit G State'!N74+'Exhibit F'!N87</f>
        <v>4.9999999999999982</v>
      </c>
      <c r="N97" s="1439"/>
      <c r="O97" s="3143">
        <f>+'Exhibit G State'!P74+'Exhibit F'!P87</f>
        <v>2.3000000000000003</v>
      </c>
      <c r="P97" s="1439"/>
      <c r="Q97" s="1439">
        <f>+'Exhibit G State'!R74+'Exhibit F'!R87</f>
        <v>6.4000000000000039</v>
      </c>
      <c r="R97" s="1439"/>
      <c r="S97" s="1439">
        <f>+'Exhibit G State'!T74+'Exhibit F'!T87</f>
        <v>4.7999999999999989</v>
      </c>
      <c r="T97" s="1439"/>
      <c r="U97" s="1439">
        <f>+'Exhibit G State'!V74+'Exhibit F'!V87</f>
        <v>3.7000000000000028</v>
      </c>
      <c r="V97" s="1439"/>
      <c r="W97" s="1439"/>
      <c r="X97" s="1439"/>
      <c r="Y97" s="1439"/>
      <c r="Z97" s="1439"/>
      <c r="AA97" s="2771"/>
      <c r="AB97" s="3143">
        <f t="shared" si="16"/>
        <v>50.1</v>
      </c>
      <c r="AC97" s="3143"/>
      <c r="AD97" s="3394"/>
      <c r="AE97" s="3143">
        <f>+'Exhibit G State'!AG74+'Exhibit F'!AF87</f>
        <v>58.699999999999996</v>
      </c>
      <c r="AF97" s="3145"/>
      <c r="AG97" s="3145"/>
      <c r="AH97" s="3143">
        <f t="shared" si="13"/>
        <v>-8.6</v>
      </c>
      <c r="AI97" s="3101"/>
      <c r="AJ97" s="1818">
        <f t="shared" si="18"/>
        <v>-0.14699999999999999</v>
      </c>
    </row>
    <row r="98" spans="1:45" ht="15">
      <c r="A98" s="2485" t="s">
        <v>1042</v>
      </c>
      <c r="B98" s="1440"/>
      <c r="C98" s="1439">
        <f>+'Exhibit F'!D88+'Exhibit G State'!D75</f>
        <v>3.9000000000000004</v>
      </c>
      <c r="D98" s="1439"/>
      <c r="E98" s="1439">
        <f>+'Exhibit F'!F88+'Exhibit G State'!F75</f>
        <v>0.39999999999999947</v>
      </c>
      <c r="F98" s="1439"/>
      <c r="G98" s="1439">
        <f>+'Exhibit F'!H88+'Exhibit G State'!H75</f>
        <v>0.60000000000000053</v>
      </c>
      <c r="H98" s="1439"/>
      <c r="I98" s="1439">
        <f>+'Exhibit F'!J88+'Exhibit G State'!J75</f>
        <v>0.19999999999999962</v>
      </c>
      <c r="J98" s="1439"/>
      <c r="K98" s="1439">
        <f>+'Exhibit F'!L88+'Exhibit G State'!L75</f>
        <v>41.8</v>
      </c>
      <c r="L98" s="1439"/>
      <c r="M98" s="1439">
        <f>+'Exhibit F'!N88+'Exhibit G State'!N75</f>
        <v>3.8999999999999986</v>
      </c>
      <c r="N98" s="1439"/>
      <c r="O98" s="3143">
        <f>+'Exhibit F'!P88+'Exhibit G State'!P75</f>
        <v>0.29999999999999716</v>
      </c>
      <c r="P98" s="1439"/>
      <c r="Q98" s="1439">
        <f>+'Exhibit F'!R88+'Exhibit G State'!R75</f>
        <v>0.9000000000000028</v>
      </c>
      <c r="R98" s="1439"/>
      <c r="S98" s="1439">
        <f>+'Exhibit F'!T88+'Exhibit G State'!T75</f>
        <v>1.2</v>
      </c>
      <c r="T98" s="1439"/>
      <c r="U98" s="1439">
        <f>+'Exhibit F'!V88+'Exhibit G State'!V75</f>
        <v>21.70000000000001</v>
      </c>
      <c r="V98" s="1439"/>
      <c r="W98" s="1439"/>
      <c r="X98" s="1439"/>
      <c r="Y98" s="1439"/>
      <c r="Z98" s="1439"/>
      <c r="AA98" s="2771"/>
      <c r="AB98" s="3143">
        <f t="shared" si="16"/>
        <v>74.900000000000006</v>
      </c>
      <c r="AC98" s="3143"/>
      <c r="AD98" s="3394"/>
      <c r="AE98" s="3143">
        <f>+'Exhibit F'!AF88+'Exhibit G State'!AG75</f>
        <v>51.4</v>
      </c>
      <c r="AF98" s="3145"/>
      <c r="AG98" s="3145"/>
      <c r="AH98" s="3143">
        <f t="shared" si="13"/>
        <v>23.5</v>
      </c>
      <c r="AI98" s="3101"/>
      <c r="AJ98" s="1829">
        <f t="shared" si="18"/>
        <v>0.45700000000000002</v>
      </c>
    </row>
    <row r="99" spans="1:45" ht="15">
      <c r="A99" s="2485" t="s">
        <v>1043</v>
      </c>
      <c r="B99" s="1440"/>
      <c r="C99" s="1439">
        <f>+'Exhibit F'!D89+'Exhibit G State'!D76</f>
        <v>6.1</v>
      </c>
      <c r="D99" s="1439"/>
      <c r="E99" s="1439">
        <f>+'Exhibit F'!F89+'Exhibit G State'!F76</f>
        <v>1.4000000000000004</v>
      </c>
      <c r="F99" s="1439"/>
      <c r="G99" s="1439">
        <f>+'Exhibit F'!H89+'Exhibit G State'!H76</f>
        <v>3.1999999999999993</v>
      </c>
      <c r="H99" s="1439"/>
      <c r="I99" s="1439">
        <f>+'Exhibit F'!J89+'Exhibit G State'!J76</f>
        <v>6.4000000000000021</v>
      </c>
      <c r="J99" s="1439"/>
      <c r="K99" s="1439">
        <f>+'Exhibit F'!L89+'Exhibit G State'!L76</f>
        <v>6.7999999999999972</v>
      </c>
      <c r="L99" s="1439"/>
      <c r="M99" s="1439">
        <f>+'Exhibit F'!N89+'Exhibit G State'!N76</f>
        <v>3.7000000000000028</v>
      </c>
      <c r="N99" s="1439"/>
      <c r="O99" s="3143">
        <f>+'Exhibit F'!P89+'Exhibit G State'!P76</f>
        <v>6</v>
      </c>
      <c r="P99" s="1439"/>
      <c r="Q99" s="1439">
        <f>+'Exhibit F'!R89+'Exhibit G State'!R76</f>
        <v>3.6000000000000014</v>
      </c>
      <c r="R99" s="1439"/>
      <c r="S99" s="1439">
        <f>+'Exhibit F'!T89+'Exhibit G State'!T76</f>
        <v>4.8999999999999986</v>
      </c>
      <c r="T99" s="1439"/>
      <c r="U99" s="1439">
        <f>+'Exhibit F'!V89+'Exhibit G State'!V76</f>
        <v>2.1999999999999922</v>
      </c>
      <c r="V99" s="1439"/>
      <c r="W99" s="1439"/>
      <c r="X99" s="1439"/>
      <c r="Y99" s="1439"/>
      <c r="Z99" s="1439"/>
      <c r="AA99" s="2771"/>
      <c r="AB99" s="3143">
        <f t="shared" si="16"/>
        <v>44.3</v>
      </c>
      <c r="AC99" s="3143"/>
      <c r="AD99" s="3394"/>
      <c r="AE99" s="3143">
        <f>+'Exhibit F'!AF89+'Exhibit G State'!AG76</f>
        <v>57</v>
      </c>
      <c r="AF99" s="3145"/>
      <c r="AG99" s="3145"/>
      <c r="AH99" s="3143">
        <f t="shared" si="13"/>
        <v>-12.7</v>
      </c>
      <c r="AI99" s="3101"/>
      <c r="AJ99" s="1818">
        <f t="shared" si="18"/>
        <v>-0.223</v>
      </c>
    </row>
    <row r="100" spans="1:45" ht="15">
      <c r="A100" s="2485" t="s">
        <v>1044</v>
      </c>
      <c r="B100" s="1440"/>
      <c r="C100" s="1439">
        <f>+'Exhibit F'!D90+'Exhibit G State'!D77+'Exhibit H'!B45</f>
        <v>-20.099999999999998</v>
      </c>
      <c r="D100" s="1439"/>
      <c r="E100" s="1439">
        <f>+'Exhibit F'!F90+'Exhibit G State'!F77+'Exhibit H'!D45</f>
        <v>8.5999999999999979</v>
      </c>
      <c r="F100" s="1439"/>
      <c r="G100" s="1439">
        <f>+'Exhibit F'!H90+'Exhibit G State'!H77+'Exhibit H'!F45</f>
        <v>18</v>
      </c>
      <c r="H100" s="1439"/>
      <c r="I100" s="1439">
        <f>+'Exhibit F'!J90+'Exhibit G State'!J77+'Exhibit H'!H45</f>
        <v>75.3</v>
      </c>
      <c r="J100" s="1439"/>
      <c r="K100" s="1439">
        <f>+'Exhibit F'!L90+'Exhibit G State'!L77+'Exhibit H'!J45</f>
        <v>45.500000000000014</v>
      </c>
      <c r="L100" s="1439"/>
      <c r="M100" s="1439">
        <f>+'Exhibit F'!N90+'Exhibit G State'!N77+'Exhibit H'!L45</f>
        <v>51.900000000000006</v>
      </c>
      <c r="N100" s="1439"/>
      <c r="O100" s="3143">
        <f>+'Exhibit F'!P90+'Exhibit G State'!P77+'Exhibit H'!N45</f>
        <v>70.900000000000006</v>
      </c>
      <c r="P100" s="1439"/>
      <c r="Q100" s="1439">
        <f>+'Exhibit F'!R90+'Exhibit G State'!R77+'Exhibit H'!P45</f>
        <v>41.499999999999922</v>
      </c>
      <c r="R100" s="1439"/>
      <c r="S100" s="1439">
        <f>+'Exhibit F'!T90+'Exhibit G State'!T77+'Exhibit H'!R45</f>
        <v>39.200000000000003</v>
      </c>
      <c r="T100" s="1439"/>
      <c r="U100" s="1439">
        <f>+'Exhibit F'!V90+'Exhibit G State'!V77+'Exhibit H'!T45</f>
        <v>63.100000000000023</v>
      </c>
      <c r="V100" s="1439"/>
      <c r="W100" s="1439"/>
      <c r="X100" s="1439"/>
      <c r="Y100" s="1439"/>
      <c r="Z100" s="1439"/>
      <c r="AA100" s="2771"/>
      <c r="AB100" s="3143">
        <f t="shared" si="16"/>
        <v>393.9</v>
      </c>
      <c r="AC100" s="3143"/>
      <c r="AD100" s="3394"/>
      <c r="AE100" s="3143">
        <f>+'Exhibit F'!AF90+'Exhibit G State'!AG77+'Exhibit H'!AD45</f>
        <v>504.50000000000006</v>
      </c>
      <c r="AF100" s="3145"/>
      <c r="AG100" s="3145"/>
      <c r="AH100" s="3143">
        <f t="shared" si="13"/>
        <v>-110.6</v>
      </c>
      <c r="AI100" s="3101"/>
      <c r="AJ100" s="1818">
        <f t="shared" si="18"/>
        <v>-0.219</v>
      </c>
    </row>
    <row r="101" spans="1:45" ht="15">
      <c r="A101" s="2485" t="s">
        <v>1045</v>
      </c>
      <c r="B101" s="1440"/>
      <c r="C101" s="1439">
        <f>+'Exhibit F'!D91+'Exhibit G State'!D78+'Exhibit H'!B46</f>
        <v>0.5</v>
      </c>
      <c r="D101" s="1439"/>
      <c r="E101" s="1439">
        <f>+'Exhibit F'!F91+'Exhibit G State'!F78+'Exhibit H'!D46</f>
        <v>0.60000000000000009</v>
      </c>
      <c r="F101" s="1439"/>
      <c r="G101" s="1439">
        <f>+'Exhibit F'!H91+'Exhibit G State'!H78+'Exhibit H'!F46</f>
        <v>2.5999999999999996</v>
      </c>
      <c r="H101" s="1439"/>
      <c r="I101" s="1439">
        <f>+'Exhibit F'!J91+'Exhibit G State'!J78+'Exhibit H'!H46</f>
        <v>3</v>
      </c>
      <c r="J101" s="1439"/>
      <c r="K101" s="1439">
        <f>+'Exhibit F'!L91+'Exhibit G State'!L78+'Exhibit H'!J46</f>
        <v>0.5</v>
      </c>
      <c r="L101" s="1439"/>
      <c r="M101" s="1439">
        <f>+'Exhibit F'!N91+'Exhibit G State'!N78+'Exhibit H'!L46</f>
        <v>0.60000000000000009</v>
      </c>
      <c r="N101" s="1439"/>
      <c r="O101" s="3143">
        <f>+'Exhibit F'!P91+'Exhibit G State'!P78+'Exhibit H'!N46</f>
        <v>1.7999999999999998</v>
      </c>
      <c r="P101" s="1439"/>
      <c r="Q101" s="1439">
        <f>+'Exhibit F'!R91+'Exhibit G State'!R78+'Exhibit H'!P46</f>
        <v>0.79999999999999938</v>
      </c>
      <c r="R101" s="1439"/>
      <c r="S101" s="1439">
        <f>+'Exhibit F'!T91+'Exhibit G State'!T78+'Exhibit H'!R46</f>
        <v>0.60000000000000142</v>
      </c>
      <c r="T101" s="1439"/>
      <c r="U101" s="1439">
        <f>+'Exhibit F'!V91+'Exhibit G State'!V78+'Exhibit H'!T46</f>
        <v>1.0999999999999996</v>
      </c>
      <c r="V101" s="1439"/>
      <c r="W101" s="1439"/>
      <c r="X101" s="1439"/>
      <c r="Y101" s="1439"/>
      <c r="Z101" s="1439"/>
      <c r="AA101" s="2771"/>
      <c r="AB101" s="3143">
        <f t="shared" si="16"/>
        <v>12.1</v>
      </c>
      <c r="AC101" s="3143"/>
      <c r="AD101" s="3394"/>
      <c r="AE101" s="3143">
        <f>+'Exhibit F'!AF91+'Exhibit G State'!AG78+'Exhibit H'!AD46</f>
        <v>14.9</v>
      </c>
      <c r="AF101" s="3145"/>
      <c r="AG101" s="3145"/>
      <c r="AH101" s="3143">
        <f t="shared" si="13"/>
        <v>-2.8</v>
      </c>
      <c r="AI101" s="3101"/>
      <c r="AJ101" s="1818">
        <f t="shared" si="18"/>
        <v>-0.188</v>
      </c>
    </row>
    <row r="102" spans="1:45" ht="15">
      <c r="A102" s="2485" t="s">
        <v>1046</v>
      </c>
      <c r="B102" s="1440"/>
      <c r="C102" s="1439">
        <f>+'Exhibit G State'!D79</f>
        <v>-67.5</v>
      </c>
      <c r="D102" s="1439"/>
      <c r="E102" s="1439">
        <f>+'Exhibit G State'!F79</f>
        <v>33.6</v>
      </c>
      <c r="F102" s="1439"/>
      <c r="G102" s="1439">
        <f>+'Exhibit G State'!H79</f>
        <v>56.9</v>
      </c>
      <c r="H102" s="1439"/>
      <c r="I102" s="1439">
        <f>+'Exhibit G State'!J79</f>
        <v>50.900000000000013</v>
      </c>
      <c r="J102" s="1439"/>
      <c r="K102" s="1439">
        <f>+'Exhibit G State'!L79</f>
        <v>113.29999999999998</v>
      </c>
      <c r="L102" s="1439"/>
      <c r="M102" s="1439">
        <f>+'Exhibit G State'!N79</f>
        <v>375.69999999999993</v>
      </c>
      <c r="N102" s="1439"/>
      <c r="O102" s="3143">
        <f>+'Exhibit G State'!P79</f>
        <v>172.80000000000018</v>
      </c>
      <c r="P102" s="1439"/>
      <c r="Q102" s="1439">
        <f>+'Exhibit G State'!R79</f>
        <v>49.699999999999932</v>
      </c>
      <c r="R102" s="1439"/>
      <c r="S102" s="1439">
        <f>+'Exhibit G State'!T79</f>
        <v>-32.799999999999955</v>
      </c>
      <c r="T102" s="1439"/>
      <c r="U102" s="1439">
        <f>+'Exhibit G State'!V79</f>
        <v>150.39999999999998</v>
      </c>
      <c r="V102" s="1439"/>
      <c r="W102" s="1439"/>
      <c r="X102" s="1439"/>
      <c r="Y102" s="1439"/>
      <c r="Z102" s="1439"/>
      <c r="AA102" s="2771"/>
      <c r="AB102" s="3143">
        <f t="shared" si="16"/>
        <v>903</v>
      </c>
      <c r="AC102" s="3143"/>
      <c r="AD102" s="3394"/>
      <c r="AE102" s="3143">
        <f>+'Exhibit G State'!AG79</f>
        <v>1180.8</v>
      </c>
      <c r="AF102" s="3145"/>
      <c r="AG102" s="3145"/>
      <c r="AH102" s="3143">
        <f t="shared" si="13"/>
        <v>-277.8</v>
      </c>
      <c r="AI102" s="3101"/>
      <c r="AJ102" s="1818">
        <f>ROUND(SUM(AH102/ABS(AE102)),3)</f>
        <v>-0.23499999999999999</v>
      </c>
    </row>
    <row r="103" spans="1:45" ht="15.75">
      <c r="A103" s="2473" t="s">
        <v>1080</v>
      </c>
      <c r="B103" s="2428"/>
      <c r="C103" s="2042">
        <f>ROUND(SUM(C62:C102),1)</f>
        <v>1431.2</v>
      </c>
      <c r="D103" s="2489"/>
      <c r="E103" s="2042">
        <f>ROUND(SUM(E62:E102),1)</f>
        <v>2321.8000000000002</v>
      </c>
      <c r="F103" s="2489"/>
      <c r="G103" s="2042">
        <f>ROUND(SUM(G62:G102),1)</f>
        <v>5133</v>
      </c>
      <c r="H103" s="1461"/>
      <c r="I103" s="2042">
        <f>ROUND(SUM(I62:I102),1)</f>
        <v>1602.6</v>
      </c>
      <c r="J103" s="1461"/>
      <c r="K103" s="2042">
        <f>ROUND(SUM(K62:K102),1)</f>
        <v>1399.1</v>
      </c>
      <c r="L103" s="1461"/>
      <c r="M103" s="2042">
        <f>ROUND(SUM(M62:M102),1)</f>
        <v>1955.2</v>
      </c>
      <c r="N103" s="1461"/>
      <c r="O103" s="1460">
        <f>ROUND(SUM(O62:O102),1)</f>
        <v>1843.6</v>
      </c>
      <c r="P103" s="1461"/>
      <c r="Q103" s="2042">
        <f>ROUND(SUM(Q62:Q102),1)</f>
        <v>1609.7</v>
      </c>
      <c r="R103" s="1461"/>
      <c r="S103" s="2042">
        <f>ROUND(SUM(S62:S102),1)</f>
        <v>1774.9</v>
      </c>
      <c r="T103" s="1461"/>
      <c r="U103" s="2042">
        <f>ROUND(SUM(U62:U102),1)</f>
        <v>1664.2</v>
      </c>
      <c r="V103" s="1461"/>
      <c r="W103" s="2042">
        <f>ROUND(SUM(W62:W102),1)</f>
        <v>0</v>
      </c>
      <c r="X103" s="2010"/>
      <c r="Y103" s="2042">
        <f>ROUND(SUM(Y62:Y102),1)</f>
        <v>0</v>
      </c>
      <c r="Z103" s="2010"/>
      <c r="AA103" s="2045"/>
      <c r="AB103" s="1460">
        <f>ROUND(SUM(AB62:AB102),1)</f>
        <v>20735.3</v>
      </c>
      <c r="AC103" s="2050"/>
      <c r="AD103" s="2554"/>
      <c r="AE103" s="1460">
        <f>ROUND(SUM(AE62:AE102),1)</f>
        <v>18793.8</v>
      </c>
      <c r="AF103" s="1462"/>
      <c r="AG103" s="3359"/>
      <c r="AH103" s="1460">
        <f>ROUND(SUM(AH62:AH102),1)</f>
        <v>1941.5</v>
      </c>
      <c r="AI103" s="1462"/>
      <c r="AJ103" s="1820">
        <f>ROUND(SUM(+AH103/ABS(AE103)),3)</f>
        <v>0.10299999999999999</v>
      </c>
    </row>
    <row r="104" spans="1:45" ht="15">
      <c r="A104" s="1440"/>
      <c r="B104" s="1440"/>
      <c r="C104" s="1439"/>
      <c r="D104" s="1439"/>
      <c r="E104" s="1439"/>
      <c r="F104" s="1439"/>
      <c r="G104" s="1439"/>
      <c r="H104" s="1439"/>
      <c r="I104" s="1439"/>
      <c r="J104" s="1439"/>
      <c r="K104" s="1439"/>
      <c r="L104" s="1439"/>
      <c r="M104" s="1439"/>
      <c r="N104" s="1439"/>
      <c r="O104" s="3143"/>
      <c r="P104" s="1439"/>
      <c r="Q104" s="1439"/>
      <c r="R104" s="1439"/>
      <c r="S104" s="1439"/>
      <c r="T104" s="1439"/>
      <c r="U104" s="1439"/>
      <c r="V104" s="1439"/>
      <c r="W104" s="1439"/>
      <c r="X104" s="1439"/>
      <c r="Y104" s="1439"/>
      <c r="Z104" s="1439"/>
      <c r="AA104" s="2770"/>
      <c r="AB104" s="3143"/>
      <c r="AC104" s="3145"/>
      <c r="AD104" s="3396"/>
      <c r="AE104" s="3143"/>
      <c r="AF104" s="3145"/>
      <c r="AG104" s="3145"/>
      <c r="AH104" s="3143"/>
      <c r="AI104" s="3101"/>
      <c r="AJ104" s="1818"/>
    </row>
    <row r="105" spans="1:45" ht="15">
      <c r="A105" s="1440" t="s">
        <v>21</v>
      </c>
      <c r="B105" s="1440"/>
      <c r="C105" s="2772">
        <f>+'Exhibit F'!D94+'Exhibit G State'!D82+'Exhibit H'!B49</f>
        <v>0</v>
      </c>
      <c r="D105" s="1439"/>
      <c r="E105" s="2772">
        <f>+'Exhibit F'!F94+'Exhibit G State'!F82+'Exhibit H'!D49</f>
        <v>0</v>
      </c>
      <c r="F105" s="1439"/>
      <c r="G105" s="2772">
        <f>+'Exhibit F'!H94+'Exhibit G State'!H82+'Exhibit H'!F49</f>
        <v>4.0999999999999996</v>
      </c>
      <c r="H105" s="1439"/>
      <c r="I105" s="2772">
        <f>+'Exhibit F'!J94+'Exhibit G State'!J82+'Exhibit H'!H49</f>
        <v>-4.0999999999999996</v>
      </c>
      <c r="J105" s="1439"/>
      <c r="K105" s="2772">
        <f>+'Exhibit F'!L94+'Exhibit G State'!L82+'Exhibit H'!J49</f>
        <v>2.5</v>
      </c>
      <c r="L105" s="1439"/>
      <c r="M105" s="2772">
        <f>+'Exhibit F'!N94+'Exhibit G State'!N82+'Exhibit H'!L49</f>
        <v>49.9</v>
      </c>
      <c r="N105" s="1439"/>
      <c r="O105" s="3146">
        <f>+'Exhibit F'!P94+'Exhibit G State'!P82+'Exhibit H'!N49</f>
        <v>12.899999999999999</v>
      </c>
      <c r="P105" s="1439"/>
      <c r="Q105" s="2772">
        <f>+'Exhibit F'!R94+'Exhibit G State'!R82+'Exhibit H'!P49</f>
        <v>-33.499999999999993</v>
      </c>
      <c r="R105" s="1439"/>
      <c r="S105" s="2772">
        <f>+'Exhibit F'!T94+'Exhibit G State'!T82+'Exhibit H'!R49</f>
        <v>12.5</v>
      </c>
      <c r="T105" s="1439"/>
      <c r="U105" s="2772">
        <f>+'Exhibit F'!V94+'Exhibit G State'!V82+'Exhibit H'!T49</f>
        <v>0</v>
      </c>
      <c r="V105" s="1439"/>
      <c r="W105" s="2772"/>
      <c r="X105" s="1439"/>
      <c r="Y105" s="2772"/>
      <c r="Z105" s="1439"/>
      <c r="AA105" s="2771"/>
      <c r="AB105" s="3146">
        <f>ROUND(SUM(C105:Y105),1)</f>
        <v>44.3</v>
      </c>
      <c r="AC105" s="3143"/>
      <c r="AD105" s="3394"/>
      <c r="AE105" s="3146">
        <f>'Exhibit F'!AF94+'Exhibit G State'!AG82+'Exhibit H'!AD49</f>
        <v>29.7</v>
      </c>
      <c r="AF105" s="3145"/>
      <c r="AG105" s="3145"/>
      <c r="AH105" s="3146">
        <f>ROUND(SUM(AB105-AE105),1)</f>
        <v>14.6</v>
      </c>
      <c r="AI105" s="3101"/>
      <c r="AJ105" s="3360">
        <f>ROUND(IF(AE105=0,0,AH105/ABS(AE105)),3)</f>
        <v>0.49199999999999999</v>
      </c>
    </row>
    <row r="106" spans="1:45" ht="15">
      <c r="A106" s="1440"/>
      <c r="B106" s="1440"/>
      <c r="C106" s="1439"/>
      <c r="D106" s="1439"/>
      <c r="E106" s="1439"/>
      <c r="F106" s="1439"/>
      <c r="G106" s="1439"/>
      <c r="H106" s="1439"/>
      <c r="I106" s="1439"/>
      <c r="J106" s="1439"/>
      <c r="K106" s="1439"/>
      <c r="L106" s="1439"/>
      <c r="M106" s="1439"/>
      <c r="N106" s="1439"/>
      <c r="O106" s="3143"/>
      <c r="P106" s="1439"/>
      <c r="Q106" s="1439"/>
      <c r="R106" s="1439"/>
      <c r="S106" s="1439"/>
      <c r="T106" s="1439"/>
      <c r="U106" s="1439"/>
      <c r="V106" s="1439"/>
      <c r="W106" s="1439"/>
      <c r="X106" s="1439"/>
      <c r="Y106" s="1439"/>
      <c r="Z106" s="1439"/>
      <c r="AA106" s="2771"/>
      <c r="AB106" s="3143"/>
      <c r="AC106" s="3143"/>
      <c r="AD106" s="3394"/>
      <c r="AE106" s="3143"/>
      <c r="AF106" s="3145"/>
      <c r="AG106" s="3145"/>
      <c r="AH106" s="3143"/>
      <c r="AI106" s="3101"/>
      <c r="AJ106" s="3361"/>
    </row>
    <row r="107" spans="1:45" ht="15.75">
      <c r="A107" s="2427" t="s">
        <v>150</v>
      </c>
      <c r="B107" s="2022"/>
      <c r="C107" s="2020">
        <f>ROUND(SUM(C105+C103+C58),1)</f>
        <v>5015.1000000000004</v>
      </c>
      <c r="D107" s="1461"/>
      <c r="E107" s="2020">
        <f>ROUND(SUM(E105+E103+E58),1)</f>
        <v>5394.1</v>
      </c>
      <c r="F107" s="1461"/>
      <c r="G107" s="2020">
        <f>ROUND(SUM(G105+G103+G58),1)</f>
        <v>12178.4</v>
      </c>
      <c r="H107" s="1461"/>
      <c r="I107" s="2020">
        <f>ROUND(SUM(I105+I103+I58),1)</f>
        <v>13972.7</v>
      </c>
      <c r="J107" s="1461"/>
      <c r="K107" s="2020">
        <f>ROUND(SUM(K105+K103+K58),1)</f>
        <v>5640</v>
      </c>
      <c r="L107" s="1461"/>
      <c r="M107" s="2020">
        <f>ROUND(SUM(M105+M103+M58),1)</f>
        <v>10677.1</v>
      </c>
      <c r="N107" s="1461"/>
      <c r="O107" s="1559">
        <f>ROUND(SUM(O105+O103+O58),1)</f>
        <v>6039</v>
      </c>
      <c r="P107" s="1461"/>
      <c r="Q107" s="2020">
        <f>ROUND(SUM(Q105+Q103+Q58),1)</f>
        <v>5783.2</v>
      </c>
      <c r="R107" s="1461"/>
      <c r="S107" s="2020">
        <f>ROUND(SUM(S105+S103+S58),1)</f>
        <v>10105.299999999999</v>
      </c>
      <c r="T107" s="1461"/>
      <c r="U107" s="2020">
        <f>ROUND(SUM(U105+U103+U58),1)</f>
        <v>13011.7</v>
      </c>
      <c r="V107" s="1461"/>
      <c r="W107" s="2020">
        <f>ROUND(SUM(W105+W103+W58),1)</f>
        <v>0</v>
      </c>
      <c r="X107" s="2010"/>
      <c r="Y107" s="2020">
        <f>ROUND(SUM(Y105+Y103+Y58),1)</f>
        <v>0</v>
      </c>
      <c r="Z107" s="2773"/>
      <c r="AA107" s="2436"/>
      <c r="AB107" s="1559">
        <f>ROUND(SUM(AB105+AB103+AB58),1)</f>
        <v>87816.6</v>
      </c>
      <c r="AC107" s="2050"/>
      <c r="AD107" s="2554"/>
      <c r="AE107" s="1559">
        <f>ROUND(SUM(AE105+AE103+AE58),1)</f>
        <v>87622.2</v>
      </c>
      <c r="AF107" s="1462"/>
      <c r="AG107" s="3359"/>
      <c r="AH107" s="1559">
        <f>ROUND(SUM(AH105+AH103+AH58),1)</f>
        <v>194.4</v>
      </c>
      <c r="AI107" s="1462"/>
      <c r="AJ107" s="3358">
        <f>ROUND(SUM(+AH107/ABS(AE107)),3)</f>
        <v>2E-3</v>
      </c>
      <c r="AK107" s="2765"/>
      <c r="AL107" s="2765"/>
      <c r="AM107" s="2765"/>
      <c r="AN107" s="2765"/>
      <c r="AO107" s="2765"/>
      <c r="AP107" s="2765"/>
      <c r="AQ107" s="2765"/>
      <c r="AR107" s="2765"/>
      <c r="AS107" s="2765"/>
    </row>
    <row r="108" spans="1:45" ht="15.75">
      <c r="A108" s="2010"/>
      <c r="B108" s="1440"/>
      <c r="C108" s="2774"/>
      <c r="D108" s="1439"/>
      <c r="E108" s="2774"/>
      <c r="F108" s="1439"/>
      <c r="G108" s="2774"/>
      <c r="H108" s="1439"/>
      <c r="I108" s="2774"/>
      <c r="J108" s="1439"/>
      <c r="K108" s="2774"/>
      <c r="L108" s="1439"/>
      <c r="M108" s="2774"/>
      <c r="N108" s="1439"/>
      <c r="O108" s="2560"/>
      <c r="P108" s="1439"/>
      <c r="Q108" s="2774"/>
      <c r="R108" s="1439"/>
      <c r="S108" s="2774"/>
      <c r="T108" s="1439"/>
      <c r="U108" s="2774"/>
      <c r="V108" s="1439"/>
      <c r="W108" s="2774"/>
      <c r="X108" s="1439"/>
      <c r="Y108" s="2774"/>
      <c r="Z108" s="1439"/>
      <c r="AA108" s="2771"/>
      <c r="AB108" s="2560"/>
      <c r="AC108" s="3143"/>
      <c r="AD108" s="3394"/>
      <c r="AE108" s="2560"/>
      <c r="AF108" s="3145"/>
      <c r="AG108" s="3145"/>
      <c r="AH108" s="2000"/>
      <c r="AI108" s="3101"/>
      <c r="AJ108" s="3356"/>
    </row>
    <row r="109" spans="1:45" ht="15.75">
      <c r="A109" s="2010" t="s">
        <v>23</v>
      </c>
      <c r="B109" s="1440"/>
      <c r="C109" s="2769"/>
      <c r="D109" s="1439"/>
      <c r="E109" s="2769"/>
      <c r="F109" s="1439"/>
      <c r="G109" s="2769"/>
      <c r="H109" s="1439"/>
      <c r="I109" s="2769"/>
      <c r="J109" s="1439"/>
      <c r="K109" s="2769"/>
      <c r="L109" s="1439"/>
      <c r="M109" s="2769"/>
      <c r="N109" s="1439"/>
      <c r="O109" s="3145"/>
      <c r="P109" s="1439"/>
      <c r="Q109" s="2769"/>
      <c r="R109" s="1439"/>
      <c r="S109" s="2769"/>
      <c r="T109" s="1439"/>
      <c r="U109" s="2769"/>
      <c r="V109" s="1439"/>
      <c r="W109" s="2769"/>
      <c r="X109" s="1439"/>
      <c r="Y109" s="2769"/>
      <c r="Z109" s="1439"/>
      <c r="AA109" s="2771"/>
      <c r="AB109" s="3145"/>
      <c r="AC109" s="3143"/>
      <c r="AD109" s="3394"/>
      <c r="AE109" s="3145"/>
      <c r="AF109" s="3145"/>
      <c r="AG109" s="3145"/>
      <c r="AH109" s="2000"/>
      <c r="AI109" s="3101"/>
      <c r="AJ109" s="3356"/>
    </row>
    <row r="110" spans="1:45" ht="15">
      <c r="A110" s="1440" t="s">
        <v>137</v>
      </c>
      <c r="B110" s="1440"/>
      <c r="C110" s="1439"/>
      <c r="D110" s="1439"/>
      <c r="E110" s="1439"/>
      <c r="F110" s="1439"/>
      <c r="G110" s="1439"/>
      <c r="H110" s="1439"/>
      <c r="I110" s="1439"/>
      <c r="J110" s="1439"/>
      <c r="K110" s="1439"/>
      <c r="L110" s="1439"/>
      <c r="M110" s="1439"/>
      <c r="N110" s="1439"/>
      <c r="O110" s="3143"/>
      <c r="P110" s="1439"/>
      <c r="Q110" s="1439"/>
      <c r="R110" s="1439"/>
      <c r="S110" s="1439"/>
      <c r="T110" s="1439"/>
      <c r="U110" s="1439"/>
      <c r="V110" s="1439"/>
      <c r="W110" s="1439"/>
      <c r="X110" s="1439"/>
      <c r="Y110" s="1439"/>
      <c r="Z110" s="1439"/>
      <c r="AA110" s="2771"/>
      <c r="AB110" s="3143"/>
      <c r="AC110" s="3143"/>
      <c r="AD110" s="3394"/>
      <c r="AE110" s="2000"/>
      <c r="AF110" s="3145"/>
      <c r="AG110" s="3145"/>
      <c r="AH110" s="3143"/>
      <c r="AI110" s="3101"/>
      <c r="AJ110" s="1818"/>
    </row>
    <row r="111" spans="1:45" ht="15">
      <c r="A111" s="2775" t="s">
        <v>25</v>
      </c>
      <c r="B111" s="1440"/>
      <c r="C111" s="1439">
        <f>+'Exhibit F'!D100+'Exhibit G State'!D88</f>
        <v>754.30000000000007</v>
      </c>
      <c r="D111" s="1439"/>
      <c r="E111" s="1439">
        <f>+'Exhibit F'!F100+'Exhibit G State'!F88</f>
        <v>4065.1000000000004</v>
      </c>
      <c r="F111" s="1439"/>
      <c r="G111" s="1439">
        <f>+'Exhibit F'!H100+'Exhibit G State'!H88</f>
        <v>3409.0999999999995</v>
      </c>
      <c r="H111" s="1439"/>
      <c r="I111" s="1439">
        <f>+'Exhibit F'!J100+'Exhibit G State'!J88</f>
        <v>563.60000000000105</v>
      </c>
      <c r="J111" s="1439"/>
      <c r="K111" s="1439">
        <f>+'Exhibit F'!L100+'Exhibit G State'!L88</f>
        <v>856.2</v>
      </c>
      <c r="L111" s="1439"/>
      <c r="M111" s="1439">
        <f>+'Exhibit F'!N100+'Exhibit G State'!N88</f>
        <v>3861.7999999999984</v>
      </c>
      <c r="N111" s="1439"/>
      <c r="O111" s="3143">
        <f>+'Exhibit F'!P100+'Exhibit G State'!P88</f>
        <v>1200.2000000000005</v>
      </c>
      <c r="P111" s="1439"/>
      <c r="Q111" s="1439">
        <f>+'Exhibit F'!R100+'Exhibit G State'!R88</f>
        <v>1559.5000000000002</v>
      </c>
      <c r="R111" s="1439"/>
      <c r="S111" s="1439">
        <f>+'Exhibit F'!T100+'Exhibit G State'!T88</f>
        <v>2583.0999999999995</v>
      </c>
      <c r="T111" s="1439"/>
      <c r="U111" s="1439">
        <f>+'Exhibit F'!V100+'Exhibit G State'!V88</f>
        <v>2609.0000000000014</v>
      </c>
      <c r="V111" s="1439"/>
      <c r="W111" s="1439"/>
      <c r="X111" s="1439"/>
      <c r="Y111" s="1439"/>
      <c r="Z111" s="1439"/>
      <c r="AA111" s="2771"/>
      <c r="AB111" s="2000">
        <f>ROUND(SUM(C111:Y111),1)</f>
        <v>21461.9</v>
      </c>
      <c r="AC111" s="3143"/>
      <c r="AD111" s="3394"/>
      <c r="AE111" s="2000">
        <f>+'Exhibit F'!AF100+'Exhibit G State'!AG88</f>
        <v>23183.899999999998</v>
      </c>
      <c r="AF111" s="3145"/>
      <c r="AG111" s="3145"/>
      <c r="AH111" s="3143">
        <f>ROUND(SUM(AB111-AE111),1)</f>
        <v>-1722</v>
      </c>
      <c r="AI111" s="3101"/>
      <c r="AJ111" s="1818">
        <f>ROUND(SUM(AH111/ABS(AE111)),3)</f>
        <v>-7.3999999999999996E-2</v>
      </c>
    </row>
    <row r="112" spans="1:45" ht="15">
      <c r="A112" s="2775" t="s">
        <v>26</v>
      </c>
      <c r="B112" s="1440"/>
      <c r="C112" s="1439">
        <f>+'Exhibit F'!D101+'Exhibit G State'!D89</f>
        <v>0.1</v>
      </c>
      <c r="D112" s="1439"/>
      <c r="E112" s="1439">
        <f>+'Exhibit F'!F101+'Exhibit G State'!F89</f>
        <v>0.3</v>
      </c>
      <c r="F112" s="1439"/>
      <c r="G112" s="1439">
        <f>+'Exhibit F'!H101+'Exhibit G State'!H89</f>
        <v>0</v>
      </c>
      <c r="H112" s="1439"/>
      <c r="I112" s="1439">
        <f>+'Exhibit F'!J101+'Exhibit G State'!J89</f>
        <v>0.2</v>
      </c>
      <c r="J112" s="1439"/>
      <c r="K112" s="1439">
        <f>+'Exhibit F'!L101+'Exhibit G State'!L89</f>
        <v>-0.1</v>
      </c>
      <c r="L112" s="1439"/>
      <c r="M112" s="1439">
        <f>+'Exhibit F'!N101+'Exhibit G State'!N89</f>
        <v>0.40000000000000008</v>
      </c>
      <c r="N112" s="1439"/>
      <c r="O112" s="3143">
        <f>+'Exhibit F'!P101+'Exhibit G State'!P89</f>
        <v>0.7</v>
      </c>
      <c r="P112" s="1439"/>
      <c r="Q112" s="1439">
        <f>+'Exhibit F'!R101+'Exhibit G State'!R89</f>
        <v>0.19999999999999996</v>
      </c>
      <c r="R112" s="1439"/>
      <c r="S112" s="1439">
        <f>+'Exhibit F'!T101+'Exhibit G State'!T89</f>
        <v>0.3</v>
      </c>
      <c r="T112" s="1439"/>
      <c r="U112" s="1439">
        <f>+'Exhibit F'!V101+'Exhibit G State'!V89</f>
        <v>0.2</v>
      </c>
      <c r="V112" s="1439"/>
      <c r="W112" s="1439"/>
      <c r="X112" s="1439"/>
      <c r="Y112" s="1439"/>
      <c r="Z112" s="1439"/>
      <c r="AA112" s="2771"/>
      <c r="AB112" s="2000">
        <f t="shared" ref="AB112:AB119" si="19">ROUND(SUM(C112:Y112),1)</f>
        <v>2.2999999999999998</v>
      </c>
      <c r="AC112" s="3143"/>
      <c r="AD112" s="3394"/>
      <c r="AE112" s="2000">
        <f>+'Exhibit F'!AF101+'Exhibit G State'!AG89</f>
        <v>4.5</v>
      </c>
      <c r="AF112" s="3145"/>
      <c r="AG112" s="3145"/>
      <c r="AH112" s="3143">
        <f t="shared" ref="AH112:AH119" si="20">ROUND(SUM(AB112-AE112),1)</f>
        <v>-2.2000000000000002</v>
      </c>
      <c r="AI112" s="3101"/>
      <c r="AJ112" s="1818">
        <f>ROUND(IF(AE112=0,1,AH112/ABS(AE112)),3)</f>
        <v>-0.48899999999999999</v>
      </c>
    </row>
    <row r="113" spans="1:38" ht="15">
      <c r="A113" s="2775" t="s">
        <v>27</v>
      </c>
      <c r="B113" s="1440"/>
      <c r="C113" s="1439">
        <f>+'Exhibit F'!D102+'Exhibit G State'!D90</f>
        <v>16.100000000000001</v>
      </c>
      <c r="D113" s="1439"/>
      <c r="E113" s="1439">
        <f>+'Exhibit F'!F102+'Exhibit G State'!F90</f>
        <v>4.5999999999999988</v>
      </c>
      <c r="F113" s="1439"/>
      <c r="G113" s="1439">
        <f>+'Exhibit F'!H102+'Exhibit G State'!H90</f>
        <v>500</v>
      </c>
      <c r="H113" s="1439"/>
      <c r="I113" s="1439">
        <f>+'Exhibit F'!J102+'Exhibit G State'!J90</f>
        <v>20.400000000000034</v>
      </c>
      <c r="J113" s="1439"/>
      <c r="K113" s="1439">
        <f>+'Exhibit F'!L102+'Exhibit G State'!L90</f>
        <v>33.6</v>
      </c>
      <c r="L113" s="1439"/>
      <c r="M113" s="1439">
        <f>+'Exhibit F'!N102+'Exhibit G State'!N90</f>
        <v>62.49999999999995</v>
      </c>
      <c r="N113" s="1439"/>
      <c r="O113" s="3143">
        <f>+'Exhibit F'!P102+'Exhibit G State'!P90</f>
        <v>77.699999999999989</v>
      </c>
      <c r="P113" s="1439"/>
      <c r="Q113" s="1439">
        <f>+'Exhibit F'!R102+'Exhibit G State'!R90</f>
        <v>18.100000000000072</v>
      </c>
      <c r="R113" s="1439"/>
      <c r="S113" s="1439">
        <f>+'Exhibit F'!T102+'Exhibit G State'!T90</f>
        <v>184.09999999999994</v>
      </c>
      <c r="T113" s="1439"/>
      <c r="U113" s="1439">
        <f>+'Exhibit F'!V102+'Exhibit G State'!V90</f>
        <v>32</v>
      </c>
      <c r="V113" s="1439"/>
      <c r="W113" s="1439"/>
      <c r="X113" s="1439"/>
      <c r="Y113" s="1439"/>
      <c r="Z113" s="1439"/>
      <c r="AA113" s="2771"/>
      <c r="AB113" s="2000">
        <f t="shared" si="19"/>
        <v>949.1</v>
      </c>
      <c r="AC113" s="3143"/>
      <c r="AD113" s="3394"/>
      <c r="AE113" s="2000">
        <f>+'Exhibit F'!AF102+'Exhibit G State'!AG90</f>
        <v>1137.3</v>
      </c>
      <c r="AF113" s="3145"/>
      <c r="AG113" s="3145"/>
      <c r="AH113" s="3143">
        <f t="shared" si="20"/>
        <v>-188.2</v>
      </c>
      <c r="AI113" s="3101"/>
      <c r="AJ113" s="1818">
        <f>ROUND(SUM(AH113/ABS(AE113)),3)</f>
        <v>-0.16500000000000001</v>
      </c>
    </row>
    <row r="114" spans="1:38" ht="15">
      <c r="A114" s="2775" t="s">
        <v>28</v>
      </c>
      <c r="B114" s="1440"/>
      <c r="C114" s="1439"/>
      <c r="D114" s="1439"/>
      <c r="E114" s="1439"/>
      <c r="F114" s="1439"/>
      <c r="G114" s="1439"/>
      <c r="H114" s="1439"/>
      <c r="I114" s="1439"/>
      <c r="J114" s="1439"/>
      <c r="K114" s="1439"/>
      <c r="L114" s="1439"/>
      <c r="M114" s="1439"/>
      <c r="N114" s="1439"/>
      <c r="O114" s="3143"/>
      <c r="P114" s="1439"/>
      <c r="Q114" s="1439"/>
      <c r="R114" s="1439"/>
      <c r="S114" s="1439"/>
      <c r="T114" s="1439"/>
      <c r="U114" s="1439"/>
      <c r="V114" s="1439"/>
      <c r="W114" s="1439"/>
      <c r="X114" s="1439"/>
      <c r="Y114" s="1439"/>
      <c r="Z114" s="1439"/>
      <c r="AA114" s="2771"/>
      <c r="AB114" s="2000"/>
      <c r="AC114" s="3143"/>
      <c r="AD114" s="3394"/>
      <c r="AE114" s="2609"/>
      <c r="AF114" s="3145"/>
      <c r="AG114" s="3145"/>
      <c r="AH114" s="3143" t="s">
        <v>15</v>
      </c>
      <c r="AI114" s="3101"/>
      <c r="AJ114" s="1818"/>
    </row>
    <row r="115" spans="1:38" ht="15">
      <c r="A115" s="2776" t="s">
        <v>29</v>
      </c>
      <c r="B115" s="1440"/>
      <c r="C115" s="1439">
        <f>+'Exhibit F'!D104+'Exhibit G State'!D92</f>
        <v>757.69999999999993</v>
      </c>
      <c r="D115" s="1439"/>
      <c r="E115" s="1439">
        <f>+'Exhibit F'!F104+'Exhibit G State'!F92</f>
        <v>1757.8</v>
      </c>
      <c r="F115" s="1439"/>
      <c r="G115" s="1439">
        <f>+'Exhibit F'!H104+'Exhibit G State'!H92</f>
        <v>2497.4</v>
      </c>
      <c r="H115" s="1439"/>
      <c r="I115" s="1439">
        <f>+'Exhibit F'!J104+'Exhibit G State'!J92</f>
        <v>2043.9</v>
      </c>
      <c r="J115" s="1439"/>
      <c r="K115" s="1439">
        <f>+'Exhibit F'!L104+'Exhibit G State'!L92</f>
        <v>1856.5</v>
      </c>
      <c r="L115" s="1439"/>
      <c r="M115" s="1439">
        <f>+'Exhibit F'!N104+'Exhibit G State'!N92</f>
        <v>2135.5</v>
      </c>
      <c r="N115" s="1439"/>
      <c r="O115" s="3143">
        <f>+'Exhibit F'!P104+'Exhibit G State'!P92</f>
        <v>1416.5000000000002</v>
      </c>
      <c r="P115" s="1439"/>
      <c r="Q115" s="1439">
        <f>+'Exhibit F'!R104+'Exhibit G State'!R92</f>
        <v>1503.6999999999998</v>
      </c>
      <c r="R115" s="1439"/>
      <c r="S115" s="1439">
        <f>+'Exhibit F'!T104+'Exhibit G State'!T92</f>
        <v>2122.6999999999994</v>
      </c>
      <c r="T115" s="1439"/>
      <c r="U115" s="1439">
        <f>+'Exhibit F'!V104+'Exhibit G State'!V92</f>
        <v>1469.1000000000008</v>
      </c>
      <c r="V115" s="1439"/>
      <c r="W115" s="1439"/>
      <c r="X115" s="1439"/>
      <c r="Y115" s="1439"/>
      <c r="Z115" s="1439"/>
      <c r="AA115" s="2771"/>
      <c r="AB115" s="2000">
        <f t="shared" si="19"/>
        <v>17560.8</v>
      </c>
      <c r="AC115" s="3143"/>
      <c r="AD115" s="3394"/>
      <c r="AE115" s="2000">
        <f>+'Exhibit F'!AF104+'Exhibit G State'!AG92</f>
        <v>21545.300000000003</v>
      </c>
      <c r="AF115" s="3145"/>
      <c r="AG115" s="3145"/>
      <c r="AH115" s="3143">
        <f t="shared" si="20"/>
        <v>-3984.5</v>
      </c>
      <c r="AI115" s="3101"/>
      <c r="AJ115" s="1818">
        <f t="shared" ref="AJ115:AJ121" si="21">ROUND(SUM(AH115/ABS(AE115)),3)</f>
        <v>-0.185</v>
      </c>
      <c r="AK115" s="2777"/>
    </row>
    <row r="116" spans="1:38" ht="15">
      <c r="A116" s="2775" t="s">
        <v>30</v>
      </c>
      <c r="B116" s="1440"/>
      <c r="C116" s="1439">
        <f>+'Exhibit F'!D105+'Exhibit G State'!D93</f>
        <v>93.5</v>
      </c>
      <c r="D116" s="1439"/>
      <c r="E116" s="1439">
        <f>+'Exhibit F'!F105+'Exhibit G State'!F93</f>
        <v>72.800000000000011</v>
      </c>
      <c r="F116" s="1439"/>
      <c r="G116" s="1439">
        <f>+'Exhibit F'!H105+'Exhibit G State'!H93</f>
        <v>307.20000000000005</v>
      </c>
      <c r="H116" s="1439"/>
      <c r="I116" s="1439">
        <f>+'Exhibit F'!J105+'Exhibit G State'!J93</f>
        <v>486.1</v>
      </c>
      <c r="J116" s="1439"/>
      <c r="K116" s="1439">
        <f>+'Exhibit F'!L105+'Exhibit G State'!L93</f>
        <v>118.00000000000003</v>
      </c>
      <c r="L116" s="1439"/>
      <c r="M116" s="1439">
        <f>+'Exhibit F'!N105+'Exhibit G State'!N93</f>
        <v>438.09999999999974</v>
      </c>
      <c r="N116" s="1439"/>
      <c r="O116" s="3143">
        <f>+'Exhibit F'!P105+'Exhibit G State'!P93</f>
        <v>249.00000000000026</v>
      </c>
      <c r="P116" s="1439"/>
      <c r="Q116" s="1439">
        <f>+'Exhibit F'!R105+'Exhibit G State'!R93</f>
        <v>234.79999999999987</v>
      </c>
      <c r="R116" s="1439"/>
      <c r="S116" s="1439">
        <f>+'Exhibit F'!T105+'Exhibit G State'!T93</f>
        <v>263.3</v>
      </c>
      <c r="T116" s="1439"/>
      <c r="U116" s="1439">
        <f>+'Exhibit F'!V105+'Exhibit G State'!V93</f>
        <v>340.1999999999997</v>
      </c>
      <c r="V116" s="1439"/>
      <c r="W116" s="1439"/>
      <c r="X116" s="1439"/>
      <c r="Y116" s="1439"/>
      <c r="Z116" s="1439"/>
      <c r="AA116" s="2771"/>
      <c r="AB116" s="2000">
        <f t="shared" si="19"/>
        <v>2603</v>
      </c>
      <c r="AC116" s="3397"/>
      <c r="AD116" s="3143"/>
      <c r="AE116" s="2000">
        <f>+'Exhibit F'!AF105+'Exhibit G State'!AG93</f>
        <v>2636.1</v>
      </c>
      <c r="AF116" s="3145"/>
      <c r="AG116" s="3145"/>
      <c r="AH116" s="3143">
        <f t="shared" si="20"/>
        <v>-33.1</v>
      </c>
      <c r="AI116" s="3101"/>
      <c r="AJ116" s="1818">
        <f t="shared" si="21"/>
        <v>-1.2999999999999999E-2</v>
      </c>
    </row>
    <row r="117" spans="1:38" ht="15">
      <c r="A117" s="2775" t="s">
        <v>31</v>
      </c>
      <c r="B117" s="1440"/>
      <c r="C117" s="1439">
        <f>+'Exhibit F'!D106+'Exhibit G State'!D94</f>
        <v>20.9</v>
      </c>
      <c r="D117" s="1439"/>
      <c r="E117" s="1439">
        <f>+'Exhibit F'!F106+'Exhibit G State'!F94</f>
        <v>11.1</v>
      </c>
      <c r="F117" s="1439"/>
      <c r="G117" s="1439">
        <f>+'Exhibit F'!H106+'Exhibit G State'!H94</f>
        <v>4.4999999999999991</v>
      </c>
      <c r="H117" s="1439"/>
      <c r="I117" s="1439">
        <f>+'Exhibit F'!J106+'Exhibit G State'!J94</f>
        <v>16.900000000000002</v>
      </c>
      <c r="J117" s="1439"/>
      <c r="K117" s="1439">
        <f>+'Exhibit F'!L106+'Exhibit G State'!L94</f>
        <v>29.399999999999984</v>
      </c>
      <c r="L117" s="1439"/>
      <c r="M117" s="1439">
        <f>+'Exhibit F'!N106+'Exhibit G State'!N94</f>
        <v>34.600000000000009</v>
      </c>
      <c r="N117" s="1439"/>
      <c r="O117" s="3143">
        <f>+'Exhibit F'!P106+'Exhibit G State'!P94</f>
        <v>17.300000000000004</v>
      </c>
      <c r="P117" s="1439"/>
      <c r="Q117" s="1439">
        <f>+'Exhibit F'!R106+'Exhibit G State'!R94</f>
        <v>-6.7000000000000028</v>
      </c>
      <c r="R117" s="1439"/>
      <c r="S117" s="1439">
        <f>+'Exhibit F'!T106+'Exhibit G State'!T94</f>
        <v>66</v>
      </c>
      <c r="T117" s="1439"/>
      <c r="U117" s="1439">
        <f>+'Exhibit F'!V106+'Exhibit G State'!V94</f>
        <v>16.900000000000006</v>
      </c>
      <c r="V117" s="1439"/>
      <c r="W117" s="1439"/>
      <c r="X117" s="1439"/>
      <c r="Y117" s="1439"/>
      <c r="Z117" s="1439"/>
      <c r="AA117" s="2771"/>
      <c r="AB117" s="2000">
        <f t="shared" si="19"/>
        <v>210.9</v>
      </c>
      <c r="AC117" s="3398"/>
      <c r="AD117" s="3394"/>
      <c r="AE117" s="2000">
        <f>+'Exhibit F'!AF106+'Exhibit G State'!AG94</f>
        <v>255.3</v>
      </c>
      <c r="AF117" s="3145"/>
      <c r="AG117" s="3145"/>
      <c r="AH117" s="3143">
        <f t="shared" si="20"/>
        <v>-44.4</v>
      </c>
      <c r="AI117" s="3101"/>
      <c r="AJ117" s="1818">
        <f t="shared" si="21"/>
        <v>-0.17399999999999999</v>
      </c>
    </row>
    <row r="118" spans="1:38" ht="15">
      <c r="A118" s="2775" t="s">
        <v>32</v>
      </c>
      <c r="B118" s="1440"/>
      <c r="C118" s="1439">
        <f>+'Exhibit F'!D107+'Exhibit G State'!D95</f>
        <v>77</v>
      </c>
      <c r="D118" s="1439"/>
      <c r="E118" s="1439">
        <f>+'Exhibit F'!F107+'Exhibit G State'!F95</f>
        <v>158.19999999999999</v>
      </c>
      <c r="F118" s="1439"/>
      <c r="G118" s="1439">
        <f>+'Exhibit F'!H107+'Exhibit G State'!H95</f>
        <v>61.400000000000006</v>
      </c>
      <c r="H118" s="1439"/>
      <c r="I118" s="1439">
        <f>+'Exhibit F'!J107+'Exhibit G State'!J95</f>
        <v>578.1</v>
      </c>
      <c r="J118" s="1439"/>
      <c r="K118" s="1439">
        <f>+'Exhibit F'!L107+'Exhibit G State'!L95</f>
        <v>57.100000000000023</v>
      </c>
      <c r="L118" s="1439"/>
      <c r="M118" s="1439">
        <f>+'Exhibit F'!N107+'Exhibit G State'!N95</f>
        <v>426.79999999999973</v>
      </c>
      <c r="N118" s="1439"/>
      <c r="O118" s="3143">
        <f>+'Exhibit F'!P107+'Exhibit G State'!P95</f>
        <v>70.300000000000182</v>
      </c>
      <c r="P118" s="1439"/>
      <c r="Q118" s="1439">
        <f>+'Exhibit F'!R107+'Exhibit G State'!R95</f>
        <v>222.29999999999995</v>
      </c>
      <c r="R118" s="1439"/>
      <c r="S118" s="1439">
        <f>+'Exhibit F'!T107+'Exhibit G State'!T95</f>
        <v>168.19999999999996</v>
      </c>
      <c r="T118" s="1439"/>
      <c r="U118" s="1439">
        <f>+'Exhibit F'!V107+'Exhibit G State'!V95</f>
        <v>152.80000000000001</v>
      </c>
      <c r="V118" s="1439"/>
      <c r="W118" s="1439"/>
      <c r="X118" s="1439"/>
      <c r="Y118" s="1439"/>
      <c r="Z118" s="1439"/>
      <c r="AA118" s="2771"/>
      <c r="AB118" s="2000">
        <f t="shared" si="19"/>
        <v>1972.2</v>
      </c>
      <c r="AC118" s="3398"/>
      <c r="AD118" s="3394"/>
      <c r="AE118" s="2000">
        <f>+'Exhibit F'!AF107+'Exhibit G State'!AG95</f>
        <v>2011</v>
      </c>
      <c r="AF118" s="3145"/>
      <c r="AG118" s="3145"/>
      <c r="AH118" s="3143">
        <f t="shared" si="20"/>
        <v>-38.799999999999997</v>
      </c>
      <c r="AI118" s="3101"/>
      <c r="AJ118" s="1818">
        <f t="shared" si="21"/>
        <v>-1.9E-2</v>
      </c>
    </row>
    <row r="119" spans="1:38" ht="15">
      <c r="A119" s="2775" t="s">
        <v>33</v>
      </c>
      <c r="B119" s="1440"/>
      <c r="C119" s="1439">
        <f>+'Exhibit F'!D108+'Exhibit G State'!D96</f>
        <v>4.6000000000000005</v>
      </c>
      <c r="D119" s="1439"/>
      <c r="E119" s="1439">
        <f>+'Exhibit F'!F108+'Exhibit G State'!F96</f>
        <v>7.1000000000000005</v>
      </c>
      <c r="F119" s="1439"/>
      <c r="G119" s="1439">
        <f>+'Exhibit F'!H108+'Exhibit G State'!H96</f>
        <v>9</v>
      </c>
      <c r="H119" s="1439"/>
      <c r="I119" s="1439">
        <f>+'Exhibit F'!J108+'Exhibit G State'!J96</f>
        <v>5.3999999999999986</v>
      </c>
      <c r="J119" s="1439"/>
      <c r="K119" s="1439">
        <f>+'Exhibit F'!L108+'Exhibit G State'!L96</f>
        <v>11</v>
      </c>
      <c r="L119" s="1439"/>
      <c r="M119" s="1439">
        <f>+'Exhibit F'!N108+'Exhibit G State'!N96</f>
        <v>10.900000000000002</v>
      </c>
      <c r="N119" s="1439"/>
      <c r="O119" s="3143">
        <f>+'Exhibit F'!P108+'Exhibit G State'!P96</f>
        <v>9.7000000000000028</v>
      </c>
      <c r="P119" s="1439"/>
      <c r="Q119" s="1439">
        <f>+'Exhibit F'!R108+'Exhibit G State'!R96</f>
        <v>26.199999999999992</v>
      </c>
      <c r="R119" s="1439"/>
      <c r="S119" s="1439">
        <f>+'Exhibit F'!T108+'Exhibit G State'!T96</f>
        <v>10.900000000000009</v>
      </c>
      <c r="T119" s="1439"/>
      <c r="U119" s="1439">
        <f>+'Exhibit F'!V108+'Exhibit G State'!V96</f>
        <v>10</v>
      </c>
      <c r="V119" s="1439"/>
      <c r="W119" s="1439"/>
      <c r="X119" s="1439"/>
      <c r="Y119" s="1439"/>
      <c r="Z119" s="1439"/>
      <c r="AA119" s="2771"/>
      <c r="AB119" s="2000">
        <f t="shared" si="19"/>
        <v>104.8</v>
      </c>
      <c r="AC119" s="3398"/>
      <c r="AD119" s="3394"/>
      <c r="AE119" s="2000">
        <f>+'Exhibit F'!AF108+'Exhibit G State'!AG96</f>
        <v>159.6</v>
      </c>
      <c r="AF119" s="3145"/>
      <c r="AG119" s="3145"/>
      <c r="AH119" s="3143">
        <f t="shared" si="20"/>
        <v>-54.8</v>
      </c>
      <c r="AI119" s="3101"/>
      <c r="AJ119" s="1818">
        <f t="shared" si="21"/>
        <v>-0.34300000000000003</v>
      </c>
    </row>
    <row r="120" spans="1:38" ht="15">
      <c r="A120" s="2775" t="s">
        <v>34</v>
      </c>
      <c r="B120" s="1440"/>
      <c r="C120" s="1439">
        <f>+'Exhibit F'!D109+'Exhibit G State'!D97</f>
        <v>61.7</v>
      </c>
      <c r="D120" s="1439"/>
      <c r="E120" s="1439">
        <f>+'Exhibit F'!F109+'Exhibit G State'!F97</f>
        <v>41.699999999999996</v>
      </c>
      <c r="F120" s="1439"/>
      <c r="G120" s="1439">
        <f>+'Exhibit F'!H109+'Exhibit G State'!H97</f>
        <v>18.5</v>
      </c>
      <c r="H120" s="1439"/>
      <c r="I120" s="1439">
        <f>+'Exhibit F'!J109+'Exhibit G State'!J97</f>
        <v>726.3</v>
      </c>
      <c r="J120" s="1439"/>
      <c r="K120" s="1439">
        <f>+'Exhibit F'!L109+'Exhibit G State'!L97</f>
        <v>357.90000000000003</v>
      </c>
      <c r="L120" s="1439"/>
      <c r="M120" s="1439">
        <f>+'Exhibit F'!N109+'Exhibit G State'!N97</f>
        <v>243.10000000000014</v>
      </c>
      <c r="N120" s="1439"/>
      <c r="O120" s="3143">
        <f>+'Exhibit F'!P109+'Exhibit G State'!P97</f>
        <v>256.39999999999998</v>
      </c>
      <c r="P120" s="1439"/>
      <c r="Q120" s="1439">
        <f>+'Exhibit F'!R109+'Exhibit G State'!R97</f>
        <v>446.0999999999998</v>
      </c>
      <c r="R120" s="1439"/>
      <c r="S120" s="1439">
        <f>+'Exhibit F'!T109+'Exhibit G State'!T97</f>
        <v>781.30000000000018</v>
      </c>
      <c r="T120" s="1439"/>
      <c r="U120" s="1439">
        <f>+'Exhibit F'!V109+'Exhibit G State'!V97</f>
        <v>70.400000000000318</v>
      </c>
      <c r="V120" s="1439"/>
      <c r="W120" s="1439"/>
      <c r="X120" s="1439"/>
      <c r="Y120" s="1439"/>
      <c r="Z120" s="1439"/>
      <c r="AA120" s="2771"/>
      <c r="AB120" s="3143">
        <f>ROUND(SUM(C120:Y120),1)</f>
        <v>3003.4</v>
      </c>
      <c r="AC120" s="3398"/>
      <c r="AD120" s="3394"/>
      <c r="AE120" s="2000">
        <f>+'Exhibit F'!AF109+'Exhibit G State'!AG97</f>
        <v>3344.8</v>
      </c>
      <c r="AF120" s="3145"/>
      <c r="AG120" s="3145"/>
      <c r="AH120" s="3143">
        <f>ROUND(SUM(AB120-AE120),1)</f>
        <v>-341.4</v>
      </c>
      <c r="AI120" s="3101"/>
      <c r="AJ120" s="1448">
        <f t="shared" si="21"/>
        <v>-0.10199999999999999</v>
      </c>
    </row>
    <row r="121" spans="1:38" ht="15.75">
      <c r="A121" s="1440" t="s">
        <v>35</v>
      </c>
      <c r="B121" s="1440"/>
      <c r="C121" s="2778">
        <f>ROUND(SUM(C111:C120),1)</f>
        <v>1785.9</v>
      </c>
      <c r="D121" s="2779"/>
      <c r="E121" s="2778">
        <f>ROUND(SUM(E111:E120),1)</f>
        <v>6118.7</v>
      </c>
      <c r="F121" s="2779"/>
      <c r="G121" s="2778">
        <f>ROUND(SUM(G111:G120),1)</f>
        <v>6807.1</v>
      </c>
      <c r="H121" s="2779"/>
      <c r="I121" s="2778">
        <f>ROUND(SUM(I111:I120),1)</f>
        <v>4440.8999999999996</v>
      </c>
      <c r="J121" s="2779"/>
      <c r="K121" s="2778">
        <f>ROUND(SUM(K111:K120),1)</f>
        <v>3319.6</v>
      </c>
      <c r="L121" s="2779"/>
      <c r="M121" s="2778">
        <f>ROUND(SUM(M111:M120),1)</f>
        <v>7213.7</v>
      </c>
      <c r="N121" s="2779"/>
      <c r="O121" s="3399">
        <f>ROUND(SUM(O111:O120),1)</f>
        <v>3297.8</v>
      </c>
      <c r="P121" s="2779"/>
      <c r="Q121" s="2778">
        <f>ROUND(SUM(Q111:Q120),1)</f>
        <v>4004.2</v>
      </c>
      <c r="R121" s="2779"/>
      <c r="S121" s="2778">
        <f>ROUND(SUM(S111:S120),1)</f>
        <v>6179.9</v>
      </c>
      <c r="T121" s="2779"/>
      <c r="U121" s="2778">
        <f>ROUND(SUM(U111:U120),1)</f>
        <v>4700.6000000000004</v>
      </c>
      <c r="V121" s="2779"/>
      <c r="W121" s="2778">
        <f>ROUND(SUM(W111:W120),1)</f>
        <v>0</v>
      </c>
      <c r="X121" s="2779"/>
      <c r="Y121" s="2778">
        <f>ROUND(SUM(Y111:Y120),1)</f>
        <v>0</v>
      </c>
      <c r="Z121" s="2779"/>
      <c r="AA121" s="2780"/>
      <c r="AB121" s="3399">
        <f>ROUND(SUM(AB111:AB120),1)</f>
        <v>47868.4</v>
      </c>
      <c r="AC121" s="3400"/>
      <c r="AD121" s="3401"/>
      <c r="AE121" s="1460">
        <f>ROUND(SUM(AE111:AE120),1)</f>
        <v>54277.8</v>
      </c>
      <c r="AF121" s="3144"/>
      <c r="AG121" s="3144"/>
      <c r="AH121" s="1460">
        <f>ROUND(SUM(AH111:AH120),1)</f>
        <v>-6409.4</v>
      </c>
      <c r="AI121" s="3085"/>
      <c r="AJ121" s="2549">
        <f t="shared" si="21"/>
        <v>-0.11799999999999999</v>
      </c>
      <c r="AK121" s="2765"/>
      <c r="AL121" s="2765"/>
    </row>
    <row r="122" spans="1:38" ht="15">
      <c r="A122" s="1440" t="s">
        <v>36</v>
      </c>
      <c r="B122" s="1440"/>
      <c r="C122" s="2769"/>
      <c r="D122" s="1439"/>
      <c r="E122" s="2769"/>
      <c r="F122" s="1439"/>
      <c r="G122" s="2769"/>
      <c r="H122" s="1439"/>
      <c r="I122" s="2769"/>
      <c r="J122" s="1439"/>
      <c r="K122" s="2769"/>
      <c r="L122" s="1439"/>
      <c r="M122" s="2769"/>
      <c r="N122" s="1439"/>
      <c r="O122" s="3145"/>
      <c r="P122" s="1439"/>
      <c r="Q122" s="2769"/>
      <c r="R122" s="1439"/>
      <c r="S122" s="2769"/>
      <c r="T122" s="1439"/>
      <c r="U122" s="2769"/>
      <c r="V122" s="1439"/>
      <c r="W122" s="2769"/>
      <c r="X122" s="1439"/>
      <c r="Y122" s="2769"/>
      <c r="Z122" s="1439"/>
      <c r="AA122" s="2771"/>
      <c r="AB122" s="3145"/>
      <c r="AC122" s="3143"/>
      <c r="AD122" s="3394"/>
      <c r="AE122" s="2041"/>
      <c r="AF122" s="3145"/>
      <c r="AG122" s="3145"/>
      <c r="AH122" s="2000"/>
      <c r="AI122" s="3101"/>
      <c r="AJ122" s="3356"/>
    </row>
    <row r="123" spans="1:38" ht="15">
      <c r="A123" s="1440" t="s">
        <v>138</v>
      </c>
      <c r="B123" s="1440"/>
      <c r="C123" s="1439">
        <f>+'Exhibit F'!D112+'Exhibit G State'!D100</f>
        <v>1494.8000000000002</v>
      </c>
      <c r="D123" s="1439"/>
      <c r="E123" s="1439">
        <f>+'Exhibit F'!F112+'Exhibit G State'!F100</f>
        <v>1084.9000000000001</v>
      </c>
      <c r="F123" s="1439"/>
      <c r="G123" s="1439">
        <f>+'Exhibit F'!H112+'Exhibit G State'!H100</f>
        <v>955.49999999999977</v>
      </c>
      <c r="H123" s="1439"/>
      <c r="I123" s="1439">
        <f>+'Exhibit F'!J112+'Exhibit G State'!J100</f>
        <v>1114</v>
      </c>
      <c r="J123" s="1439"/>
      <c r="K123" s="1439">
        <f>+'Exhibit F'!L112+'Exhibit G State'!L100</f>
        <v>990.0999999999998</v>
      </c>
      <c r="L123" s="1439"/>
      <c r="M123" s="1439">
        <f>+'Exhibit F'!N112+'Exhibit G State'!N100</f>
        <v>1443.0000000000002</v>
      </c>
      <c r="N123" s="1439"/>
      <c r="O123" s="3143">
        <f>+'Exhibit F'!P112+'Exhibit G State'!P100</f>
        <v>987.4</v>
      </c>
      <c r="P123" s="1439"/>
      <c r="Q123" s="1439">
        <f>+'Exhibit F'!R112+'Exhibit G State'!R100</f>
        <v>976.5000000000008</v>
      </c>
      <c r="R123" s="1439"/>
      <c r="S123" s="1439">
        <f>+'Exhibit F'!T112+'Exhibit G State'!T100</f>
        <v>-98.000000000000227</v>
      </c>
      <c r="T123" s="1439"/>
      <c r="U123" s="1439">
        <f>+'Exhibit F'!V112+'Exhibit G State'!V100</f>
        <v>963.90000000000066</v>
      </c>
      <c r="V123" s="1439"/>
      <c r="W123" s="1439"/>
      <c r="X123" s="1439"/>
      <c r="Y123" s="1439"/>
      <c r="Z123" s="1439"/>
      <c r="AA123" s="2771"/>
      <c r="AB123" s="3143">
        <f>ROUND(SUM(C123:Y123),1)</f>
        <v>9912.1</v>
      </c>
      <c r="AC123" s="3143"/>
      <c r="AD123" s="3394"/>
      <c r="AE123" s="2000">
        <f>+'Exhibit F'!AF112+'Exhibit G State'!AG100</f>
        <v>11964.2</v>
      </c>
      <c r="AF123" s="3145"/>
      <c r="AG123" s="3145"/>
      <c r="AH123" s="3143">
        <f>ROUND(SUM(AB123-AE123),1)</f>
        <v>-2052.1</v>
      </c>
      <c r="AI123" s="3101"/>
      <c r="AJ123" s="1818">
        <f>ROUND(SUM(AH123/ABS(AE123)),3)</f>
        <v>-0.17199999999999999</v>
      </c>
    </row>
    <row r="124" spans="1:38" ht="15">
      <c r="A124" s="1440" t="s">
        <v>139</v>
      </c>
      <c r="B124" s="1440"/>
      <c r="C124" s="1439">
        <f>+'Exhibit F'!D113+'Exhibit G State'!D101+'Exhibit H'!B55</f>
        <v>543.29999999999995</v>
      </c>
      <c r="D124" s="1439"/>
      <c r="E124" s="1439">
        <f>+'Exhibit F'!F113+'Exhibit G State'!F101+'Exhibit H'!D55</f>
        <v>372.9</v>
      </c>
      <c r="F124" s="1439"/>
      <c r="G124" s="1439">
        <f>+'Exhibit F'!H113+'Exhibit G State'!H101+'Exhibit H'!F55</f>
        <v>335.80000000000007</v>
      </c>
      <c r="H124" s="1439"/>
      <c r="I124" s="1439">
        <f>+'Exhibit F'!J113+'Exhibit G State'!J101+'Exhibit H'!H55</f>
        <v>-308.2</v>
      </c>
      <c r="J124" s="1439"/>
      <c r="K124" s="1439">
        <f>+'Exhibit F'!L113+'Exhibit G State'!L101+'Exhibit H'!J55</f>
        <v>384.5</v>
      </c>
      <c r="L124" s="1439"/>
      <c r="M124" s="1439">
        <f>+'Exhibit F'!N113+'Exhibit G State'!N101+'Exhibit H'!L55</f>
        <v>528.69999999999982</v>
      </c>
      <c r="N124" s="1439"/>
      <c r="O124" s="3143">
        <f>+'Exhibit F'!P113+'Exhibit G State'!P101+'Exhibit H'!N55</f>
        <v>432.00000000000028</v>
      </c>
      <c r="P124" s="1439"/>
      <c r="Q124" s="1439">
        <f>+'Exhibit F'!R113+'Exhibit G State'!R101+'Exhibit H'!P55</f>
        <v>417.1999999999997</v>
      </c>
      <c r="R124" s="1439"/>
      <c r="S124" s="1439">
        <f>+'Exhibit F'!T113+'Exhibit G State'!T101+'Exhibit H'!R55</f>
        <v>435.20000000000005</v>
      </c>
      <c r="T124" s="1439"/>
      <c r="U124" s="1439">
        <f>+'Exhibit F'!V113+'Exhibit G State'!V101+'Exhibit H'!T55</f>
        <v>456.50000000000017</v>
      </c>
      <c r="V124" s="1439"/>
      <c r="W124" s="1439"/>
      <c r="X124" s="1439"/>
      <c r="Y124" s="1439"/>
      <c r="Z124" s="1439"/>
      <c r="AA124" s="2771"/>
      <c r="AB124" s="3143">
        <f>ROUND(SUM(C124:Y124),1)</f>
        <v>3597.9</v>
      </c>
      <c r="AC124" s="3143"/>
      <c r="AD124" s="3394"/>
      <c r="AE124" s="2000">
        <f>+'Exhibit F'!AF113+'Exhibit G State'!AG101+'Exhibit H'!AD55</f>
        <v>4526.2</v>
      </c>
      <c r="AF124" s="3145"/>
      <c r="AG124" s="3145"/>
      <c r="AH124" s="3143">
        <f>ROUND(SUM(AB124-AE124),1)</f>
        <v>-928.3</v>
      </c>
      <c r="AI124" s="3101"/>
      <c r="AJ124" s="1818">
        <f>ROUND(SUM(AH124/ABS(AE124)),3)</f>
        <v>-0.20499999999999999</v>
      </c>
    </row>
    <row r="125" spans="1:38" ht="15">
      <c r="A125" s="1440" t="s">
        <v>39</v>
      </c>
      <c r="B125" s="1440"/>
      <c r="C125" s="1439">
        <f>+'Exhibit F'!D114+'Exhibit G State'!D102</f>
        <v>512.5</v>
      </c>
      <c r="D125" s="1439"/>
      <c r="E125" s="1439">
        <f>+'Exhibit F'!F114+'Exhibit G State'!F102</f>
        <v>370.30000000000007</v>
      </c>
      <c r="F125" s="1439"/>
      <c r="G125" s="1439">
        <f>+'Exhibit F'!H114+'Exhibit G State'!H102</f>
        <v>2582.6</v>
      </c>
      <c r="H125" s="1439"/>
      <c r="I125" s="1439">
        <f>+'Exhibit F'!J114+'Exhibit G State'!J102</f>
        <v>388.2000000000001</v>
      </c>
      <c r="J125" s="1439"/>
      <c r="K125" s="1439">
        <f>+'Exhibit F'!L114+'Exhibit G State'!L102</f>
        <v>343.2999999999999</v>
      </c>
      <c r="L125" s="1439"/>
      <c r="M125" s="1439">
        <f>+'Exhibit F'!N114+'Exhibit G State'!N102</f>
        <v>592.5999999999998</v>
      </c>
      <c r="N125" s="1439"/>
      <c r="O125" s="3143">
        <f>+'Exhibit F'!P114+'Exhibit G State'!P102</f>
        <v>434.00000000000051</v>
      </c>
      <c r="P125" s="1439"/>
      <c r="Q125" s="1439">
        <f>+'Exhibit F'!R114+'Exhibit G State'!R102</f>
        <v>470.7999999999995</v>
      </c>
      <c r="R125" s="1439"/>
      <c r="S125" s="1439">
        <f>+'Exhibit F'!T114+'Exhibit G State'!T102</f>
        <v>362.10000000000025</v>
      </c>
      <c r="T125" s="1439"/>
      <c r="U125" s="1439">
        <f>+'Exhibit F'!V114+'Exhibit G State'!V102</f>
        <v>-217.49999999999983</v>
      </c>
      <c r="V125" s="1439"/>
      <c r="W125" s="1439"/>
      <c r="X125" s="1439"/>
      <c r="Y125" s="1439"/>
      <c r="Z125" s="1439"/>
      <c r="AA125" s="2771"/>
      <c r="AB125" s="3143">
        <f>ROUND(SUM(C125:Y125),1)</f>
        <v>5838.9</v>
      </c>
      <c r="AC125" s="3143"/>
      <c r="AD125" s="3394"/>
      <c r="AE125" s="2000">
        <f>+'Exhibit F'!AF114+'Exhibit G State'!AG102</f>
        <v>7402.4000000000005</v>
      </c>
      <c r="AF125" s="3145"/>
      <c r="AG125" s="3145"/>
      <c r="AH125" s="3143">
        <f>ROUND(SUM(AB125-AE125),1)</f>
        <v>-1563.5</v>
      </c>
      <c r="AI125" s="3101"/>
      <c r="AJ125" s="1818">
        <f>ROUND(SUM(AH125/ABS(AE125)),3)</f>
        <v>-0.21099999999999999</v>
      </c>
    </row>
    <row r="126" spans="1:38" ht="15">
      <c r="A126" s="1440" t="s">
        <v>40</v>
      </c>
      <c r="B126" s="1440"/>
      <c r="C126" s="2769"/>
      <c r="D126" s="1439"/>
      <c r="E126" s="2769"/>
      <c r="F126" s="1439"/>
      <c r="G126" s="2769"/>
      <c r="H126" s="1439"/>
      <c r="I126" s="2769"/>
      <c r="J126" s="1439"/>
      <c r="K126" s="2769"/>
      <c r="L126" s="1439"/>
      <c r="M126" s="2769"/>
      <c r="N126" s="1439"/>
      <c r="O126" s="3145"/>
      <c r="P126" s="1439"/>
      <c r="Q126" s="2769"/>
      <c r="R126" s="1439"/>
      <c r="S126" s="2769"/>
      <c r="T126" s="1439"/>
      <c r="U126" s="2769"/>
      <c r="V126" s="1439"/>
      <c r="W126" s="2769"/>
      <c r="X126" s="1439"/>
      <c r="Y126" s="2769"/>
      <c r="Z126" s="1439"/>
      <c r="AA126" s="2771"/>
      <c r="AB126" s="3143"/>
      <c r="AC126" s="3143"/>
      <c r="AD126" s="3394"/>
      <c r="AE126" s="3145"/>
      <c r="AF126" s="3145"/>
      <c r="AG126" s="3145"/>
      <c r="AH126" s="3143"/>
      <c r="AI126" s="3101"/>
      <c r="AJ126" s="1818"/>
    </row>
    <row r="127" spans="1:38" ht="15">
      <c r="A127" s="1440" t="s">
        <v>41</v>
      </c>
      <c r="B127" s="1440"/>
      <c r="C127" s="1439">
        <f>+'Exhibit H'!B57</f>
        <v>36.5</v>
      </c>
      <c r="D127" s="1439"/>
      <c r="E127" s="1439">
        <f>+'Exhibit H'!D57</f>
        <v>23.5</v>
      </c>
      <c r="F127" s="1439"/>
      <c r="G127" s="1439">
        <f>+'Exhibit H'!F57</f>
        <v>28.900000000000006</v>
      </c>
      <c r="H127" s="1439"/>
      <c r="I127" s="1439">
        <f>+'Exhibit H'!H57</f>
        <v>10.699999999999989</v>
      </c>
      <c r="J127" s="1439"/>
      <c r="K127" s="1439">
        <f>+'Exhibit H'!J57</f>
        <v>337.59999999999997</v>
      </c>
      <c r="L127" s="1439"/>
      <c r="M127" s="1439">
        <f>+'Exhibit H'!L57</f>
        <v>841.8</v>
      </c>
      <c r="N127" s="1439"/>
      <c r="O127" s="3143">
        <f>+'Exhibit H'!N57</f>
        <v>39.799999999999955</v>
      </c>
      <c r="P127" s="1439"/>
      <c r="Q127" s="1439">
        <f>+'Exhibit H'!P57</f>
        <v>30.400000000000091</v>
      </c>
      <c r="R127" s="1439"/>
      <c r="S127" s="1439">
        <f>+'Exhibit H'!R57</f>
        <v>1229.8000000000002</v>
      </c>
      <c r="T127" s="1439"/>
      <c r="U127" s="1439">
        <f>+'Exhibit H'!T57</f>
        <v>10.599999999999909</v>
      </c>
      <c r="V127" s="1439"/>
      <c r="W127" s="1439"/>
      <c r="X127" s="1439"/>
      <c r="Y127" s="1439"/>
      <c r="Z127" s="1439"/>
      <c r="AA127" s="2771"/>
      <c r="AB127" s="3143">
        <f>ROUND(SUM(C127:Y127),1)</f>
        <v>2589.6</v>
      </c>
      <c r="AC127" s="3143"/>
      <c r="AD127" s="3394"/>
      <c r="AE127" s="2041">
        <f>+'Exhibit H'!AD57</f>
        <v>1556.8</v>
      </c>
      <c r="AF127" s="3145"/>
      <c r="AG127" s="3145"/>
      <c r="AH127" s="3143">
        <f>ROUND(SUM(AB127-AE127),1)</f>
        <v>1032.8</v>
      </c>
      <c r="AI127" s="3101"/>
      <c r="AJ127" s="1818">
        <f>ROUND(SUM(AH127/ABS(AE127)),3)</f>
        <v>0.66300000000000003</v>
      </c>
    </row>
    <row r="128" spans="1:38" ht="15">
      <c r="A128" s="1440" t="s">
        <v>140</v>
      </c>
      <c r="B128" s="1440"/>
      <c r="C128" s="1439">
        <f>'Exhibit G State'!D103</f>
        <v>0</v>
      </c>
      <c r="D128" s="1439"/>
      <c r="E128" s="1439">
        <f>'Exhibit G State'!F103</f>
        <v>0</v>
      </c>
      <c r="F128" s="1439"/>
      <c r="G128" s="1439">
        <f>'Exhibit G State'!H103</f>
        <v>0</v>
      </c>
      <c r="H128" s="1439"/>
      <c r="I128" s="1439">
        <f>'Exhibit G State'!J103</f>
        <v>0</v>
      </c>
      <c r="J128" s="1439"/>
      <c r="K128" s="1439">
        <f>'Exhibit G State'!L103</f>
        <v>0</v>
      </c>
      <c r="L128" s="1439"/>
      <c r="M128" s="1439">
        <f>'Exhibit G State'!N103</f>
        <v>0</v>
      </c>
      <c r="N128" s="1439"/>
      <c r="O128" s="3143">
        <f>'Exhibit G State'!P103</f>
        <v>0</v>
      </c>
      <c r="P128" s="1439"/>
      <c r="Q128" s="1439">
        <f>'Exhibit G State'!R103</f>
        <v>0</v>
      </c>
      <c r="R128" s="1439"/>
      <c r="S128" s="1439">
        <f>'Exhibit G State'!T103</f>
        <v>0</v>
      </c>
      <c r="T128" s="1439"/>
      <c r="U128" s="1439">
        <f>'Exhibit G State'!V103</f>
        <v>0</v>
      </c>
      <c r="V128" s="1439"/>
      <c r="W128" s="1439"/>
      <c r="X128" s="1439"/>
      <c r="Y128" s="1439"/>
      <c r="Z128" s="1439"/>
      <c r="AA128" s="2770"/>
      <c r="AB128" s="3143">
        <f>ROUND(SUM(C128:Y128),1)</f>
        <v>0</v>
      </c>
      <c r="AC128" s="3143"/>
      <c r="AD128" s="3394"/>
      <c r="AE128" s="2041">
        <f>+'Exhibit G'!AG105</f>
        <v>0</v>
      </c>
      <c r="AF128" s="3145"/>
      <c r="AG128" s="3145"/>
      <c r="AH128" s="3143">
        <f>ROUND(SUM(AB128-AE128),1)</f>
        <v>0</v>
      </c>
      <c r="AI128" s="3101"/>
      <c r="AJ128" s="1724">
        <f>ROUND(IF(AE128=0,0,AH128/ABS(AE128)),3)</f>
        <v>0</v>
      </c>
    </row>
    <row r="129" spans="1:59" ht="16.5" customHeight="1">
      <c r="A129" s="1440"/>
      <c r="B129" s="1440"/>
      <c r="C129" s="3533"/>
      <c r="D129" s="1439"/>
      <c r="E129" s="3533"/>
      <c r="F129" s="1439"/>
      <c r="G129" s="3533"/>
      <c r="H129" s="1439"/>
      <c r="I129" s="3533"/>
      <c r="J129" s="1439"/>
      <c r="K129" s="3533"/>
      <c r="L129" s="1439"/>
      <c r="M129" s="3533"/>
      <c r="N129" s="1439"/>
      <c r="O129" s="3534"/>
      <c r="P129" s="1439"/>
      <c r="Q129" s="3533"/>
      <c r="R129" s="1439"/>
      <c r="S129" s="3533"/>
      <c r="T129" s="1439"/>
      <c r="U129" s="3533"/>
      <c r="V129" s="1439"/>
      <c r="W129" s="3533"/>
      <c r="X129" s="1439"/>
      <c r="Y129" s="3533"/>
      <c r="Z129" s="1439"/>
      <c r="AA129" s="2771"/>
      <c r="AB129" s="3534"/>
      <c r="AC129" s="3143"/>
      <c r="AD129" s="3394"/>
      <c r="AE129" s="3534"/>
      <c r="AF129" s="3145"/>
      <c r="AG129" s="3145"/>
      <c r="AH129" s="3534"/>
      <c r="AI129" s="3101"/>
      <c r="AJ129" s="3535"/>
    </row>
    <row r="130" spans="1:59" ht="16.5" customHeight="1">
      <c r="A130" s="2010" t="s">
        <v>57</v>
      </c>
      <c r="B130" s="1440"/>
      <c r="C130" s="2781">
        <f>ROUND(SUM(C121:C128),1)</f>
        <v>4373</v>
      </c>
      <c r="D130" s="2779"/>
      <c r="E130" s="2781">
        <f>ROUND(SUM(E121:E128),1)</f>
        <v>7970.3</v>
      </c>
      <c r="F130" s="2779"/>
      <c r="G130" s="2781">
        <f>ROUND(SUM(G121:G128),1)</f>
        <v>10709.9</v>
      </c>
      <c r="H130" s="2779"/>
      <c r="I130" s="2781">
        <f>ROUND(SUM(I121:I128),1)</f>
        <v>5645.6</v>
      </c>
      <c r="J130" s="2779"/>
      <c r="K130" s="2781">
        <f>ROUND(SUM(K121:K128),1)</f>
        <v>5375.1</v>
      </c>
      <c r="L130" s="2779"/>
      <c r="M130" s="2781">
        <f>ROUND(SUM(M121:M128),1)</f>
        <v>10619.8</v>
      </c>
      <c r="N130" s="2779"/>
      <c r="O130" s="3147">
        <f>ROUND(SUM(O121:O128),1)</f>
        <v>5191</v>
      </c>
      <c r="P130" s="2779"/>
      <c r="Q130" s="2781">
        <f>ROUND(SUM(Q121:Q128),1)</f>
        <v>5899.1</v>
      </c>
      <c r="R130" s="2779"/>
      <c r="S130" s="2781">
        <f>ROUND(SUM(S121:S128),1)</f>
        <v>8109</v>
      </c>
      <c r="T130" s="2779"/>
      <c r="U130" s="2781">
        <f>ROUND(SUM(U121:U128),1)</f>
        <v>5914.1</v>
      </c>
      <c r="V130" s="2779"/>
      <c r="W130" s="2781">
        <f>ROUND(SUM(W121:W128),1)</f>
        <v>0</v>
      </c>
      <c r="X130" s="2779"/>
      <c r="Y130" s="2781">
        <f>ROUND(SUM(Y121:Y128),1)</f>
        <v>0</v>
      </c>
      <c r="Z130" s="2779"/>
      <c r="AA130" s="2780"/>
      <c r="AB130" s="3147">
        <f>ROUND(SUM(AB121:AB128),1)</f>
        <v>69806.899999999994</v>
      </c>
      <c r="AC130" s="3402"/>
      <c r="AD130" s="3401"/>
      <c r="AE130" s="1559">
        <f>ROUND(SUM(AE121:AE129),1)</f>
        <v>79727.399999999994</v>
      </c>
      <c r="AF130" s="3144"/>
      <c r="AG130" s="3144"/>
      <c r="AH130" s="1559">
        <f>ROUND(SUM(AH121:AH129),1)</f>
        <v>-9920.5</v>
      </c>
      <c r="AI130" s="3085"/>
      <c r="AJ130" s="2573">
        <f>ROUND(SUM(AH130/ABS(AE130)),3)</f>
        <v>-0.124</v>
      </c>
      <c r="AK130" s="2765"/>
      <c r="AL130" s="2765"/>
      <c r="AM130" s="2765"/>
      <c r="AN130" s="2765"/>
      <c r="AO130" s="2765"/>
      <c r="AP130" s="2765"/>
      <c r="AQ130" s="2765"/>
      <c r="AR130" s="2765"/>
    </row>
    <row r="131" spans="1:59" ht="16.5" customHeight="1">
      <c r="A131" s="2010"/>
      <c r="B131" s="1440"/>
      <c r="C131" s="1439"/>
      <c r="D131" s="1439"/>
      <c r="E131" s="1439"/>
      <c r="F131" s="1439"/>
      <c r="G131" s="1439"/>
      <c r="H131" s="1439"/>
      <c r="I131" s="1439"/>
      <c r="J131" s="1439"/>
      <c r="K131" s="1439"/>
      <c r="L131" s="1439"/>
      <c r="M131" s="1439"/>
      <c r="N131" s="1439"/>
      <c r="O131" s="3143"/>
      <c r="P131" s="1439"/>
      <c r="Q131" s="1439"/>
      <c r="R131" s="1439"/>
      <c r="S131" s="1439"/>
      <c r="T131" s="1439"/>
      <c r="U131" s="1439"/>
      <c r="V131" s="1439"/>
      <c r="W131" s="1439"/>
      <c r="X131" s="1439"/>
      <c r="Y131" s="1439"/>
      <c r="Z131" s="1439"/>
      <c r="AA131" s="2771"/>
      <c r="AB131" s="3143"/>
      <c r="AC131" s="3143"/>
      <c r="AD131" s="3394"/>
      <c r="AE131" s="3143"/>
      <c r="AF131" s="3145"/>
      <c r="AG131" s="3145"/>
      <c r="AH131" s="2000"/>
      <c r="AI131" s="3101"/>
      <c r="AJ131" s="3356"/>
    </row>
    <row r="132" spans="1:59" ht="16.5" customHeight="1">
      <c r="A132" s="2010" t="s">
        <v>44</v>
      </c>
      <c r="B132" s="1440"/>
      <c r="C132" s="1439"/>
      <c r="D132" s="1439"/>
      <c r="E132" s="1439"/>
      <c r="F132" s="1439"/>
      <c r="G132" s="1439"/>
      <c r="H132" s="1439"/>
      <c r="I132" s="1439"/>
      <c r="J132" s="1439"/>
      <c r="K132" s="1439"/>
      <c r="L132" s="1439"/>
      <c r="M132" s="1439"/>
      <c r="N132" s="1439"/>
      <c r="O132" s="3143"/>
      <c r="P132" s="1439"/>
      <c r="Q132" s="1439"/>
      <c r="R132" s="1439"/>
      <c r="S132" s="1439"/>
      <c r="T132" s="1439"/>
      <c r="U132" s="1439"/>
      <c r="V132" s="1439"/>
      <c r="W132" s="1439"/>
      <c r="X132" s="1439"/>
      <c r="Y132" s="1439"/>
      <c r="Z132" s="1439"/>
      <c r="AA132" s="2771"/>
      <c r="AB132" s="3143"/>
      <c r="AC132" s="3143"/>
      <c r="AD132" s="3394"/>
      <c r="AE132" s="3143"/>
      <c r="AF132" s="3145"/>
      <c r="AG132" s="3145"/>
      <c r="AH132" s="2000"/>
      <c r="AI132" s="3101"/>
      <c r="AJ132" s="3356"/>
    </row>
    <row r="133" spans="1:59" ht="16.5" customHeight="1">
      <c r="A133" s="2010" t="s">
        <v>45</v>
      </c>
      <c r="B133" s="1440"/>
      <c r="C133" s="2781">
        <f>ROUND(SUM(C107-C130),1)</f>
        <v>642.1</v>
      </c>
      <c r="D133" s="2779"/>
      <c r="E133" s="2781">
        <f>ROUND(SUM(E107-E130),1)</f>
        <v>-2576.1999999999998</v>
      </c>
      <c r="F133" s="2779"/>
      <c r="G133" s="2781">
        <f>ROUND(SUM(G107-G130),1)</f>
        <v>1468.5</v>
      </c>
      <c r="H133" s="2779"/>
      <c r="I133" s="2781">
        <f>ROUND(SUM(I107-I130),1)</f>
        <v>8327.1</v>
      </c>
      <c r="J133" s="2779"/>
      <c r="K133" s="2781">
        <f>ROUND(SUM(K107-K130),1)</f>
        <v>264.89999999999998</v>
      </c>
      <c r="L133" s="2779"/>
      <c r="M133" s="2781">
        <f>ROUND(SUM(M107-M130),1)</f>
        <v>57.3</v>
      </c>
      <c r="N133" s="2779"/>
      <c r="O133" s="3147">
        <f>ROUND(SUM(O107-O130),1)</f>
        <v>848</v>
      </c>
      <c r="P133" s="2779"/>
      <c r="Q133" s="2781">
        <f>ROUND(SUM(Q107-Q130),1)</f>
        <v>-115.9</v>
      </c>
      <c r="R133" s="2779"/>
      <c r="S133" s="2781">
        <f>ROUND(SUM(S107-S130),1)</f>
        <v>1996.3</v>
      </c>
      <c r="T133" s="2779"/>
      <c r="U133" s="2781">
        <f>ROUND(SUM(U107-U130),1)</f>
        <v>7097.6</v>
      </c>
      <c r="V133" s="2779"/>
      <c r="W133" s="2781">
        <f>ROUND(SUM(W107-W130),1)</f>
        <v>0</v>
      </c>
      <c r="X133" s="2779"/>
      <c r="Y133" s="2781">
        <f>ROUND(SUM(Y107-Y130),1)</f>
        <v>0</v>
      </c>
      <c r="Z133" s="2779"/>
      <c r="AA133" s="2780"/>
      <c r="AB133" s="3147">
        <f>ROUND(SUM(AB107-AB130),1)</f>
        <v>18009.7</v>
      </c>
      <c r="AC133" s="3402"/>
      <c r="AD133" s="3401"/>
      <c r="AE133" s="3147">
        <f>ROUND(SUM(AE107-AE130),1)</f>
        <v>7894.8</v>
      </c>
      <c r="AF133" s="3144"/>
      <c r="AG133" s="3144"/>
      <c r="AH133" s="3362">
        <f>ROUND(SUM(AB133-AE133),1)</f>
        <v>10114.9</v>
      </c>
      <c r="AI133" s="3085"/>
      <c r="AJ133" s="2183">
        <f>ROUND(SUM(AH133/ABS(AE133)),3)</f>
        <v>1.2809999999999999</v>
      </c>
      <c r="AK133" s="2765"/>
      <c r="AL133" s="2765"/>
    </row>
    <row r="134" spans="1:59" ht="16.5" customHeight="1">
      <c r="A134" s="1842"/>
      <c r="B134" s="1440"/>
      <c r="C134" s="2774"/>
      <c r="D134" s="1439"/>
      <c r="E134" s="2774"/>
      <c r="F134" s="1439"/>
      <c r="G134" s="2774"/>
      <c r="H134" s="1439"/>
      <c r="I134" s="2774"/>
      <c r="J134" s="1439"/>
      <c r="K134" s="2774"/>
      <c r="L134" s="1439"/>
      <c r="M134" s="2774"/>
      <c r="N134" s="1439"/>
      <c r="O134" s="2560"/>
      <c r="P134" s="1439"/>
      <c r="Q134" s="2774"/>
      <c r="R134" s="1439"/>
      <c r="S134" s="2774"/>
      <c r="T134" s="1439"/>
      <c r="U134" s="2774"/>
      <c r="V134" s="1439"/>
      <c r="W134" s="2774"/>
      <c r="X134" s="1439"/>
      <c r="Y134" s="2774"/>
      <c r="Z134" s="2782"/>
      <c r="AA134" s="2771"/>
      <c r="AB134" s="2560"/>
      <c r="AC134" s="3143"/>
      <c r="AD134" s="3394"/>
      <c r="AE134" s="2560"/>
      <c r="AF134" s="3145"/>
      <c r="AG134" s="3145"/>
      <c r="AH134" s="2000"/>
      <c r="AI134" s="3101"/>
      <c r="AJ134" s="3356"/>
    </row>
    <row r="135" spans="1:59" ht="16.5" customHeight="1">
      <c r="A135" s="2010" t="s">
        <v>46</v>
      </c>
      <c r="B135" s="1440"/>
      <c r="C135" s="2769"/>
      <c r="D135" s="1439"/>
      <c r="E135" s="2769"/>
      <c r="F135" s="2783"/>
      <c r="G135" s="2769"/>
      <c r="H135" s="2783"/>
      <c r="I135" s="2784"/>
      <c r="J135" s="2783"/>
      <c r="K135" s="2784"/>
      <c r="L135" s="2783"/>
      <c r="M135" s="2784"/>
      <c r="N135" s="2783"/>
      <c r="O135" s="3878"/>
      <c r="P135" s="2783"/>
      <c r="Q135" s="2784"/>
      <c r="R135" s="2783"/>
      <c r="S135" s="2784"/>
      <c r="T135" s="2783"/>
      <c r="U135" s="2784"/>
      <c r="V135" s="1439"/>
      <c r="W135" s="2784"/>
      <c r="X135" s="1439"/>
      <c r="Y135" s="2784"/>
      <c r="Z135" s="2785"/>
      <c r="AA135" s="2771"/>
      <c r="AB135" s="3145"/>
      <c r="AC135" s="3403"/>
      <c r="AD135" s="3143"/>
      <c r="AE135" s="3145"/>
      <c r="AF135" s="3145"/>
      <c r="AG135" s="3145"/>
      <c r="AH135" s="2000"/>
      <c r="AI135" s="3101"/>
      <c r="AJ135" s="3356"/>
    </row>
    <row r="136" spans="1:59" ht="16.5" customHeight="1">
      <c r="A136" s="1440" t="s">
        <v>1171</v>
      </c>
      <c r="B136" s="1440"/>
      <c r="C136" s="2786">
        <f>+'Exhibit F'!D123+'Exhibit F'!D124+'Exhibit F'!D125+'Exhibit F'!D126+'Exhibit G State'!D111+'Exhibit H'!B66</f>
        <v>1939.1</v>
      </c>
      <c r="D136" s="1439"/>
      <c r="E136" s="2786">
        <f>+'Exhibit F'!F123+'Exhibit F'!F124+'Exhibit F'!F125+'Exhibit F'!F126+'Exhibit G State'!F111+'Exhibit H'!D66</f>
        <v>1674.9000000000003</v>
      </c>
      <c r="F136" s="1439"/>
      <c r="G136" s="2786">
        <f>+'Exhibit F'!H123+'Exhibit F'!H124+'Exhibit F'!H125+'Exhibit F'!H126+'Exhibit G State'!H111+'Exhibit H'!F66</f>
        <v>3796.1</v>
      </c>
      <c r="H136" s="1439"/>
      <c r="I136" s="2786">
        <f>+'Exhibit F'!J123+'Exhibit F'!J124+'Exhibit F'!J125+'Exhibit F'!J126+'Exhibit G State'!J111+'Exhibit H'!H66</f>
        <v>5367.5000000000009</v>
      </c>
      <c r="J136" s="1439"/>
      <c r="K136" s="2786">
        <f>+'Exhibit F'!L123+'Exhibit F'!L124+'Exhibit F'!L125+'Exhibit F'!L126+'Exhibit G State'!L111+'Exhibit H'!J66</f>
        <v>1326.8000000000004</v>
      </c>
      <c r="L136" s="1439"/>
      <c r="M136" s="2786">
        <f>+'Exhibit F'!N123+'Exhibit F'!N124+'Exhibit F'!N125+'Exhibit F'!N126+'Exhibit G State'!N111+'Exhibit H'!L66</f>
        <v>3217.1</v>
      </c>
      <c r="N136" s="1439"/>
      <c r="O136" s="3879">
        <f>+'Exhibit F'!P123+'Exhibit F'!P124+'Exhibit F'!P125+'Exhibit F'!P126+'Exhibit G State'!P111+'Exhibit H'!N66</f>
        <v>2037.8999999999996</v>
      </c>
      <c r="P136" s="1439"/>
      <c r="Q136" s="2786">
        <f>+'Exhibit F'!R123+'Exhibit F'!R124+'Exhibit F'!R125+'Exhibit F'!R126+'Exhibit G State'!R111+'Exhibit H'!P66</f>
        <v>1382.499999999998</v>
      </c>
      <c r="R136" s="1439"/>
      <c r="S136" s="2786">
        <f>+'Exhibit F'!T123+'Exhibit F'!T124+'Exhibit F'!T125+'Exhibit F'!T126+'Exhibit G State'!T111+'Exhibit H'!R66</f>
        <v>3217.2000000000021</v>
      </c>
      <c r="T136" s="1439"/>
      <c r="U136" s="2786">
        <f>+'Exhibit F'!V123+'Exhibit F'!V124+'Exhibit F'!V125+'Exhibit F'!V126+'Exhibit G State'!V111+'Exhibit H'!T66</f>
        <v>2534.9</v>
      </c>
      <c r="V136" s="1439"/>
      <c r="W136" s="2786"/>
      <c r="X136" s="1439"/>
      <c r="Y136" s="2786"/>
      <c r="Z136" s="1439"/>
      <c r="AA136" s="2771"/>
      <c r="AB136" s="3143">
        <f>ROUND(SUM(C136:Y136),1)</f>
        <v>26494</v>
      </c>
      <c r="AC136" s="3143"/>
      <c r="AD136" s="3396"/>
      <c r="AE136" s="3143">
        <f>'Exhibit F'!AF123+'Exhibit F'!AF124+'Exhibit F'!AF125+'Exhibit F'!AF126+'Exhibit G State'!AG111+'Exhibit H'!AD66</f>
        <v>34398.6</v>
      </c>
      <c r="AF136" s="3145"/>
      <c r="AG136" s="3145"/>
      <c r="AH136" s="3143">
        <f>ROUND(SUM(AB136-AE136),1)</f>
        <v>-7904.6</v>
      </c>
      <c r="AI136" s="3101"/>
      <c r="AJ136" s="1818">
        <f>ROUND(SUM(AH136/ABS(AE136)),3)</f>
        <v>-0.23</v>
      </c>
    </row>
    <row r="137" spans="1:59" ht="16.5" customHeight="1">
      <c r="A137" s="1440" t="s">
        <v>1172</v>
      </c>
      <c r="C137" s="2787">
        <f>+'Exhibit F'!D127+'Exhibit F'!D128+'Exhibit F'!D129+'Exhibit F'!D130+'Exhibit G State'!D112+'Exhibit H'!B67</f>
        <v>-817.89999999999986</v>
      </c>
      <c r="D137" s="2543"/>
      <c r="E137" s="2787">
        <f>+'Exhibit F'!F127+'Exhibit F'!F128+'Exhibit F'!F129+'Exhibit F'!F130+'Exhibit G State'!F112+'Exhibit H'!D67</f>
        <v>-1727.6</v>
      </c>
      <c r="F137" s="2543"/>
      <c r="G137" s="2787">
        <f>+'Exhibit F'!H127+'Exhibit F'!H128+'Exhibit F'!H129+'Exhibit F'!H130+'Exhibit G State'!H112+'Exhibit H'!F67</f>
        <v>-4202.0999999999995</v>
      </c>
      <c r="H137" s="2543"/>
      <c r="I137" s="2787">
        <f>+'Exhibit F'!J127+'Exhibit F'!J128+'Exhibit F'!J129+'Exhibit F'!J130+'Exhibit G State'!J112+'Exhibit H'!H67</f>
        <v>-5633.9</v>
      </c>
      <c r="J137" s="2543"/>
      <c r="K137" s="2787">
        <f>+'Exhibit F'!L127+'Exhibit F'!L128+'Exhibit F'!L129+'Exhibit F'!L130+'Exhibit G State'!L112+'Exhibit H'!J67</f>
        <v>-1841.5999999999995</v>
      </c>
      <c r="L137" s="2543"/>
      <c r="M137" s="2787">
        <f>+'Exhibit F'!N127+'Exhibit F'!N128+'Exhibit F'!N129+'Exhibit F'!N130+'Exhibit G State'!N112+'Exhibit H'!L67</f>
        <v>-3107.4000000000005</v>
      </c>
      <c r="N137" s="2543"/>
      <c r="O137" s="3880">
        <f>+'Exhibit F'!P127+'Exhibit F'!P128+'Exhibit F'!P129+'Exhibit F'!P130+'Exhibit G State'!P112+'Exhibit H'!N67</f>
        <v>-1643.6999999999994</v>
      </c>
      <c r="P137" s="2543"/>
      <c r="Q137" s="2787">
        <f>+'Exhibit F'!R127+'Exhibit F'!R128+'Exhibit F'!R129+'Exhibit F'!R130+'Exhibit G State'!R112+'Exhibit H'!P67</f>
        <v>-2151.3000000000002</v>
      </c>
      <c r="R137" s="2543"/>
      <c r="S137" s="2787">
        <f>+'Exhibit F'!T127+'Exhibit F'!T128+'Exhibit F'!T129+'Exhibit F'!T130+'Exhibit G State'!T112+'Exhibit H'!R67</f>
        <v>-3124.5000000000036</v>
      </c>
      <c r="T137" s="2543"/>
      <c r="U137" s="2787">
        <f>+'Exhibit F'!V127+'Exhibit F'!V128+'Exhibit F'!V129+'Exhibit F'!V130+'Exhibit G State'!V112+'Exhibit H'!T67</f>
        <v>-2815.5000000000023</v>
      </c>
      <c r="V137" s="2543"/>
      <c r="W137" s="2787"/>
      <c r="X137" s="2543"/>
      <c r="Y137" s="2787"/>
      <c r="Z137" s="2543"/>
      <c r="AA137" s="2788"/>
      <c r="AB137" s="3146">
        <f>ROUND(SUM(C137:Y137),1)</f>
        <v>-27065.5</v>
      </c>
      <c r="AC137" s="2550"/>
      <c r="AD137" s="3404"/>
      <c r="AE137" s="3146">
        <f>'Exhibit F'!AF127+'Exhibit F'!AF128+'Exhibit F'!AF129+'Exhibit F'!AF130+'Exhibit G State'!AG112+'Exhibit H'!AD67</f>
        <v>-35645.599999999999</v>
      </c>
      <c r="AF137" s="2560"/>
      <c r="AG137" s="2560"/>
      <c r="AH137" s="3146">
        <f>ROUND(SUM(-AB137+AE137),1)</f>
        <v>-8580.1</v>
      </c>
      <c r="AI137" s="3356"/>
      <c r="AJ137" s="3363">
        <f>ROUND(SUM(AH137/ABS(AE137)),3)</f>
        <v>-0.24099999999999999</v>
      </c>
    </row>
    <row r="138" spans="1:59" ht="16.5" customHeight="1">
      <c r="A138" s="1440"/>
      <c r="C138" s="2769"/>
      <c r="D138" s="2543"/>
      <c r="E138" s="2769"/>
      <c r="F138" s="2543"/>
      <c r="G138" s="2769"/>
      <c r="H138" s="2543"/>
      <c r="I138" s="2769"/>
      <c r="J138" s="2543"/>
      <c r="K138" s="2769"/>
      <c r="L138" s="2543"/>
      <c r="M138" s="2769"/>
      <c r="N138" s="2543"/>
      <c r="O138" s="3145"/>
      <c r="P138" s="2543"/>
      <c r="Q138" s="2769"/>
      <c r="R138" s="2543"/>
      <c r="S138" s="2769"/>
      <c r="T138" s="2543"/>
      <c r="U138" s="2769"/>
      <c r="V138" s="2543"/>
      <c r="W138" s="2769"/>
      <c r="X138" s="2543"/>
      <c r="Y138" s="2769"/>
      <c r="Z138" s="2543"/>
      <c r="AA138" s="2788"/>
      <c r="AB138" s="3145"/>
      <c r="AC138" s="2550"/>
      <c r="AD138" s="3404"/>
      <c r="AE138" s="3145"/>
      <c r="AF138" s="2560"/>
      <c r="AG138" s="2560"/>
      <c r="AH138" s="3145"/>
      <c r="AI138" s="3356"/>
      <c r="AJ138" s="1448"/>
    </row>
    <row r="139" spans="1:59" ht="16.5" customHeight="1">
      <c r="A139" s="2010" t="s">
        <v>49</v>
      </c>
      <c r="C139" s="2781">
        <f>ROUND(SUM(C136:C137),1)</f>
        <v>1121.2</v>
      </c>
      <c r="D139" s="2789"/>
      <c r="E139" s="2781">
        <f>ROUND(SUM(E136:E137),1)</f>
        <v>-52.7</v>
      </c>
      <c r="F139" s="2789"/>
      <c r="G139" s="2781">
        <f>ROUND(SUM(G136:G137),1)</f>
        <v>-406</v>
      </c>
      <c r="H139" s="2789"/>
      <c r="I139" s="2781">
        <f>ROUND(SUM(I136:I137),1)</f>
        <v>-266.39999999999998</v>
      </c>
      <c r="J139" s="2789"/>
      <c r="K139" s="2781">
        <f>ROUND(SUM(K136:K137),1)</f>
        <v>-514.79999999999995</v>
      </c>
      <c r="L139" s="2789"/>
      <c r="M139" s="2781">
        <f>ROUND(SUM(M136:M137),1)</f>
        <v>109.7</v>
      </c>
      <c r="N139" s="2789"/>
      <c r="O139" s="3147">
        <f>ROUND(SUM(O136:O137),1)</f>
        <v>394.2</v>
      </c>
      <c r="P139" s="2789"/>
      <c r="Q139" s="2781">
        <f>ROUND(SUM(Q136:Q137),1)</f>
        <v>-768.8</v>
      </c>
      <c r="R139" s="2789"/>
      <c r="S139" s="2781">
        <f>ROUND(SUM(S136:S137),1)</f>
        <v>92.7</v>
      </c>
      <c r="T139" s="2789"/>
      <c r="U139" s="2781">
        <f>ROUND(SUM(U136:U137),1)</f>
        <v>-280.60000000000002</v>
      </c>
      <c r="V139" s="2789"/>
      <c r="W139" s="2781">
        <f>ROUND(SUM(W136:W137),1)</f>
        <v>0</v>
      </c>
      <c r="X139" s="2789"/>
      <c r="Y139" s="2781">
        <f>ROUND(SUM(Y136:Y137),1)</f>
        <v>0</v>
      </c>
      <c r="Z139" s="2789"/>
      <c r="AA139" s="2790"/>
      <c r="AB139" s="3147">
        <f>ROUND(SUM(AB136:AB137),1)</f>
        <v>-571.5</v>
      </c>
      <c r="AC139" s="2555"/>
      <c r="AD139" s="3405"/>
      <c r="AE139" s="3147">
        <f>ROUND(SUM(AE136:AE137),1)</f>
        <v>-1247</v>
      </c>
      <c r="AF139" s="3364"/>
      <c r="AG139" s="2560"/>
      <c r="AH139" s="3147">
        <f>ROUND(SUM(AH136-AH137),1)</f>
        <v>675.5</v>
      </c>
      <c r="AI139" s="2172"/>
      <c r="AJ139" s="2183">
        <f>-ROUND(SUM(-AH139/ABS(AE139)),3)</f>
        <v>0.54200000000000004</v>
      </c>
      <c r="AK139" s="2765"/>
      <c r="AL139" s="2765"/>
    </row>
    <row r="140" spans="1:59" ht="16.5" customHeight="1">
      <c r="A140" s="1842"/>
      <c r="C140" s="2543"/>
      <c r="D140" s="2543"/>
      <c r="E140" s="2543"/>
      <c r="F140" s="2543"/>
      <c r="G140" s="2543"/>
      <c r="H140" s="2543"/>
      <c r="I140" s="2543"/>
      <c r="J140" s="2543"/>
      <c r="K140" s="2543"/>
      <c r="L140" s="2543"/>
      <c r="M140" s="2543"/>
      <c r="N140" s="2543"/>
      <c r="O140" s="2550"/>
      <c r="P140" s="2543"/>
      <c r="Q140" s="2543"/>
      <c r="R140" s="2543"/>
      <c r="S140" s="2543"/>
      <c r="T140" s="2543"/>
      <c r="U140" s="2543"/>
      <c r="V140" s="2543"/>
      <c r="W140" s="2543"/>
      <c r="X140" s="2543"/>
      <c r="Y140" s="2543"/>
      <c r="Z140" s="2543"/>
      <c r="AA140" s="2788"/>
      <c r="AB140" s="2550"/>
      <c r="AC140" s="2550"/>
      <c r="AD140" s="3404"/>
      <c r="AE140" s="2550"/>
      <c r="AF140" s="2560"/>
      <c r="AG140" s="3365"/>
      <c r="AH140" s="2000"/>
      <c r="AI140" s="3356"/>
      <c r="AJ140" s="3356"/>
    </row>
    <row r="141" spans="1:59" ht="16.5" customHeight="1">
      <c r="A141" s="2172" t="s">
        <v>44</v>
      </c>
      <c r="C141" s="2769"/>
      <c r="D141" s="2543"/>
      <c r="E141" s="2769"/>
      <c r="F141" s="2543"/>
      <c r="G141" s="2769"/>
      <c r="H141" s="2543"/>
      <c r="I141" s="2769"/>
      <c r="J141" s="2543"/>
      <c r="K141" s="2769"/>
      <c r="L141" s="2543"/>
      <c r="M141" s="2769"/>
      <c r="N141" s="2543"/>
      <c r="O141" s="3145"/>
      <c r="P141" s="2543"/>
      <c r="Q141" s="2769"/>
      <c r="R141" s="2543"/>
      <c r="S141" s="2769"/>
      <c r="T141" s="2543"/>
      <c r="U141" s="2769"/>
      <c r="V141" s="2543"/>
      <c r="W141" s="2769"/>
      <c r="X141" s="2543"/>
      <c r="Y141" s="2769"/>
      <c r="Z141" s="2543"/>
      <c r="AA141" s="2788"/>
      <c r="AB141" s="3145"/>
      <c r="AC141" s="2550"/>
      <c r="AD141" s="3404"/>
      <c r="AE141" s="3145"/>
      <c r="AF141" s="2560"/>
      <c r="AG141" s="3366"/>
      <c r="AH141" s="2000"/>
      <c r="AI141" s="3356"/>
      <c r="AJ141" s="3356"/>
    </row>
    <row r="142" spans="1:59" ht="16.5" customHeight="1">
      <c r="A142" s="2172" t="s">
        <v>50</v>
      </c>
      <c r="C142" s="2779"/>
      <c r="D142" s="2789"/>
      <c r="E142" s="2779"/>
      <c r="F142" s="2789"/>
      <c r="G142" s="2779"/>
      <c r="H142" s="2789"/>
      <c r="I142" s="2779"/>
      <c r="J142" s="2789"/>
      <c r="K142" s="2779"/>
      <c r="L142" s="2789"/>
      <c r="M142" s="2779"/>
      <c r="N142" s="2789"/>
      <c r="O142" s="3402"/>
      <c r="P142" s="2789"/>
      <c r="Q142" s="2779"/>
      <c r="R142" s="2789"/>
      <c r="S142" s="2779"/>
      <c r="T142" s="2789"/>
      <c r="U142" s="2779"/>
      <c r="V142" s="2789"/>
      <c r="W142" s="2779"/>
      <c r="X142" s="2789"/>
      <c r="Y142" s="2779"/>
      <c r="Z142" s="2789"/>
      <c r="AA142" s="2790"/>
      <c r="AB142" s="3402"/>
      <c r="AC142" s="2555"/>
      <c r="AD142" s="3405"/>
      <c r="AE142" s="3402"/>
      <c r="AF142" s="2560"/>
      <c r="AG142" s="3365"/>
      <c r="AH142" s="2050"/>
      <c r="AI142" s="2172"/>
      <c r="AJ142" s="2172"/>
      <c r="AK142" s="2765"/>
      <c r="AL142" s="2765"/>
      <c r="AM142" s="2765"/>
      <c r="AN142" s="2765"/>
      <c r="AO142" s="2765"/>
      <c r="AP142" s="2765"/>
      <c r="AQ142" s="2765"/>
      <c r="AR142" s="2765"/>
      <c r="AS142" s="2765"/>
      <c r="AT142" s="2765"/>
      <c r="AU142" s="2765"/>
      <c r="AV142" s="2765"/>
      <c r="AW142" s="2765"/>
      <c r="AX142" s="2765"/>
      <c r="AY142" s="2765"/>
      <c r="AZ142" s="2765"/>
      <c r="BA142" s="2765"/>
      <c r="BB142" s="2765"/>
      <c r="BC142" s="2765"/>
      <c r="BD142" s="2765"/>
      <c r="BE142" s="2765"/>
      <c r="BF142" s="2765"/>
      <c r="BG142" s="2765"/>
    </row>
    <row r="143" spans="1:59" ht="16.5" customHeight="1">
      <c r="A143" s="2172" t="s">
        <v>51</v>
      </c>
      <c r="C143" s="2791">
        <f>ROUND(SUM(C133+C139),1)</f>
        <v>1763.3</v>
      </c>
      <c r="D143" s="2789"/>
      <c r="E143" s="2791">
        <f>ROUND(SUM(E133+E139),1)</f>
        <v>-2628.9</v>
      </c>
      <c r="F143" s="2789"/>
      <c r="G143" s="2791">
        <f>ROUND(SUM(G133+G139),1)</f>
        <v>1062.5</v>
      </c>
      <c r="H143" s="2789"/>
      <c r="I143" s="2791">
        <f>ROUND(SUM(I133+I139),1)</f>
        <v>8060.7</v>
      </c>
      <c r="J143" s="2789"/>
      <c r="K143" s="2791">
        <f>ROUND(SUM(K133+K139),1)</f>
        <v>-249.9</v>
      </c>
      <c r="L143" s="2789"/>
      <c r="M143" s="2791">
        <f>ROUND(SUM(M133+M139),1)</f>
        <v>167</v>
      </c>
      <c r="N143" s="2789"/>
      <c r="O143" s="3406">
        <f>ROUND(SUM(O133+O139),1)</f>
        <v>1242.2</v>
      </c>
      <c r="P143" s="2789"/>
      <c r="Q143" s="2791">
        <f>ROUND(SUM(Q133+Q139),1)</f>
        <v>-884.7</v>
      </c>
      <c r="R143" s="2789"/>
      <c r="S143" s="2791">
        <f>ROUND(SUM(S133+S139),1)</f>
        <v>2089</v>
      </c>
      <c r="T143" s="2789"/>
      <c r="U143" s="2791">
        <f>ROUND(SUM(U133+U139),1)</f>
        <v>6817</v>
      </c>
      <c r="V143" s="2789"/>
      <c r="W143" s="2791">
        <f>ROUND(SUM(W133+W139),1)</f>
        <v>0</v>
      </c>
      <c r="X143" s="2789"/>
      <c r="Y143" s="2791">
        <f>ROUND(SUM(Y133+Y139),1)</f>
        <v>0</v>
      </c>
      <c r="Z143" s="2789"/>
      <c r="AA143" s="2790"/>
      <c r="AB143" s="3406">
        <f>ROUND(SUM(AB133+AB139),1)</f>
        <v>17438.2</v>
      </c>
      <c r="AC143" s="2555"/>
      <c r="AD143" s="3405"/>
      <c r="AE143" s="3406">
        <f>ROUND(SUM(AE133+AE139),1)</f>
        <v>6647.8</v>
      </c>
      <c r="AF143" s="2560"/>
      <c r="AG143" s="3365"/>
      <c r="AH143" s="3362">
        <f>ROUND(SUM(AB143-AE143),1)</f>
        <v>10790.4</v>
      </c>
      <c r="AI143" s="2172"/>
      <c r="AJ143" s="2183">
        <f>ROUND(SUM(AH143/ABS(AE143)),3)</f>
        <v>1.623</v>
      </c>
      <c r="AK143" s="2765"/>
      <c r="AL143" s="2765"/>
      <c r="AM143" s="2765"/>
      <c r="AN143" s="2765"/>
      <c r="AO143" s="2765"/>
      <c r="AP143" s="2765"/>
      <c r="AQ143" s="2765"/>
      <c r="AR143" s="2765"/>
      <c r="AS143" s="2765"/>
      <c r="AT143" s="2765"/>
      <c r="AU143" s="2765"/>
      <c r="AV143" s="2765"/>
      <c r="AW143" s="2765"/>
      <c r="AX143" s="2765"/>
      <c r="AY143" s="2765"/>
      <c r="AZ143" s="2765"/>
      <c r="BA143" s="2765"/>
      <c r="BB143" s="2765"/>
      <c r="BC143" s="2765"/>
      <c r="BD143" s="2765"/>
      <c r="BE143" s="2765"/>
      <c r="BF143" s="2765"/>
      <c r="BG143" s="2765"/>
    </row>
    <row r="144" spans="1:59" ht="15.75">
      <c r="A144" s="2010"/>
      <c r="C144" s="2759"/>
      <c r="E144" s="2759"/>
      <c r="G144" s="2759"/>
      <c r="I144" s="2759"/>
      <c r="K144" s="2759"/>
      <c r="M144" s="2759"/>
      <c r="O144" s="3391"/>
      <c r="Q144" s="2759"/>
      <c r="S144" s="2759"/>
      <c r="U144" s="2759"/>
      <c r="W144" s="2759"/>
      <c r="Y144" s="2759"/>
      <c r="AA144" s="2793"/>
      <c r="AB144" s="3391"/>
      <c r="AD144" s="3407"/>
      <c r="AE144" s="3875"/>
      <c r="AF144" s="2560"/>
      <c r="AG144" s="3367"/>
      <c r="AH144" s="3356"/>
      <c r="AI144" s="3356"/>
      <c r="AJ144" s="3356"/>
    </row>
    <row r="145" spans="1:37" thickBot="1">
      <c r="A145" s="2794" t="s">
        <v>141</v>
      </c>
      <c r="C145" s="2795">
        <f>ROUND(SUM(C16+C143),1)</f>
        <v>16171.6</v>
      </c>
      <c r="D145" s="2796"/>
      <c r="E145" s="2795">
        <f>ROUND(SUM(E16+E143),1)</f>
        <v>13542.7</v>
      </c>
      <c r="F145" s="2796"/>
      <c r="G145" s="2795">
        <f>ROUND(SUM(G16+G143),1)</f>
        <v>14605.2</v>
      </c>
      <c r="H145" s="2796"/>
      <c r="I145" s="2795">
        <f>ROUND(SUM(I16+I143),1)</f>
        <v>22665.9</v>
      </c>
      <c r="J145" s="2797"/>
      <c r="K145" s="2795">
        <f>ROUND(SUM(K16+K143),1)</f>
        <v>22416</v>
      </c>
      <c r="L145" s="2797"/>
      <c r="M145" s="2795">
        <f>ROUND(SUM(M16+M143),1)</f>
        <v>22583</v>
      </c>
      <c r="N145" s="2797"/>
      <c r="O145" s="3148">
        <f>ROUND(SUM(O16+O143),1)</f>
        <v>23825.200000000001</v>
      </c>
      <c r="P145" s="2797"/>
      <c r="Q145" s="2795">
        <f>ROUND(SUM(Q16+Q143),1)</f>
        <v>22940.5</v>
      </c>
      <c r="R145" s="2797"/>
      <c r="S145" s="2795">
        <f>ROUND(SUM(S16+S143),1)</f>
        <v>25029.5</v>
      </c>
      <c r="T145" s="2797"/>
      <c r="U145" s="2795">
        <f>ROUND(SUM(U16+U143),1)</f>
        <v>31846.5</v>
      </c>
      <c r="V145" s="2797"/>
      <c r="W145" s="2795">
        <f>ROUND(SUM(W16+W143),1)</f>
        <v>0</v>
      </c>
      <c r="X145" s="2797"/>
      <c r="Y145" s="2795">
        <f>ROUND(SUM(Y16+Y143),1)</f>
        <v>0</v>
      </c>
      <c r="Z145" s="2796"/>
      <c r="AA145" s="2792"/>
      <c r="AB145" s="3148">
        <f>ROUND(SUM(AB16+AB143),1)</f>
        <v>31846.5</v>
      </c>
      <c r="AC145" s="3408"/>
      <c r="AD145" s="3367"/>
      <c r="AE145" s="3148">
        <f>ROUND(SUM(AE16+AE143),1)</f>
        <v>19009.099999999999</v>
      </c>
      <c r="AF145" s="2560"/>
      <c r="AG145" s="3367"/>
      <c r="AH145" s="3148">
        <f>ROUND(SUM(AB145-AE145),1)</f>
        <v>12837.4</v>
      </c>
      <c r="AI145" s="2172"/>
      <c r="AJ145" s="3368">
        <f>ROUND(SUM(AH145/ABS(AE145)),3)</f>
        <v>0.67500000000000004</v>
      </c>
      <c r="AK145" s="2765"/>
    </row>
    <row r="146" spans="1:37" thickTop="1">
      <c r="A146" s="2798"/>
      <c r="C146" s="2777"/>
      <c r="AH146" s="3356"/>
      <c r="AI146" s="3356"/>
      <c r="AJ146" s="3356"/>
    </row>
    <row r="147" spans="1:37" ht="15">
      <c r="A147" s="2257" t="s">
        <v>1162</v>
      </c>
      <c r="AH147" s="3356"/>
      <c r="AI147" s="3356"/>
      <c r="AJ147" s="3356"/>
    </row>
    <row r="148" spans="1:37" ht="15">
      <c r="A148" s="2257" t="s">
        <v>1123</v>
      </c>
      <c r="AH148" s="3356"/>
      <c r="AI148" s="3356"/>
      <c r="AJ148" s="3356"/>
    </row>
    <row r="149" spans="1:37" ht="15">
      <c r="A149" s="2799" t="s">
        <v>1193</v>
      </c>
      <c r="AH149" s="3356"/>
      <c r="AI149" s="3356"/>
      <c r="AJ149" s="3356"/>
    </row>
    <row r="150" spans="1:37" ht="16.5" customHeight="1">
      <c r="AH150" s="3356"/>
      <c r="AI150" s="3356"/>
      <c r="AJ150" s="3356"/>
    </row>
    <row r="151" spans="1:37" ht="16.5" customHeight="1">
      <c r="AH151" s="3356"/>
      <c r="AI151" s="3356"/>
      <c r="AJ151" s="3356"/>
    </row>
    <row r="152" spans="1:37" ht="16.5" customHeight="1">
      <c r="AH152" s="3356"/>
      <c r="AI152" s="3356"/>
      <c r="AJ152" s="3356"/>
    </row>
    <row r="153" spans="1:37" ht="16.5" customHeight="1">
      <c r="AH153" s="3356"/>
      <c r="AI153" s="3356"/>
      <c r="AJ153" s="3356"/>
    </row>
    <row r="154" spans="1:37" ht="16.5" customHeight="1">
      <c r="AH154" s="3356"/>
      <c r="AI154" s="3356"/>
      <c r="AJ154" s="3356"/>
    </row>
    <row r="155" spans="1:37" ht="16.5" customHeight="1">
      <c r="AH155" s="3356"/>
      <c r="AI155" s="3356"/>
      <c r="AJ155" s="3356"/>
    </row>
    <row r="156" spans="1:37" ht="16.5" customHeight="1">
      <c r="AH156" s="3356"/>
      <c r="AI156" s="3356"/>
      <c r="AJ156" s="3356"/>
    </row>
    <row r="157" spans="1:37" ht="16.5" customHeight="1">
      <c r="AH157" s="3356"/>
      <c r="AI157" s="3356"/>
      <c r="AJ157" s="3356"/>
    </row>
    <row r="158" spans="1:37" ht="16.5" customHeight="1">
      <c r="AH158" s="3356"/>
      <c r="AI158" s="3356"/>
      <c r="AJ158" s="3356"/>
    </row>
    <row r="159" spans="1:37" ht="16.5" customHeight="1">
      <c r="AH159" s="3356"/>
      <c r="AI159" s="3356"/>
      <c r="AJ159" s="3356"/>
    </row>
    <row r="160" spans="1:37" ht="16.5" customHeight="1">
      <c r="AH160" s="3356"/>
      <c r="AI160" s="3356"/>
      <c r="AJ160" s="3356"/>
    </row>
    <row r="161" spans="34:36" ht="16.5" customHeight="1">
      <c r="AH161" s="3356"/>
      <c r="AI161" s="3356"/>
      <c r="AJ161" s="3356"/>
    </row>
    <row r="162" spans="34:36" ht="16.5" customHeight="1">
      <c r="AH162" s="3356"/>
      <c r="AI162" s="3356"/>
      <c r="AJ162" s="3356"/>
    </row>
    <row r="163" spans="34:36" ht="16.5" customHeight="1">
      <c r="AH163" s="3356"/>
      <c r="AI163" s="3356"/>
      <c r="AJ163" s="3356"/>
    </row>
  </sheetData>
  <mergeCells count="2">
    <mergeCell ref="AC5:AJ5"/>
    <mergeCell ref="AB12:AJ12"/>
  </mergeCells>
  <pageMargins left="0.25" right="0.25" top="0.5" bottom="0.25" header="0.47" footer="0.3"/>
  <pageSetup scale="38" firstPageNumber="18" orientation="landscape" useFirstPageNumber="1" r:id="rId1"/>
  <headerFooter scaleWithDoc="0" alignWithMargins="0">
    <oddFooter>&amp;C&amp;8&amp;P</oddFooter>
  </headerFooter>
  <rowBreaks count="1" manualBreakCount="1">
    <brk id="85" max="35" man="1"/>
  </rowBreaks>
  <ignoredErrors>
    <ignoredError sqref="AJ27:AJ32" unlockedFormula="1"/>
    <ignoredError sqref="AH24 AH35:AI35 AJ54 AJ35 AJ92 AH93 AB26 AJ33" formula="1"/>
    <ignoredError sqref="AJ83 AJ73:AJ75 AJ70 AJ67 AJ69 AJ72 AJ112 AJ36:AJ37 AJ34" formula="1" unlocked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M213"/>
  <sheetViews>
    <sheetView showGridLines="0" zoomScale="80" zoomScaleNormal="60" workbookViewId="0"/>
  </sheetViews>
  <sheetFormatPr defaultColWidth="8.6640625" defaultRowHeight="12.75"/>
  <cols>
    <col min="1" max="1" width="2.5546875" style="2417" customWidth="1"/>
    <col min="2" max="2" width="48.5546875" style="2417" customWidth="1"/>
    <col min="3" max="3" width="1.109375" style="2417" customWidth="1"/>
    <col min="4" max="4" width="12.44140625" style="2417" bestFit="1" customWidth="1"/>
    <col min="5" max="5" width="1.6640625" style="2417" customWidth="1"/>
    <col min="6" max="6" width="12" style="2417" customWidth="1"/>
    <col min="7" max="7" width="1.6640625" style="2417" customWidth="1"/>
    <col min="8" max="8" width="12.109375" style="2417" customWidth="1"/>
    <col min="9" max="9" width="1.6640625" style="2417" customWidth="1"/>
    <col min="10" max="10" width="13.6640625" style="2418" customWidth="1"/>
    <col min="11" max="11" width="1.6640625" style="2417" customWidth="1"/>
    <col min="12" max="12" width="12.109375" style="2417" bestFit="1" customWidth="1"/>
    <col min="13" max="13" width="1.6640625" style="2417" customWidth="1"/>
    <col min="14" max="14" width="13.6640625" style="2417" customWidth="1"/>
    <col min="15" max="15" width="1.6640625" style="2417" customWidth="1"/>
    <col min="16" max="16" width="12.109375" style="2419" customWidth="1"/>
    <col min="17" max="17" width="1.6640625" style="2417" customWidth="1"/>
    <col min="18" max="18" width="12.109375" style="2417" customWidth="1"/>
    <col min="19" max="19" width="1.6640625" style="2417" customWidth="1"/>
    <col min="20" max="20" width="14.6640625" style="2417" customWidth="1"/>
    <col min="21" max="21" width="1.6640625" style="2417" customWidth="1"/>
    <col min="22" max="22" width="12.109375" style="2417" customWidth="1"/>
    <col min="23" max="23" width="1.6640625" style="2417" customWidth="1"/>
    <col min="24" max="24" width="12.6640625" style="2417" customWidth="1"/>
    <col min="25" max="25" width="1.6640625" style="2417" customWidth="1"/>
    <col min="26" max="26" width="10.6640625" style="2417" customWidth="1"/>
    <col min="27" max="27" width="1.5546875" style="2417" customWidth="1"/>
    <col min="28" max="28" width="1.6640625" style="2417" customWidth="1"/>
    <col min="29" max="29" width="13.109375" style="2419" customWidth="1"/>
    <col min="30" max="30" width="1.44140625" style="2419" customWidth="1"/>
    <col min="31" max="31" width="1.109375" style="2419" customWidth="1"/>
    <col min="32" max="32" width="12.109375" style="2419" bestFit="1" customWidth="1"/>
    <col min="33" max="33" width="1" style="2417" customWidth="1"/>
    <col min="34" max="34" width="1.109375" style="2417" customWidth="1"/>
    <col min="35" max="35" width="13.109375" style="2417" bestFit="1" customWidth="1"/>
    <col min="36" max="36" width="1" style="2420" customWidth="1"/>
    <col min="37" max="37" width="13.6640625" style="2421" bestFit="1" customWidth="1"/>
    <col min="38" max="38" width="10.109375" style="2417" customWidth="1"/>
    <col min="39" max="16384" width="8.6640625" style="2417"/>
  </cols>
  <sheetData>
    <row r="1" spans="1:37" ht="15">
      <c r="B1" s="2234" t="s">
        <v>963</v>
      </c>
    </row>
    <row r="2" spans="1:37">
      <c r="A2" s="2422"/>
      <c r="B2" s="2025"/>
      <c r="C2" s="2025"/>
      <c r="D2" s="2025"/>
      <c r="E2" s="2025"/>
      <c r="F2" s="2025"/>
      <c r="G2" s="2025"/>
      <c r="H2" s="2025"/>
      <c r="I2" s="2025"/>
      <c r="J2" s="2423"/>
      <c r="K2" s="2025"/>
      <c r="L2" s="2025"/>
      <c r="M2" s="2025"/>
      <c r="N2" s="2025"/>
      <c r="O2" s="2025"/>
      <c r="P2" s="2192"/>
      <c r="Q2" s="2025"/>
      <c r="R2" s="2025"/>
      <c r="S2" s="2025"/>
      <c r="T2" s="2025"/>
      <c r="U2" s="2025"/>
      <c r="V2" s="2025"/>
      <c r="W2" s="2025"/>
      <c r="X2" s="2025"/>
      <c r="Y2" s="2025"/>
      <c r="Z2" s="2025"/>
      <c r="AA2" s="2025"/>
      <c r="AB2" s="2025"/>
      <c r="AC2" s="2192"/>
      <c r="AD2" s="2192"/>
      <c r="AE2" s="2192"/>
      <c r="AF2" s="2192"/>
      <c r="AG2" s="2025"/>
      <c r="AH2" s="2424"/>
    </row>
    <row r="3" spans="1:37" ht="18">
      <c r="A3" s="2422"/>
      <c r="B3" s="2425" t="s">
        <v>0</v>
      </c>
      <c r="C3" s="2025"/>
      <c r="D3" s="2025"/>
      <c r="E3" s="2025"/>
      <c r="F3" s="2426"/>
      <c r="G3" s="2025"/>
      <c r="H3" s="2025"/>
      <c r="I3" s="2025"/>
      <c r="J3" s="2423"/>
      <c r="K3" s="2025"/>
      <c r="L3" s="2025"/>
      <c r="M3" s="2427"/>
      <c r="N3" s="2428"/>
      <c r="O3" s="2025"/>
      <c r="P3" s="2192"/>
      <c r="Q3" s="2025"/>
      <c r="R3" s="2025"/>
      <c r="S3" s="2025"/>
      <c r="T3" s="2025"/>
      <c r="U3" s="2025"/>
      <c r="V3" s="2025"/>
      <c r="W3" s="2025"/>
      <c r="X3" s="2025"/>
      <c r="Y3" s="2025"/>
      <c r="Z3" s="2025"/>
      <c r="AA3" s="2025"/>
      <c r="AB3" s="2025"/>
      <c r="AC3" s="2192"/>
      <c r="AD3" s="2192"/>
      <c r="AE3" s="2192"/>
      <c r="AF3" s="2192"/>
      <c r="AG3" s="2025"/>
      <c r="AH3" s="2424"/>
      <c r="AK3" s="2429" t="s">
        <v>147</v>
      </c>
    </row>
    <row r="4" spans="1:37" ht="18">
      <c r="A4" s="2422"/>
      <c r="B4" s="2430" t="s">
        <v>146</v>
      </c>
      <c r="C4" s="2025"/>
      <c r="D4" s="2025"/>
      <c r="E4" s="2025"/>
      <c r="F4" s="2426"/>
      <c r="G4" s="2025"/>
      <c r="H4" s="2025" t="s">
        <v>15</v>
      </c>
      <c r="I4" s="2025"/>
      <c r="J4" s="2423"/>
      <c r="K4" s="2025"/>
      <c r="L4" s="2025"/>
      <c r="M4" s="2427"/>
      <c r="N4" s="2428"/>
      <c r="O4" s="2025"/>
      <c r="P4" s="2192"/>
      <c r="Q4" s="2025"/>
      <c r="R4" s="2025"/>
      <c r="S4" s="2025"/>
      <c r="T4" s="2025"/>
      <c r="U4" s="2025"/>
      <c r="V4" s="2025"/>
      <c r="W4" s="2025"/>
      <c r="X4" s="2025"/>
      <c r="Y4" s="2025"/>
      <c r="Z4" s="2025"/>
      <c r="AA4" s="2025"/>
      <c r="AB4" s="2025"/>
      <c r="AC4" s="3149"/>
      <c r="AD4" s="3149"/>
      <c r="AE4" s="3149"/>
      <c r="AF4" s="3486"/>
      <c r="AG4" s="2431"/>
      <c r="AH4" s="2424"/>
    </row>
    <row r="5" spans="1:37" ht="18">
      <c r="A5" s="2422"/>
      <c r="B5" s="2430" t="s">
        <v>148</v>
      </c>
      <c r="C5" s="2025"/>
      <c r="D5" s="2025"/>
      <c r="E5" s="2025"/>
      <c r="F5" s="2426"/>
      <c r="G5" s="2025"/>
      <c r="H5" s="2025"/>
      <c r="I5" s="2025"/>
      <c r="J5" s="2423"/>
      <c r="K5" s="2025"/>
      <c r="L5" s="2025"/>
      <c r="M5" s="2427"/>
      <c r="N5" s="2428"/>
      <c r="O5" s="2025"/>
      <c r="P5" s="2192"/>
      <c r="Q5" s="2025"/>
      <c r="R5" s="2025"/>
      <c r="S5" s="2025"/>
      <c r="T5" s="2025"/>
      <c r="U5" s="2025"/>
      <c r="V5" s="2025"/>
      <c r="W5" s="2025"/>
      <c r="X5" s="2025"/>
      <c r="Y5" s="2025"/>
      <c r="Z5" s="2025"/>
      <c r="AA5" s="2025"/>
      <c r="AB5" s="2025"/>
      <c r="AD5" s="3150"/>
      <c r="AE5" s="3150"/>
      <c r="AH5" s="2424"/>
    </row>
    <row r="6" spans="1:37" ht="18" customHeight="1">
      <c r="A6" s="2422"/>
      <c r="B6" s="2432" t="str">
        <f>'Cashflow Governmental'!A6</f>
        <v xml:space="preserve">FISCAL YEAR 2020-2021   </v>
      </c>
      <c r="C6" s="2025"/>
      <c r="D6" s="2025"/>
      <c r="E6" s="2025"/>
      <c r="F6" s="2426"/>
      <c r="G6" s="2025"/>
      <c r="H6" s="2025"/>
      <c r="I6" s="2025"/>
      <c r="J6" s="2423"/>
      <c r="K6" s="2025"/>
      <c r="L6" s="2025"/>
      <c r="M6" s="2427"/>
      <c r="N6" s="2428"/>
      <c r="O6" s="2025"/>
      <c r="P6" s="2192"/>
      <c r="Q6" s="2025"/>
      <c r="R6" s="2025"/>
      <c r="S6" s="2025"/>
      <c r="T6" s="2025"/>
      <c r="U6" s="2025"/>
      <c r="V6" s="2025"/>
      <c r="W6" s="2025"/>
      <c r="X6" s="2025"/>
      <c r="Y6" s="2025"/>
      <c r="Z6" s="2025"/>
      <c r="AA6" s="2025"/>
      <c r="AB6" s="2025"/>
      <c r="AC6" s="2192"/>
      <c r="AD6" s="2192"/>
      <c r="AE6" s="2192"/>
      <c r="AF6" s="2192"/>
      <c r="AG6" s="2025"/>
      <c r="AH6" s="2424"/>
    </row>
    <row r="7" spans="1:37" ht="15" customHeight="1">
      <c r="A7" s="2422"/>
      <c r="B7" s="2430" t="s">
        <v>1363</v>
      </c>
      <c r="C7" s="2025"/>
      <c r="D7" s="2025"/>
      <c r="E7" s="2025"/>
      <c r="F7" s="2426"/>
      <c r="G7" s="2025"/>
      <c r="H7" s="2025"/>
      <c r="I7" s="2025"/>
      <c r="J7" s="2423"/>
      <c r="K7" s="2025"/>
      <c r="L7" s="2428"/>
      <c r="M7" s="2427"/>
      <c r="N7" s="2025"/>
      <c r="O7" s="2025"/>
      <c r="P7" s="3084"/>
      <c r="Q7" s="2025"/>
      <c r="R7" s="2025"/>
      <c r="S7" s="2025"/>
      <c r="T7" s="2025"/>
      <c r="U7" s="2025"/>
      <c r="V7" s="2025"/>
      <c r="W7" s="2025"/>
      <c r="X7" s="2025"/>
      <c r="Y7" s="2025"/>
      <c r="Z7" s="2025"/>
      <c r="AA7" s="2025"/>
      <c r="AB7" s="2025"/>
      <c r="AC7" s="2192"/>
      <c r="AD7" s="2192"/>
      <c r="AE7" s="2192"/>
      <c r="AF7" s="2192"/>
      <c r="AG7" s="2025"/>
      <c r="AH7" s="2424"/>
    </row>
    <row r="8" spans="1:37" ht="15.75">
      <c r="A8" s="2422"/>
      <c r="B8" s="2025"/>
      <c r="C8" s="2025"/>
      <c r="D8" s="2025"/>
      <c r="E8" s="2025"/>
      <c r="F8" s="2426"/>
      <c r="G8" s="2025"/>
      <c r="H8" s="2025"/>
      <c r="I8" s="2025"/>
      <c r="J8" s="2423"/>
      <c r="K8" s="2025"/>
      <c r="L8" s="2025"/>
      <c r="M8" s="2025"/>
      <c r="N8" s="2025"/>
      <c r="O8" s="2025"/>
      <c r="P8" s="2192"/>
      <c r="Q8" s="2025"/>
      <c r="R8" s="2025"/>
      <c r="S8" s="2025"/>
      <c r="T8" s="2025"/>
      <c r="U8" s="2025"/>
      <c r="V8" s="2025"/>
      <c r="W8" s="2025"/>
      <c r="X8" s="2025"/>
      <c r="Y8" s="2025"/>
      <c r="Z8" s="2025"/>
      <c r="AA8" s="2025"/>
      <c r="AB8" s="3954" t="str">
        <f>+'Cashflow Governmental'!AB12:AJ12</f>
        <v>10 Months Ended January 31</v>
      </c>
      <c r="AC8" s="3954"/>
      <c r="AD8" s="3954"/>
      <c r="AE8" s="3954"/>
      <c r="AF8" s="3954"/>
      <c r="AG8" s="3954"/>
      <c r="AH8" s="3954"/>
      <c r="AI8" s="3954"/>
      <c r="AJ8" s="3954"/>
      <c r="AK8" s="3954"/>
    </row>
    <row r="9" spans="1:37" ht="15" customHeight="1">
      <c r="A9" s="2422"/>
      <c r="B9" s="2022"/>
      <c r="C9" s="2022"/>
      <c r="D9" s="2433" t="str">
        <f>'Cashflow Governmental'!C13</f>
        <v>2020</v>
      </c>
      <c r="E9" s="2434"/>
      <c r="F9" s="2434"/>
      <c r="G9" s="2434"/>
      <c r="H9" s="2434"/>
      <c r="I9" s="2434"/>
      <c r="J9" s="2434"/>
      <c r="K9" s="2434"/>
      <c r="L9" s="2434"/>
      <c r="M9" s="2434"/>
      <c r="N9" s="2434"/>
      <c r="O9" s="2434"/>
      <c r="P9" s="3085"/>
      <c r="Q9" s="2434"/>
      <c r="R9" s="2434"/>
      <c r="S9" s="2434"/>
      <c r="T9" s="2434"/>
      <c r="U9" s="2434"/>
      <c r="V9" s="2433">
        <f>'Cashflow Governmental'!U13</f>
        <v>2021</v>
      </c>
      <c r="W9" s="2434"/>
      <c r="X9" s="2434"/>
      <c r="Y9" s="2434"/>
      <c r="Z9" s="2434"/>
      <c r="AA9" s="2428"/>
      <c r="AB9" s="2427"/>
      <c r="AC9" s="2437"/>
      <c r="AD9" s="1851"/>
      <c r="AE9" s="1851"/>
      <c r="AF9" s="2437"/>
      <c r="AG9" s="2435"/>
      <c r="AH9" s="2438"/>
      <c r="AI9" s="2439" t="s">
        <v>8</v>
      </c>
      <c r="AJ9" s="2435"/>
      <c r="AK9" s="2440" t="s">
        <v>9</v>
      </c>
    </row>
    <row r="10" spans="1:37" ht="15" customHeight="1">
      <c r="A10" s="2422"/>
      <c r="B10" s="2022"/>
      <c r="C10" s="2022"/>
      <c r="D10" s="2441" t="s">
        <v>124</v>
      </c>
      <c r="E10" s="2427"/>
      <c r="F10" s="2442" t="s">
        <v>125</v>
      </c>
      <c r="G10" s="2427"/>
      <c r="H10" s="2442" t="s">
        <v>126</v>
      </c>
      <c r="I10" s="2427"/>
      <c r="J10" s="2443" t="s">
        <v>127</v>
      </c>
      <c r="K10" s="2427"/>
      <c r="L10" s="2444" t="s">
        <v>128</v>
      </c>
      <c r="M10" s="2427"/>
      <c r="N10" s="2444" t="s">
        <v>143</v>
      </c>
      <c r="O10" s="2427"/>
      <c r="P10" s="2589" t="s">
        <v>144</v>
      </c>
      <c r="Q10" s="2427"/>
      <c r="R10" s="2444" t="s">
        <v>131</v>
      </c>
      <c r="S10" s="2427"/>
      <c r="T10" s="2444" t="s">
        <v>132</v>
      </c>
      <c r="U10" s="2427"/>
      <c r="V10" s="2444" t="s">
        <v>133</v>
      </c>
      <c r="W10" s="2427"/>
      <c r="X10" s="2444" t="s">
        <v>134</v>
      </c>
      <c r="Y10" s="2427"/>
      <c r="Z10" s="2444" t="s">
        <v>185</v>
      </c>
      <c r="AA10" s="2440"/>
      <c r="AB10" s="2427"/>
      <c r="AC10" s="3151">
        <f>'Cashflow Governmental'!AB14</f>
        <v>2021</v>
      </c>
      <c r="AD10" s="2553" t="s">
        <v>15</v>
      </c>
      <c r="AE10" s="2553"/>
      <c r="AF10" s="3151">
        <f>'Cashflow Governmental'!AE14</f>
        <v>2020</v>
      </c>
      <c r="AG10" s="2445"/>
      <c r="AH10" s="2438"/>
      <c r="AI10" s="2446" t="s">
        <v>12</v>
      </c>
      <c r="AJ10" s="2428"/>
      <c r="AK10" s="2447" t="s">
        <v>13</v>
      </c>
    </row>
    <row r="11" spans="1:37" ht="5.25" customHeight="1">
      <c r="A11" s="2422"/>
      <c r="B11" s="2022"/>
      <c r="C11" s="2022"/>
      <c r="D11" s="2448" t="s">
        <v>15</v>
      </c>
      <c r="E11" s="2022"/>
      <c r="F11" s="2449"/>
      <c r="G11" s="2022"/>
      <c r="H11" s="2448"/>
      <c r="I11" s="2022"/>
      <c r="J11" s="2051"/>
      <c r="K11" s="2022"/>
      <c r="L11" s="2448"/>
      <c r="M11" s="2022"/>
      <c r="N11" s="2448"/>
      <c r="O11" s="2022"/>
      <c r="P11" s="3054"/>
      <c r="Q11" s="2022"/>
      <c r="R11" s="2448"/>
      <c r="S11" s="2022"/>
      <c r="T11" s="2448"/>
      <c r="U11" s="2022"/>
      <c r="V11" s="2448"/>
      <c r="W11" s="2022"/>
      <c r="X11" s="2448"/>
      <c r="Y11" s="2022"/>
      <c r="Z11" s="2448"/>
      <c r="AA11" s="2021"/>
      <c r="AB11" s="2022"/>
      <c r="AC11" s="2184"/>
      <c r="AD11" s="2185"/>
      <c r="AE11" s="2185"/>
      <c r="AF11" s="2184"/>
      <c r="AG11" s="2021"/>
      <c r="AH11" s="2450"/>
    </row>
    <row r="12" spans="1:37" ht="15" customHeight="1">
      <c r="A12" s="2451"/>
      <c r="B12" s="2452" t="s">
        <v>136</v>
      </c>
      <c r="C12" s="2044"/>
      <c r="D12" s="2453">
        <v>8944.2000000000007</v>
      </c>
      <c r="E12" s="2454"/>
      <c r="F12" s="2455">
        <f>D139</f>
        <v>10082.5</v>
      </c>
      <c r="G12" s="2454"/>
      <c r="H12" s="2455">
        <f>F139</f>
        <v>7310.2</v>
      </c>
      <c r="I12" s="2454"/>
      <c r="J12" s="2455">
        <f>H139</f>
        <v>6863.6</v>
      </c>
      <c r="K12" s="2454"/>
      <c r="L12" s="2455">
        <f>J139</f>
        <v>14383</v>
      </c>
      <c r="M12" s="2454"/>
      <c r="N12" s="2455">
        <f>L139</f>
        <v>13522.7</v>
      </c>
      <c r="O12" s="2454"/>
      <c r="P12" s="2029">
        <f>N139</f>
        <v>15441.8</v>
      </c>
      <c r="Q12" s="2454"/>
      <c r="R12" s="2029">
        <f>P139</f>
        <v>14930.8</v>
      </c>
      <c r="S12" s="2454"/>
      <c r="T12" s="2455">
        <f>R139</f>
        <v>13602.7</v>
      </c>
      <c r="U12" s="2454"/>
      <c r="V12" s="2455">
        <f>T139</f>
        <v>16552.400000000001</v>
      </c>
      <c r="W12" s="2455"/>
      <c r="X12" s="2455"/>
      <c r="Y12" s="2454"/>
      <c r="Z12" s="2455"/>
      <c r="AA12" s="2454"/>
      <c r="AB12" s="2456"/>
      <c r="AC12" s="2029">
        <f>D12</f>
        <v>8944.2000000000007</v>
      </c>
      <c r="AD12" s="2457"/>
      <c r="AE12" s="3152"/>
      <c r="AF12" s="3470">
        <v>7205.7</v>
      </c>
      <c r="AG12" s="2454"/>
      <c r="AH12" s="2458"/>
      <c r="AI12" s="2455">
        <f>ROUND(SUM(+AC12-AF12),1)</f>
        <v>1738.5</v>
      </c>
      <c r="AJ12" s="2459"/>
      <c r="AK12" s="1431">
        <f>ROUND(IF(AF12=0,0,AI12/ABS(AF12)),3)</f>
        <v>0.24099999999999999</v>
      </c>
    </row>
    <row r="13" spans="1:37" ht="15" customHeight="1">
      <c r="A13" s="2451"/>
      <c r="B13" s="2044"/>
      <c r="C13" s="2044"/>
      <c r="D13" s="2044"/>
      <c r="E13" s="2044"/>
      <c r="F13" s="2460"/>
      <c r="G13" s="2044"/>
      <c r="H13" s="2460"/>
      <c r="I13" s="2044"/>
      <c r="J13" s="1995"/>
      <c r="K13" s="2044"/>
      <c r="L13" s="2460"/>
      <c r="M13" s="2044"/>
      <c r="N13" s="2022"/>
      <c r="O13" s="2044"/>
      <c r="P13" s="2185"/>
      <c r="Q13" s="2044"/>
      <c r="R13" s="2022"/>
      <c r="S13" s="2044"/>
      <c r="T13" s="2022"/>
      <c r="U13" s="2044"/>
      <c r="V13" s="2022"/>
      <c r="W13" s="2044"/>
      <c r="X13" s="2022"/>
      <c r="Y13" s="2044"/>
      <c r="Z13" s="2022"/>
      <c r="AA13" s="2022"/>
      <c r="AB13" s="2043"/>
      <c r="AC13" s="2185"/>
      <c r="AD13" s="2465"/>
      <c r="AE13" s="3153"/>
      <c r="AF13" s="2185"/>
      <c r="AG13" s="2022"/>
      <c r="AH13" s="2450"/>
      <c r="AI13" s="2025"/>
      <c r="AJ13" s="2461"/>
      <c r="AK13" s="1449"/>
    </row>
    <row r="14" spans="1:37" ht="15" customHeight="1">
      <c r="A14" s="2451"/>
      <c r="B14" s="2427" t="s">
        <v>14</v>
      </c>
      <c r="C14" s="2044"/>
      <c r="D14" s="2044"/>
      <c r="E14" s="2044"/>
      <c r="F14" s="2022"/>
      <c r="G14" s="2044"/>
      <c r="H14" s="2022"/>
      <c r="I14" s="2044"/>
      <c r="J14" s="1995"/>
      <c r="K14" s="2044"/>
      <c r="L14" s="2022"/>
      <c r="M14" s="2044"/>
      <c r="N14" s="2022"/>
      <c r="O14" s="2044"/>
      <c r="P14" s="2185"/>
      <c r="Q14" s="2044"/>
      <c r="R14" s="2022"/>
      <c r="S14" s="2044"/>
      <c r="T14" s="2022"/>
      <c r="U14" s="2044"/>
      <c r="V14" s="2022"/>
      <c r="W14" s="2044"/>
      <c r="X14" s="2022"/>
      <c r="Y14" s="2044"/>
      <c r="Z14" s="2022"/>
      <c r="AA14" s="2022"/>
      <c r="AB14" s="2043"/>
      <c r="AC14" s="2185"/>
      <c r="AD14" s="2465"/>
      <c r="AE14" s="3153"/>
      <c r="AF14" s="2185"/>
      <c r="AG14" s="2022"/>
      <c r="AH14" s="2450"/>
      <c r="AI14" s="2025"/>
      <c r="AJ14" s="2461"/>
      <c r="AK14" s="1449"/>
    </row>
    <row r="15" spans="1:37" ht="15" customHeight="1">
      <c r="A15" s="2451"/>
      <c r="B15" s="2462" t="s">
        <v>1078</v>
      </c>
      <c r="C15" s="2044"/>
      <c r="D15" s="2044"/>
      <c r="E15" s="2044"/>
      <c r="F15" s="2022"/>
      <c r="G15" s="2044"/>
      <c r="H15" s="2022"/>
      <c r="I15" s="2044"/>
      <c r="J15" s="1995"/>
      <c r="K15" s="2044"/>
      <c r="L15" s="2022"/>
      <c r="M15" s="2044"/>
      <c r="N15" s="2022"/>
      <c r="O15" s="2044"/>
      <c r="P15" s="2185"/>
      <c r="Q15" s="2044"/>
      <c r="R15" s="2022"/>
      <c r="S15" s="2044"/>
      <c r="T15" s="2022"/>
      <c r="U15" s="2044"/>
      <c r="V15" s="2022"/>
      <c r="W15" s="2044"/>
      <c r="X15" s="2022"/>
      <c r="Y15" s="2044"/>
      <c r="Z15" s="2022"/>
      <c r="AA15" s="2022"/>
      <c r="AB15" s="2043"/>
      <c r="AC15" s="2185"/>
      <c r="AD15" s="2465"/>
      <c r="AE15" s="3153"/>
      <c r="AF15" s="2185"/>
      <c r="AG15" s="2022"/>
      <c r="AH15" s="2450"/>
      <c r="AI15" s="2025"/>
      <c r="AJ15" s="2461"/>
      <c r="AK15" s="1449"/>
    </row>
    <row r="16" spans="1:37" ht="15" customHeight="1">
      <c r="A16" s="2451"/>
      <c r="B16" s="2463" t="s">
        <v>1143</v>
      </c>
      <c r="C16" s="2044"/>
      <c r="D16" s="2044"/>
      <c r="E16" s="2044"/>
      <c r="F16" s="2022"/>
      <c r="G16" s="2044"/>
      <c r="H16" s="2022"/>
      <c r="I16" s="2044"/>
      <c r="J16" s="1995"/>
      <c r="K16" s="2044"/>
      <c r="L16" s="2022"/>
      <c r="M16" s="2044"/>
      <c r="N16" s="2022"/>
      <c r="O16" s="2044"/>
      <c r="P16" s="2185"/>
      <c r="Q16" s="2044"/>
      <c r="R16" s="2022"/>
      <c r="S16" s="2044"/>
      <c r="T16" s="2022"/>
      <c r="U16" s="2044"/>
      <c r="V16" s="2022"/>
      <c r="W16" s="2044"/>
      <c r="X16" s="2022"/>
      <c r="Y16" s="2044"/>
      <c r="Z16" s="2022"/>
      <c r="AA16" s="2022"/>
      <c r="AB16" s="2043"/>
      <c r="AC16" s="2185"/>
      <c r="AD16" s="2465"/>
      <c r="AE16" s="3153"/>
      <c r="AF16" s="2185"/>
      <c r="AG16" s="2022"/>
      <c r="AH16" s="2450"/>
      <c r="AI16" s="2025"/>
      <c r="AJ16" s="2461"/>
      <c r="AK16" s="1449"/>
    </row>
    <row r="17" spans="1:38" s="2419" customFormat="1" ht="15" customHeight="1">
      <c r="A17" s="2464"/>
      <c r="B17" s="2335" t="s">
        <v>1084</v>
      </c>
      <c r="C17" s="2465"/>
      <c r="D17" s="1789">
        <v>3187.3</v>
      </c>
      <c r="E17" s="1489"/>
      <c r="F17" s="1789">
        <v>2928.2999999999993</v>
      </c>
      <c r="G17" s="1489"/>
      <c r="H17" s="1789">
        <v>3096.3</v>
      </c>
      <c r="I17" s="2466"/>
      <c r="J17" s="1789">
        <v>3400.300000000002</v>
      </c>
      <c r="K17" s="1789"/>
      <c r="L17" s="1789">
        <v>2876.5999999999985</v>
      </c>
      <c r="M17" s="1998"/>
      <c r="N17" s="1789">
        <v>3147.2</v>
      </c>
      <c r="O17" s="1998"/>
      <c r="P17" s="1789">
        <v>2919.5000000000009</v>
      </c>
      <c r="Q17" s="1998"/>
      <c r="R17" s="1789">
        <v>3032.2999999999993</v>
      </c>
      <c r="S17" s="1998"/>
      <c r="T17" s="1789">
        <v>4647.9999999999991</v>
      </c>
      <c r="U17" s="1998"/>
      <c r="V17" s="1789">
        <f>$AC17-$D17-$F17-$H17-$J17-$L17-$N17-$P17-$R17-$T17</f>
        <v>4626.5000000000045</v>
      </c>
      <c r="W17" s="1998"/>
      <c r="X17" s="1789"/>
      <c r="Y17" s="1998"/>
      <c r="Z17" s="1789"/>
      <c r="AA17" s="1999"/>
      <c r="AB17" s="2002"/>
      <c r="AC17" s="1805">
        <v>33862.300000000003</v>
      </c>
      <c r="AD17" s="2041"/>
      <c r="AE17" s="2002" t="s">
        <v>15</v>
      </c>
      <c r="AF17" s="1805">
        <v>33882.400000000001</v>
      </c>
      <c r="AG17" s="2185"/>
      <c r="AH17" s="2467"/>
      <c r="AI17" s="2000">
        <f>ROUND(SUM(+AC17-AF17),1)</f>
        <v>-20.100000000000001</v>
      </c>
      <c r="AJ17" s="2468"/>
      <c r="AK17" s="1724">
        <f t="shared" ref="AK17:AK21" si="0">ROUND(IF(AF17=0,0,AI17/ABS(AF17)),3)</f>
        <v>-1E-3</v>
      </c>
      <c r="AL17" s="2417"/>
    </row>
    <row r="18" spans="1:38" s="2419" customFormat="1" ht="15" customHeight="1">
      <c r="A18" s="2464"/>
      <c r="B18" s="2335" t="s">
        <v>1352</v>
      </c>
      <c r="C18" s="2465"/>
      <c r="D18" s="1789">
        <v>211.6</v>
      </c>
      <c r="E18" s="1421"/>
      <c r="F18" s="1789">
        <v>70.900000000000006</v>
      </c>
      <c r="G18" s="1421"/>
      <c r="H18" s="1789">
        <v>1493</v>
      </c>
      <c r="I18" s="2469"/>
      <c r="J18" s="1789">
        <v>6329</v>
      </c>
      <c r="K18" s="1998"/>
      <c r="L18" s="1789">
        <v>121.3</v>
      </c>
      <c r="M18" s="1998"/>
      <c r="N18" s="1789">
        <v>2510</v>
      </c>
      <c r="O18" s="1998"/>
      <c r="P18" s="1789">
        <v>176.80000000000018</v>
      </c>
      <c r="Q18" s="1998"/>
      <c r="R18" s="1789">
        <v>99.600000000000364</v>
      </c>
      <c r="S18" s="1998"/>
      <c r="T18" s="1789">
        <v>335.5</v>
      </c>
      <c r="U18" s="1998"/>
      <c r="V18" s="1789">
        <f>$AC18-$D18-$F18-$H18-$J18-$L18-$N18-$P18-$R18-$T18</f>
        <v>4810.1999999999989</v>
      </c>
      <c r="W18" s="1998"/>
      <c r="X18" s="1789"/>
      <c r="Y18" s="1998"/>
      <c r="Z18" s="1789"/>
      <c r="AA18" s="1999"/>
      <c r="AB18" s="2002"/>
      <c r="AC18" s="1805">
        <v>16157.9</v>
      </c>
      <c r="AD18" s="2041"/>
      <c r="AE18" s="2002" t="s">
        <v>15</v>
      </c>
      <c r="AF18" s="1805">
        <v>16798</v>
      </c>
      <c r="AG18" s="2185"/>
      <c r="AH18" s="2467"/>
      <c r="AI18" s="2000">
        <f>ROUND(SUM(+AC18-AF18),1)</f>
        <v>-640.1</v>
      </c>
      <c r="AJ18" s="2468"/>
      <c r="AK18" s="1724">
        <f t="shared" si="0"/>
        <v>-3.7999999999999999E-2</v>
      </c>
      <c r="AL18" s="2417"/>
    </row>
    <row r="19" spans="1:38" s="2419" customFormat="1" ht="15" customHeight="1">
      <c r="A19" s="2464"/>
      <c r="B19" s="2335" t="s">
        <v>1085</v>
      </c>
      <c r="C19" s="2465"/>
      <c r="D19" s="1789">
        <v>339.1</v>
      </c>
      <c r="E19" s="1421"/>
      <c r="F19" s="1789">
        <v>124.69999999999999</v>
      </c>
      <c r="G19" s="1421"/>
      <c r="H19" s="1789">
        <v>260.90000000000003</v>
      </c>
      <c r="I19" s="2469"/>
      <c r="J19" s="1789">
        <v>1765.1000000000001</v>
      </c>
      <c r="K19" s="1998"/>
      <c r="L19" s="1789">
        <v>69.299999999999955</v>
      </c>
      <c r="M19" s="1998"/>
      <c r="N19" s="1789">
        <v>83.4</v>
      </c>
      <c r="O19" s="1998"/>
      <c r="P19" s="1789">
        <v>528.00000000000011</v>
      </c>
      <c r="Q19" s="1998"/>
      <c r="R19" s="1789">
        <v>51.400000000000091</v>
      </c>
      <c r="S19" s="1998"/>
      <c r="T19" s="1789">
        <v>32.299999999999727</v>
      </c>
      <c r="U19" s="1998"/>
      <c r="V19" s="1789">
        <f t="shared" ref="V19:V25" si="1">$AC19-$D19-$F19-$H19-$J19-$L19-$N19-$P19-$R19-$T19</f>
        <v>22.5</v>
      </c>
      <c r="W19" s="1998"/>
      <c r="X19" s="1789"/>
      <c r="Y19" s="1998"/>
      <c r="Z19" s="1789"/>
      <c r="AA19" s="1999"/>
      <c r="AB19" s="2002"/>
      <c r="AC19" s="1805">
        <v>3276.7</v>
      </c>
      <c r="AD19" s="2041"/>
      <c r="AE19" s="2002" t="s">
        <v>15</v>
      </c>
      <c r="AF19" s="1805">
        <v>3224.5</v>
      </c>
      <c r="AG19" s="2185"/>
      <c r="AH19" s="2467"/>
      <c r="AI19" s="2000">
        <f>ROUND(SUM(+AC19-AF19),1)</f>
        <v>52.2</v>
      </c>
      <c r="AJ19" s="2468"/>
      <c r="AK19" s="1724">
        <f t="shared" si="0"/>
        <v>1.6E-2</v>
      </c>
      <c r="AL19" s="2417"/>
    </row>
    <row r="20" spans="1:38" s="2419" customFormat="1" ht="15" customHeight="1">
      <c r="A20" s="2464"/>
      <c r="B20" s="2470" t="s">
        <v>1086</v>
      </c>
      <c r="C20" s="2465"/>
      <c r="D20" s="1789">
        <v>-69.8</v>
      </c>
      <c r="E20" s="1421"/>
      <c r="F20" s="1789">
        <v>-39.799999999999997</v>
      </c>
      <c r="G20" s="1421"/>
      <c r="H20" s="1789">
        <v>-58.400000000000006</v>
      </c>
      <c r="I20" s="2469"/>
      <c r="J20" s="1789">
        <v>-186.99999999999997</v>
      </c>
      <c r="K20" s="1998"/>
      <c r="L20" s="1789">
        <v>-28.100000000000023</v>
      </c>
      <c r="M20" s="1998"/>
      <c r="N20" s="1789">
        <v>-71.7</v>
      </c>
      <c r="O20" s="1998"/>
      <c r="P20" s="1789">
        <v>-444.90000000000015</v>
      </c>
      <c r="Q20" s="1998"/>
      <c r="R20" s="1789">
        <v>-65.899999999999977</v>
      </c>
      <c r="S20" s="1998"/>
      <c r="T20" s="1789">
        <v>-58.299999999999898</v>
      </c>
      <c r="U20" s="1998"/>
      <c r="V20" s="1789">
        <f t="shared" si="1"/>
        <v>-3.5000000000001137</v>
      </c>
      <c r="W20" s="1998"/>
      <c r="X20" s="1789"/>
      <c r="Y20" s="1998"/>
      <c r="Z20" s="1789"/>
      <c r="AA20" s="1999"/>
      <c r="AB20" s="2002"/>
      <c r="AC20" s="1805">
        <v>-1027.4000000000001</v>
      </c>
      <c r="AD20" s="2041"/>
      <c r="AE20" s="2002" t="s">
        <v>15</v>
      </c>
      <c r="AF20" s="1805">
        <v>-1005.2</v>
      </c>
      <c r="AG20" s="2185"/>
      <c r="AH20" s="2467"/>
      <c r="AI20" s="2000">
        <f>-ROUND(SUM(+AC20-AF20),1)</f>
        <v>22.2</v>
      </c>
      <c r="AJ20" s="2468"/>
      <c r="AK20" s="1724">
        <f t="shared" si="0"/>
        <v>2.1999999999999999E-2</v>
      </c>
      <c r="AL20" s="2417"/>
    </row>
    <row r="21" spans="1:38" s="2419" customFormat="1" ht="15" customHeight="1">
      <c r="A21" s="2464"/>
      <c r="B21" s="2470" t="s">
        <v>1351</v>
      </c>
      <c r="C21" s="2465"/>
      <c r="D21" s="1789">
        <v>107.4</v>
      </c>
      <c r="E21" s="1421"/>
      <c r="F21" s="1789">
        <v>60.099999999999994</v>
      </c>
      <c r="G21" s="1421"/>
      <c r="H21" s="1789">
        <v>63</v>
      </c>
      <c r="I21" s="2469"/>
      <c r="J21" s="1789">
        <v>103.10000000000002</v>
      </c>
      <c r="K21" s="1998"/>
      <c r="L21" s="1789">
        <v>75.000000000000028</v>
      </c>
      <c r="M21" s="1998"/>
      <c r="N21" s="1789">
        <v>97.9</v>
      </c>
      <c r="O21" s="1998"/>
      <c r="P21" s="1789">
        <v>133.2999999999999</v>
      </c>
      <c r="Q21" s="1998"/>
      <c r="R21" s="1789">
        <v>90.900000000000119</v>
      </c>
      <c r="S21" s="1998"/>
      <c r="T21" s="1789">
        <v>119.29999999999998</v>
      </c>
      <c r="U21" s="1998"/>
      <c r="V21" s="1789">
        <f t="shared" si="1"/>
        <v>116.10000000000002</v>
      </c>
      <c r="W21" s="1998"/>
      <c r="X21" s="1789"/>
      <c r="Y21" s="1998"/>
      <c r="Z21" s="1789"/>
      <c r="AA21" s="1999"/>
      <c r="AB21" s="2002"/>
      <c r="AC21" s="1805">
        <v>966.1</v>
      </c>
      <c r="AD21" s="2041"/>
      <c r="AE21" s="2002" t="s">
        <v>15</v>
      </c>
      <c r="AF21" s="1805">
        <v>1096.1000000000001</v>
      </c>
      <c r="AG21" s="2185"/>
      <c r="AH21" s="2467"/>
      <c r="AI21" s="2000">
        <f>ROUND(SUM(+AC21-AF21),1)</f>
        <v>-130</v>
      </c>
      <c r="AJ21" s="2468"/>
      <c r="AK21" s="1724">
        <f t="shared" si="0"/>
        <v>-0.11899999999999999</v>
      </c>
      <c r="AL21" s="2417"/>
    </row>
    <row r="22" spans="1:38" ht="15" customHeight="1">
      <c r="A22" s="2451"/>
      <c r="B22" s="2316" t="s">
        <v>1087</v>
      </c>
      <c r="C22" s="2044"/>
      <c r="D22" s="2471">
        <f>ROUND(SUM(D17:D21),1)</f>
        <v>3775.6</v>
      </c>
      <c r="E22" s="2469"/>
      <c r="F22" s="2472">
        <f>ROUND(SUM(F17:F21),1)</f>
        <v>3144.2</v>
      </c>
      <c r="G22" s="2469"/>
      <c r="H22" s="2471">
        <f>ROUND(SUM(H17:H21),1)</f>
        <v>4854.8</v>
      </c>
      <c r="I22" s="2469"/>
      <c r="J22" s="2472">
        <f>ROUND(SUM(J17:J21),1)</f>
        <v>11410.5</v>
      </c>
      <c r="K22" s="2044"/>
      <c r="L22" s="2042">
        <f>ROUND(SUM(L17:L21),1)</f>
        <v>3114.1</v>
      </c>
      <c r="M22" s="2044"/>
      <c r="N22" s="2042">
        <f>ROUND(SUM(N17:N21),1)</f>
        <v>5766.8</v>
      </c>
      <c r="O22" s="2006"/>
      <c r="P22" s="2042">
        <f>ROUND(SUM(P17:P21),1)</f>
        <v>3312.7</v>
      </c>
      <c r="Q22" s="2006"/>
      <c r="R22" s="2042">
        <f>ROUND(SUM(R17:R21),1)</f>
        <v>3208.3</v>
      </c>
      <c r="S22" s="2006"/>
      <c r="T22" s="2042">
        <f>ROUND(SUM(T17:T21),1)</f>
        <v>5076.8</v>
      </c>
      <c r="U22" s="2006"/>
      <c r="V22" s="2042">
        <f>ROUND(SUM(V17:V21),1)</f>
        <v>9571.7999999999993</v>
      </c>
      <c r="W22" s="2006"/>
      <c r="X22" s="2042">
        <f>ROUND(SUM(X17:X21),1)</f>
        <v>0</v>
      </c>
      <c r="Y22" s="2006"/>
      <c r="Z22" s="2042">
        <f>ROUND(SUM(Z17:Z21),1)</f>
        <v>0</v>
      </c>
      <c r="AA22" s="2022"/>
      <c r="AB22" s="2043"/>
      <c r="AC22" s="3154">
        <f>ROUND(SUM(AC17:AC21),1)</f>
        <v>53235.6</v>
      </c>
      <c r="AD22" s="2465"/>
      <c r="AE22" s="3155" t="s">
        <v>15</v>
      </c>
      <c r="AF22" s="1460">
        <f>ROUND(SUM(AF17:AF21),1)</f>
        <v>53995.8</v>
      </c>
      <c r="AG22" s="2022"/>
      <c r="AH22" s="2450"/>
      <c r="AI22" s="2042">
        <f>ROUND(SUM(AC22-AF22),1)</f>
        <v>-760.2</v>
      </c>
      <c r="AJ22" s="2461"/>
      <c r="AK22" s="1445">
        <f>ROUND(SUM(+AI22/AF22),3)</f>
        <v>-1.4E-2</v>
      </c>
    </row>
    <row r="23" spans="1:38" s="2419" customFormat="1" ht="15" customHeight="1">
      <c r="A23" s="2464"/>
      <c r="B23" s="2470" t="s">
        <v>1089</v>
      </c>
      <c r="C23" s="2465"/>
      <c r="D23" s="1789">
        <v>0</v>
      </c>
      <c r="E23" s="1421"/>
      <c r="F23" s="1789">
        <v>0</v>
      </c>
      <c r="G23" s="1421"/>
      <c r="H23" s="1789">
        <v>0</v>
      </c>
      <c r="I23" s="2469"/>
      <c r="J23" s="1789">
        <v>0</v>
      </c>
      <c r="K23" s="1998"/>
      <c r="L23" s="1789">
        <v>0</v>
      </c>
      <c r="M23" s="1998"/>
      <c r="N23" s="1789">
        <v>-0.1</v>
      </c>
      <c r="O23" s="1998"/>
      <c r="P23" s="1789">
        <v>-0.1</v>
      </c>
      <c r="Q23" s="1998"/>
      <c r="R23" s="1789">
        <v>-1.4</v>
      </c>
      <c r="S23" s="1998"/>
      <c r="T23" s="1789">
        <v>-35</v>
      </c>
      <c r="U23" s="1998"/>
      <c r="V23" s="1789">
        <f t="shared" si="1"/>
        <v>-1972</v>
      </c>
      <c r="W23" s="1998"/>
      <c r="X23" s="1789"/>
      <c r="Y23" s="1998"/>
      <c r="Z23" s="1789"/>
      <c r="AA23" s="1999"/>
      <c r="AB23" s="2002"/>
      <c r="AC23" s="1805">
        <v>-2008.6</v>
      </c>
      <c r="AD23" s="2041"/>
      <c r="AE23" s="2002" t="s">
        <v>15</v>
      </c>
      <c r="AF23" s="1805">
        <v>-2149.1</v>
      </c>
      <c r="AG23" s="2185"/>
      <c r="AH23" s="2467"/>
      <c r="AI23" s="2000">
        <f>-ROUND(SUM(+AC23-AF23),1)</f>
        <v>-140.5</v>
      </c>
      <c r="AJ23" s="2468"/>
      <c r="AK23" s="1438">
        <f>ROUND(IF(AF23=0,1,AI23/ABS(AF23)),3)</f>
        <v>-6.5000000000000002E-2</v>
      </c>
      <c r="AL23" s="2417"/>
    </row>
    <row r="24" spans="1:38" s="2419" customFormat="1" ht="15" customHeight="1">
      <c r="A24" s="2464"/>
      <c r="B24" s="2470" t="s">
        <v>1090</v>
      </c>
      <c r="C24" s="2465"/>
      <c r="D24" s="1789">
        <v>-1033.0999999999999</v>
      </c>
      <c r="E24" s="1421"/>
      <c r="F24" s="1789">
        <v>-1099.5999999999999</v>
      </c>
      <c r="G24" s="1421"/>
      <c r="H24" s="1789">
        <v>-2184.1999999999998</v>
      </c>
      <c r="I24" s="2469"/>
      <c r="J24" s="1789">
        <v>-5115.3999999999987</v>
      </c>
      <c r="K24" s="1998"/>
      <c r="L24" s="1789">
        <v>-1361.5</v>
      </c>
      <c r="M24" s="1998"/>
      <c r="N24" s="1789">
        <v>-2635.7</v>
      </c>
      <c r="O24" s="1998"/>
      <c r="P24" s="1789">
        <v>-1265.7999999999993</v>
      </c>
      <c r="Q24" s="1998"/>
      <c r="R24" s="1789">
        <v>-1287.4000000000015</v>
      </c>
      <c r="S24" s="1998"/>
      <c r="T24" s="1789">
        <v>-2416.4000000000024</v>
      </c>
      <c r="U24" s="1998"/>
      <c r="V24" s="1789">
        <f t="shared" si="1"/>
        <v>-4726.4999999999991</v>
      </c>
      <c r="W24" s="1998"/>
      <c r="X24" s="1789"/>
      <c r="Y24" s="1998"/>
      <c r="Z24" s="1789"/>
      <c r="AA24" s="1999"/>
      <c r="AB24" s="2002"/>
      <c r="AC24" s="1805">
        <v>-23125.599999999999</v>
      </c>
      <c r="AD24" s="2041"/>
      <c r="AE24" s="2002" t="s">
        <v>15</v>
      </c>
      <c r="AF24" s="1805">
        <v>-23108.2</v>
      </c>
      <c r="AG24" s="2185"/>
      <c r="AH24" s="2467"/>
      <c r="AI24" s="2000">
        <f>-ROUND(SUM(+AC24-AF24),1)</f>
        <v>17.399999999999999</v>
      </c>
      <c r="AJ24" s="2468"/>
      <c r="AK24" s="1724">
        <f>ROUND(IF(AF24=0,0,AI24/ABS(AF24)),3)</f>
        <v>1E-3</v>
      </c>
      <c r="AL24" s="2417"/>
    </row>
    <row r="25" spans="1:38" s="2419" customFormat="1" ht="15" customHeight="1">
      <c r="A25" s="2464"/>
      <c r="B25" s="2335" t="s">
        <v>1353</v>
      </c>
      <c r="C25" s="2465"/>
      <c r="D25" s="1789">
        <v>-1709.4</v>
      </c>
      <c r="E25" s="1421"/>
      <c r="F25" s="1789">
        <v>-945</v>
      </c>
      <c r="G25" s="1421"/>
      <c r="H25" s="1789">
        <v>-486.29999999999973</v>
      </c>
      <c r="I25" s="2469"/>
      <c r="J25" s="1789">
        <v>-1179.8000000000002</v>
      </c>
      <c r="K25" s="1998"/>
      <c r="L25" s="1789">
        <v>-391.1</v>
      </c>
      <c r="M25" s="1998"/>
      <c r="N25" s="1789">
        <v>-495.4</v>
      </c>
      <c r="O25" s="1998"/>
      <c r="P25" s="1789">
        <v>-781.10000000000093</v>
      </c>
      <c r="Q25" s="1998"/>
      <c r="R25" s="1789">
        <v>-633.49999999999989</v>
      </c>
      <c r="S25" s="1998"/>
      <c r="T25" s="1789">
        <v>-244</v>
      </c>
      <c r="U25" s="1998"/>
      <c r="V25" s="1789">
        <f t="shared" si="1"/>
        <v>-118.79999999999927</v>
      </c>
      <c r="W25" s="1998"/>
      <c r="X25" s="1789"/>
      <c r="Y25" s="1998"/>
      <c r="Z25" s="1789"/>
      <c r="AA25" s="1999"/>
      <c r="AB25" s="2002"/>
      <c r="AC25" s="1805">
        <v>-6984.4</v>
      </c>
      <c r="AD25" s="2041"/>
      <c r="AE25" s="2002" t="s">
        <v>15</v>
      </c>
      <c r="AF25" s="1805">
        <v>-7779.4</v>
      </c>
      <c r="AG25" s="2185"/>
      <c r="AH25" s="2467"/>
      <c r="AI25" s="2000">
        <f>-ROUND(SUM(+AC25-AF25),1)</f>
        <v>-795</v>
      </c>
      <c r="AJ25" s="2468"/>
      <c r="AK25" s="1724">
        <f>ROUND(IF(AF25=0,0,AI25/ABS(AF25)),3)</f>
        <v>-0.10199999999999999</v>
      </c>
      <c r="AL25" s="2417"/>
    </row>
    <row r="26" spans="1:38" ht="15" customHeight="1">
      <c r="A26" s="2451"/>
      <c r="B26" s="2473" t="s">
        <v>1088</v>
      </c>
      <c r="C26" s="2022"/>
      <c r="D26" s="2474">
        <f>ROUND(SUM(D22:D25),1)</f>
        <v>1033.0999999999999</v>
      </c>
      <c r="E26" s="1443"/>
      <c r="F26" s="2475">
        <f>ROUND(SUM(F22+F23+F24+F25),1)</f>
        <v>1099.5999999999999</v>
      </c>
      <c r="G26" s="1443"/>
      <c r="H26" s="2474">
        <f>ROUND(SUM(H22+H23+H24+H25),1)</f>
        <v>2184.3000000000002</v>
      </c>
      <c r="I26" s="1443"/>
      <c r="J26" s="2475">
        <f>ROUND(SUM(J22+J23+J24+J25),1)</f>
        <v>5115.3</v>
      </c>
      <c r="K26" s="2006"/>
      <c r="L26" s="2042">
        <f>ROUND(SUM(L22+L23+L24+L25),1)</f>
        <v>1361.5</v>
      </c>
      <c r="M26" s="2006"/>
      <c r="N26" s="2042">
        <f>ROUND(SUM(N22+N23+N24+N25),1)</f>
        <v>2635.6</v>
      </c>
      <c r="O26" s="2006"/>
      <c r="P26" s="2042">
        <f>ROUND(SUM(P22+P23+P24+P25),1)</f>
        <v>1265.7</v>
      </c>
      <c r="Q26" s="2006"/>
      <c r="R26" s="2042">
        <f>ROUND(SUM(R22+R23+R24+R25),1)</f>
        <v>1286</v>
      </c>
      <c r="S26" s="2006"/>
      <c r="T26" s="2042">
        <f>ROUND(SUM(T22+T23+T24+T25),1)</f>
        <v>2381.4</v>
      </c>
      <c r="U26" s="2006"/>
      <c r="V26" s="2042">
        <f>ROUND(SUM(V22+V23+V24+V25),1)</f>
        <v>2754.5</v>
      </c>
      <c r="W26" s="2006"/>
      <c r="X26" s="2042">
        <f>ROUND(SUM(X22+X23+X24+X25),1)</f>
        <v>0</v>
      </c>
      <c r="Y26" s="2006"/>
      <c r="Z26" s="2042">
        <f>ROUND(SUM(Z22+Z23+Z24+Z25),1)</f>
        <v>0</v>
      </c>
      <c r="AA26" s="1463"/>
      <c r="AB26" s="2043"/>
      <c r="AC26" s="3154">
        <f>ROUND(SUM(AC22+AC23+AC24+AC25),1)</f>
        <v>21117</v>
      </c>
      <c r="AD26" s="1995"/>
      <c r="AE26" s="2001" t="s">
        <v>15</v>
      </c>
      <c r="AF26" s="1460">
        <f>ROUND(SUM(AF22+AF23+AF24+AF25),1)</f>
        <v>20959.099999999999</v>
      </c>
      <c r="AG26" s="2006"/>
      <c r="AH26" s="2476"/>
      <c r="AI26" s="2042">
        <f>ROUND(SUM(AI22-AI23-AI24-AI25),1)</f>
        <v>157.9</v>
      </c>
      <c r="AJ26" s="2477"/>
      <c r="AK26" s="1445">
        <f>ROUND(SUM(+AI26/AF26),3)</f>
        <v>8.0000000000000002E-3</v>
      </c>
    </row>
    <row r="27" spans="1:38" ht="15" customHeight="1">
      <c r="A27" s="2451"/>
      <c r="B27" s="2463" t="s">
        <v>1140</v>
      </c>
      <c r="C27" s="2022"/>
      <c r="D27" s="1444"/>
      <c r="E27" s="1443"/>
      <c r="F27" s="1462"/>
      <c r="G27" s="1443"/>
      <c r="H27" s="1444"/>
      <c r="I27" s="1443"/>
      <c r="J27" s="1462"/>
      <c r="K27" s="2006"/>
      <c r="L27" s="1444"/>
      <c r="M27" s="2006"/>
      <c r="N27" s="1444"/>
      <c r="O27" s="2006"/>
      <c r="P27" s="1462"/>
      <c r="Q27" s="2006"/>
      <c r="R27" s="1444"/>
      <c r="S27" s="2006"/>
      <c r="T27" s="1444"/>
      <c r="U27" s="2006"/>
      <c r="V27" s="1444"/>
      <c r="W27" s="2006"/>
      <c r="X27" s="1444"/>
      <c r="Y27" s="2006"/>
      <c r="Z27" s="1444"/>
      <c r="AA27" s="1463"/>
      <c r="AB27" s="2043"/>
      <c r="AC27" s="1462"/>
      <c r="AD27" s="1995"/>
      <c r="AE27" s="2001" t="s">
        <v>15</v>
      </c>
      <c r="AF27" s="1462"/>
      <c r="AG27" s="2006"/>
      <c r="AH27" s="2476"/>
      <c r="AI27" s="1444"/>
      <c r="AJ27" s="2477"/>
      <c r="AK27" s="2478"/>
    </row>
    <row r="28" spans="1:38" ht="15" customHeight="1">
      <c r="A28" s="2451"/>
      <c r="B28" s="2234" t="s">
        <v>1093</v>
      </c>
      <c r="C28" s="2022"/>
      <c r="D28" s="1789">
        <v>394.9</v>
      </c>
      <c r="E28" s="1421"/>
      <c r="F28" s="1789">
        <v>369.9</v>
      </c>
      <c r="G28" s="1421"/>
      <c r="H28" s="1789">
        <v>572.40000000000009</v>
      </c>
      <c r="I28" s="1443"/>
      <c r="J28" s="1789">
        <v>530</v>
      </c>
      <c r="K28" s="1998"/>
      <c r="L28" s="1789">
        <v>536.49999999999955</v>
      </c>
      <c r="M28" s="1998"/>
      <c r="N28" s="1789">
        <v>748</v>
      </c>
      <c r="O28" s="1998"/>
      <c r="P28" s="1789">
        <v>511.5</v>
      </c>
      <c r="Q28" s="1998"/>
      <c r="R28" s="1789">
        <v>545.5</v>
      </c>
      <c r="S28" s="1998"/>
      <c r="T28" s="1789">
        <v>707.20000000000073</v>
      </c>
      <c r="U28" s="1998"/>
      <c r="V28" s="1789">
        <f t="shared" ref="V28:V35" si="2">$AC28-$D28-$F28-$H28-$J28-$L28-$N28-$P28-$R28-$T28</f>
        <v>598.29999999999973</v>
      </c>
      <c r="W28" s="1998"/>
      <c r="X28" s="1789"/>
      <c r="Y28" s="1998"/>
      <c r="Z28" s="1789"/>
      <c r="AA28" s="1999"/>
      <c r="AB28" s="2002"/>
      <c r="AC28" s="1805">
        <v>5514.2</v>
      </c>
      <c r="AD28" s="2041"/>
      <c r="AE28" s="2002" t="s">
        <v>15</v>
      </c>
      <c r="AF28" s="1805">
        <v>6298.8</v>
      </c>
      <c r="AG28" s="2006"/>
      <c r="AH28" s="2476"/>
      <c r="AI28" s="1443">
        <f t="shared" ref="AI28:AI33" si="3">ROUND(SUM(+AC28-AF28),1)</f>
        <v>-784.6</v>
      </c>
      <c r="AJ28" s="2477"/>
      <c r="AK28" s="1438">
        <f t="shared" ref="AK28:AK33" si="4">ROUND(IF(AF28=0,0,AI28/ABS(AF28)),3)</f>
        <v>-0.125</v>
      </c>
    </row>
    <row r="29" spans="1:38" ht="15" customHeight="1">
      <c r="A29" s="2451"/>
      <c r="B29" s="2234" t="s">
        <v>1094</v>
      </c>
      <c r="C29" s="2022"/>
      <c r="D29" s="1789">
        <v>0</v>
      </c>
      <c r="E29" s="1421"/>
      <c r="F29" s="1789">
        <v>0</v>
      </c>
      <c r="G29" s="1421"/>
      <c r="H29" s="1789">
        <v>0</v>
      </c>
      <c r="I29" s="1443"/>
      <c r="J29" s="1789">
        <v>0</v>
      </c>
      <c r="K29" s="1998"/>
      <c r="L29" s="1789">
        <v>0</v>
      </c>
      <c r="M29" s="1998"/>
      <c r="N29" s="1789">
        <v>0</v>
      </c>
      <c r="O29" s="1998"/>
      <c r="P29" s="1789">
        <v>0</v>
      </c>
      <c r="Q29" s="1998"/>
      <c r="R29" s="1789">
        <v>0</v>
      </c>
      <c r="S29" s="1998"/>
      <c r="T29" s="1789">
        <v>0</v>
      </c>
      <c r="U29" s="1998"/>
      <c r="V29" s="1789">
        <f t="shared" si="2"/>
        <v>0</v>
      </c>
      <c r="W29" s="1998"/>
      <c r="X29" s="1789"/>
      <c r="Y29" s="1998"/>
      <c r="Z29" s="1789"/>
      <c r="AA29" s="1999"/>
      <c r="AB29" s="2002"/>
      <c r="AC29" s="1805">
        <v>0</v>
      </c>
      <c r="AD29" s="2041"/>
      <c r="AE29" s="2002" t="s">
        <v>15</v>
      </c>
      <c r="AF29" s="1805">
        <v>0</v>
      </c>
      <c r="AG29" s="2006"/>
      <c r="AH29" s="2476"/>
      <c r="AI29" s="1443">
        <f t="shared" si="3"/>
        <v>0</v>
      </c>
      <c r="AJ29" s="2477"/>
      <c r="AK29" s="1438">
        <f t="shared" si="4"/>
        <v>0</v>
      </c>
    </row>
    <row r="30" spans="1:38" ht="15" customHeight="1">
      <c r="A30" s="2451"/>
      <c r="B30" s="2234" t="s">
        <v>1095</v>
      </c>
      <c r="C30" s="2022"/>
      <c r="D30" s="1789">
        <v>30</v>
      </c>
      <c r="E30" s="1421"/>
      <c r="F30" s="1789">
        <v>22.700000000000003</v>
      </c>
      <c r="G30" s="1421"/>
      <c r="H30" s="1789">
        <v>25.899999999999991</v>
      </c>
      <c r="I30" s="1443"/>
      <c r="J30" s="1789">
        <v>29</v>
      </c>
      <c r="K30" s="1998"/>
      <c r="L30" s="1789">
        <v>26.599999999999994</v>
      </c>
      <c r="M30" s="1998"/>
      <c r="N30" s="1789">
        <v>32.400000000000006</v>
      </c>
      <c r="O30" s="1998"/>
      <c r="P30" s="1789">
        <v>25.299999999999997</v>
      </c>
      <c r="Q30" s="1998"/>
      <c r="R30" s="1789">
        <v>26.900000000000048</v>
      </c>
      <c r="S30" s="1998"/>
      <c r="T30" s="1789">
        <v>26.5</v>
      </c>
      <c r="U30" s="1998"/>
      <c r="V30" s="1789">
        <f t="shared" si="2"/>
        <v>27.800000000000011</v>
      </c>
      <c r="W30" s="1998"/>
      <c r="X30" s="1789"/>
      <c r="Y30" s="1998"/>
      <c r="Z30" s="1789"/>
      <c r="AA30" s="1999"/>
      <c r="AB30" s="2002"/>
      <c r="AC30" s="1805">
        <v>273.10000000000002</v>
      </c>
      <c r="AD30" s="2041"/>
      <c r="AE30" s="2002" t="s">
        <v>15</v>
      </c>
      <c r="AF30" s="1805">
        <v>272.2</v>
      </c>
      <c r="AG30" s="2006"/>
      <c r="AH30" s="2476"/>
      <c r="AI30" s="1443">
        <f t="shared" si="3"/>
        <v>0.9</v>
      </c>
      <c r="AJ30" s="2477"/>
      <c r="AK30" s="1438">
        <f t="shared" si="4"/>
        <v>3.0000000000000001E-3</v>
      </c>
    </row>
    <row r="31" spans="1:38" ht="15" customHeight="1">
      <c r="A31" s="2451"/>
      <c r="B31" s="2234" t="s">
        <v>1096</v>
      </c>
      <c r="C31" s="2022"/>
      <c r="D31" s="1789">
        <v>0</v>
      </c>
      <c r="E31" s="1421"/>
      <c r="F31" s="1789">
        <v>0</v>
      </c>
      <c r="G31" s="1421"/>
      <c r="H31" s="1789">
        <v>0</v>
      </c>
      <c r="I31" s="1443"/>
      <c r="J31" s="1789">
        <v>0</v>
      </c>
      <c r="K31" s="1998"/>
      <c r="L31" s="1789">
        <v>0</v>
      </c>
      <c r="M31" s="1998"/>
      <c r="N31" s="1789">
        <v>0</v>
      </c>
      <c r="O31" s="1998"/>
      <c r="P31" s="1789">
        <v>0</v>
      </c>
      <c r="Q31" s="1998"/>
      <c r="R31" s="1789">
        <v>0</v>
      </c>
      <c r="S31" s="1998"/>
      <c r="T31" s="1789">
        <v>0</v>
      </c>
      <c r="U31" s="1998"/>
      <c r="V31" s="1789">
        <f t="shared" si="2"/>
        <v>0</v>
      </c>
      <c r="W31" s="1998"/>
      <c r="X31" s="1789"/>
      <c r="Y31" s="1998"/>
      <c r="Z31" s="1789"/>
      <c r="AA31" s="1999"/>
      <c r="AB31" s="2002"/>
      <c r="AC31" s="1805">
        <v>0</v>
      </c>
      <c r="AD31" s="2041"/>
      <c r="AE31" s="2002" t="s">
        <v>15</v>
      </c>
      <c r="AF31" s="1805">
        <v>0</v>
      </c>
      <c r="AG31" s="2006"/>
      <c r="AH31" s="2476"/>
      <c r="AI31" s="1443">
        <f t="shared" si="3"/>
        <v>0</v>
      </c>
      <c r="AJ31" s="2477"/>
      <c r="AK31" s="1438">
        <f>ROUND(IF(AF31=0,0,AI31/ABS(AF31)),3)</f>
        <v>0</v>
      </c>
    </row>
    <row r="32" spans="1:38" ht="15" customHeight="1">
      <c r="A32" s="2451"/>
      <c r="B32" s="2234" t="s">
        <v>1097</v>
      </c>
      <c r="C32" s="2022"/>
      <c r="D32" s="1789">
        <v>26.7</v>
      </c>
      <c r="E32" s="1421"/>
      <c r="F32" s="1789">
        <v>21.400000000000002</v>
      </c>
      <c r="G32" s="1421"/>
      <c r="H32" s="1789">
        <v>22.8</v>
      </c>
      <c r="I32" s="1443"/>
      <c r="J32" s="1789">
        <v>25.999999999999982</v>
      </c>
      <c r="K32" s="1998"/>
      <c r="L32" s="1789">
        <v>23.100000000000012</v>
      </c>
      <c r="M32" s="1998"/>
      <c r="N32" s="1789">
        <v>23.300000000000008</v>
      </c>
      <c r="O32" s="1998"/>
      <c r="P32" s="1789">
        <v>23.700000000000006</v>
      </c>
      <c r="Q32" s="1998"/>
      <c r="R32" s="1789">
        <v>22.900000000000002</v>
      </c>
      <c r="S32" s="1998"/>
      <c r="T32" s="1789">
        <v>18.599999999999984</v>
      </c>
      <c r="U32" s="1998"/>
      <c r="V32" s="1789">
        <f t="shared" si="2"/>
        <v>29.900000000000016</v>
      </c>
      <c r="W32" s="1998"/>
      <c r="X32" s="1789"/>
      <c r="Y32" s="1998"/>
      <c r="Z32" s="1789"/>
      <c r="AA32" s="1999"/>
      <c r="AB32" s="2002"/>
      <c r="AC32" s="1805">
        <v>238.4</v>
      </c>
      <c r="AD32" s="2041"/>
      <c r="AE32" s="2002" t="s">
        <v>15</v>
      </c>
      <c r="AF32" s="1805">
        <v>234.1</v>
      </c>
      <c r="AG32" s="2006"/>
      <c r="AH32" s="2476"/>
      <c r="AI32" s="1443">
        <f t="shared" si="3"/>
        <v>4.3</v>
      </c>
      <c r="AJ32" s="2477"/>
      <c r="AK32" s="1438">
        <f t="shared" si="4"/>
        <v>1.7999999999999999E-2</v>
      </c>
    </row>
    <row r="33" spans="1:38" ht="15" customHeight="1">
      <c r="A33" s="2451"/>
      <c r="B33" s="2234" t="s">
        <v>1098</v>
      </c>
      <c r="C33" s="2022"/>
      <c r="D33" s="1789">
        <v>0</v>
      </c>
      <c r="E33" s="1421"/>
      <c r="F33" s="1789">
        <v>0</v>
      </c>
      <c r="G33" s="1421"/>
      <c r="H33" s="1789">
        <v>0</v>
      </c>
      <c r="I33" s="1443"/>
      <c r="J33" s="1789">
        <v>0</v>
      </c>
      <c r="K33" s="1998"/>
      <c r="L33" s="1789">
        <v>0</v>
      </c>
      <c r="M33" s="1998"/>
      <c r="N33" s="1789">
        <v>0</v>
      </c>
      <c r="O33" s="1998"/>
      <c r="P33" s="1789">
        <v>0</v>
      </c>
      <c r="Q33" s="1998"/>
      <c r="R33" s="1789">
        <v>0</v>
      </c>
      <c r="S33" s="1998"/>
      <c r="T33" s="1789">
        <v>0</v>
      </c>
      <c r="U33" s="1998"/>
      <c r="V33" s="1789">
        <f>$AC33-$D33-$F33-$H33-$J33-$L33-$N33-$P33-$R33-$T33</f>
        <v>0</v>
      </c>
      <c r="W33" s="1998"/>
      <c r="X33" s="1789"/>
      <c r="Y33" s="1998"/>
      <c r="Z33" s="1789"/>
      <c r="AA33" s="1999"/>
      <c r="AB33" s="2002"/>
      <c r="AC33" s="1805">
        <v>0</v>
      </c>
      <c r="AD33" s="2041"/>
      <c r="AE33" s="2002" t="s">
        <v>15</v>
      </c>
      <c r="AF33" s="1805">
        <v>0</v>
      </c>
      <c r="AG33" s="2006"/>
      <c r="AH33" s="2476"/>
      <c r="AI33" s="1443">
        <f t="shared" si="3"/>
        <v>0</v>
      </c>
      <c r="AJ33" s="2477"/>
      <c r="AK33" s="1438">
        <f t="shared" si="4"/>
        <v>0</v>
      </c>
    </row>
    <row r="34" spans="1:38" ht="15" customHeight="1">
      <c r="A34" s="2451"/>
      <c r="B34" s="2234" t="s">
        <v>1437</v>
      </c>
      <c r="C34" s="2022"/>
      <c r="D34" s="1789">
        <v>0</v>
      </c>
      <c r="E34" s="1421"/>
      <c r="F34" s="1789">
        <v>0</v>
      </c>
      <c r="G34" s="1421"/>
      <c r="H34" s="1789">
        <v>0</v>
      </c>
      <c r="I34" s="1443"/>
      <c r="J34" s="1789">
        <v>0</v>
      </c>
      <c r="K34" s="1998"/>
      <c r="L34" s="1789">
        <v>0</v>
      </c>
      <c r="M34" s="1998"/>
      <c r="N34" s="1789">
        <v>0</v>
      </c>
      <c r="O34" s="1998"/>
      <c r="P34" s="1789">
        <v>0</v>
      </c>
      <c r="Q34" s="1998"/>
      <c r="R34" s="1789">
        <v>0</v>
      </c>
      <c r="S34" s="1998"/>
      <c r="T34" s="1789">
        <v>0</v>
      </c>
      <c r="U34" s="1998"/>
      <c r="V34" s="1789">
        <f t="shared" si="2"/>
        <v>0</v>
      </c>
      <c r="W34" s="1998"/>
      <c r="X34" s="1789"/>
      <c r="Y34" s="1998"/>
      <c r="Z34" s="1789"/>
      <c r="AA34" s="1999"/>
      <c r="AB34" s="2048"/>
      <c r="AC34" s="1805">
        <v>0</v>
      </c>
      <c r="AD34" s="2041"/>
      <c r="AE34" s="2048" t="s">
        <v>15</v>
      </c>
      <c r="AF34" s="1805">
        <v>0</v>
      </c>
      <c r="AG34" s="2006"/>
      <c r="AH34" s="2476"/>
      <c r="AI34" s="1443">
        <f>ROUND(SUM(+AC34-AF34),1)</f>
        <v>0</v>
      </c>
      <c r="AJ34" s="2477"/>
      <c r="AK34" s="1438">
        <f>ROUND(IF(AF34=0,0,AI34/ABS(AF34)),3)</f>
        <v>0</v>
      </c>
    </row>
    <row r="35" spans="1:38" ht="15" customHeight="1">
      <c r="A35" s="2451"/>
      <c r="B35" s="2234" t="s">
        <v>1438</v>
      </c>
      <c r="C35" s="2022"/>
      <c r="D35" s="1789">
        <v>7.2</v>
      </c>
      <c r="E35" s="1421"/>
      <c r="F35" s="1789">
        <v>0</v>
      </c>
      <c r="G35" s="1421"/>
      <c r="H35" s="1789">
        <v>0</v>
      </c>
      <c r="I35" s="1443"/>
      <c r="J35" s="1789">
        <v>8.9000000000000021</v>
      </c>
      <c r="K35" s="1998"/>
      <c r="L35" s="1789">
        <v>0</v>
      </c>
      <c r="M35" s="1998"/>
      <c r="N35" s="1789">
        <v>0.29999999999999716</v>
      </c>
      <c r="O35" s="1998"/>
      <c r="P35" s="1789">
        <v>6.1000000000000014</v>
      </c>
      <c r="Q35" s="1998"/>
      <c r="R35" s="1789">
        <v>0.10000000000000142</v>
      </c>
      <c r="S35" s="1998"/>
      <c r="T35" s="1789">
        <v>0.19999999999999574</v>
      </c>
      <c r="U35" s="1998"/>
      <c r="V35" s="1789">
        <f t="shared" si="2"/>
        <v>7.1000000000000014</v>
      </c>
      <c r="W35" s="1998"/>
      <c r="X35" s="1789"/>
      <c r="Y35" s="1998"/>
      <c r="Z35" s="1789"/>
      <c r="AA35" s="1999"/>
      <c r="AB35" s="2002"/>
      <c r="AC35" s="1805">
        <v>29.9</v>
      </c>
      <c r="AD35" s="2041"/>
      <c r="AE35" s="2002" t="s">
        <v>15</v>
      </c>
      <c r="AF35" s="1805">
        <v>16.899999999999999</v>
      </c>
      <c r="AG35" s="2006"/>
      <c r="AH35" s="2476"/>
      <c r="AI35" s="1443">
        <f t="shared" ref="AI35" si="5">ROUND(SUM(+AC35-AF35),1)</f>
        <v>13</v>
      </c>
      <c r="AJ35" s="2477"/>
      <c r="AK35" s="1438">
        <f>ROUND(IF(AF35=0,1,AI35/ABS(AF35)),3)</f>
        <v>0.76900000000000002</v>
      </c>
    </row>
    <row r="36" spans="1:38" s="2481" customFormat="1" ht="15" customHeight="1">
      <c r="A36" s="2479"/>
      <c r="B36" s="2473" t="s">
        <v>1092</v>
      </c>
      <c r="C36" s="2428"/>
      <c r="D36" s="2474">
        <f>ROUND(SUM(D28:D35),1)</f>
        <v>458.8</v>
      </c>
      <c r="E36" s="1461"/>
      <c r="F36" s="2475">
        <f>ROUND(SUM(F28:F35),1)</f>
        <v>414</v>
      </c>
      <c r="G36" s="1461"/>
      <c r="H36" s="2474">
        <f>ROUND(SUM(H28:H35),1)</f>
        <v>621.1</v>
      </c>
      <c r="I36" s="1461"/>
      <c r="J36" s="2475">
        <f>ROUND(SUM(J28:J35),1)</f>
        <v>593.9</v>
      </c>
      <c r="K36" s="1461"/>
      <c r="L36" s="2042">
        <f>ROUND(SUM(L28:L35),1)</f>
        <v>586.20000000000005</v>
      </c>
      <c r="M36" s="1461"/>
      <c r="N36" s="2042">
        <f>ROUND(SUM(N28:N35),1)</f>
        <v>804</v>
      </c>
      <c r="O36" s="1461"/>
      <c r="P36" s="2042">
        <f>ROUND(SUM(P28:P35),1)</f>
        <v>566.6</v>
      </c>
      <c r="Q36" s="1461"/>
      <c r="R36" s="2042">
        <f>ROUND(SUM(R28:R35),1)</f>
        <v>595.4</v>
      </c>
      <c r="S36" s="1461"/>
      <c r="T36" s="2042">
        <f>ROUND(SUM(T28:T35),1)</f>
        <v>752.5</v>
      </c>
      <c r="U36" s="1461"/>
      <c r="V36" s="2042">
        <f>ROUND(SUM(V28:V35),1)</f>
        <v>663.1</v>
      </c>
      <c r="W36" s="1461"/>
      <c r="X36" s="2042">
        <f>ROUND(SUM(X28:X35),1)</f>
        <v>0</v>
      </c>
      <c r="Y36" s="1461"/>
      <c r="Z36" s="2042">
        <f>ROUND(SUM(Z28:Z35),1)</f>
        <v>0</v>
      </c>
      <c r="AA36" s="2010"/>
      <c r="AB36" s="2045"/>
      <c r="AC36" s="3154">
        <f>ROUND(SUM(AC28:AC35),1)</f>
        <v>6055.6</v>
      </c>
      <c r="AD36" s="2050"/>
      <c r="AE36" s="2554"/>
      <c r="AF36" s="1460">
        <f>ROUND(SUM(AF28:AF35),1)</f>
        <v>6822</v>
      </c>
      <c r="AG36" s="1461"/>
      <c r="AH36" s="2480"/>
      <c r="AI36" s="2042">
        <f>ROUND(SUM(AI28:AI35),1)</f>
        <v>-766.4</v>
      </c>
      <c r="AJ36" s="1444"/>
      <c r="AK36" s="1445">
        <f>ROUND(SUM(+AI36/AF36),3)</f>
        <v>-0.112</v>
      </c>
      <c r="AL36" s="2417"/>
    </row>
    <row r="37" spans="1:38" s="2481" customFormat="1" ht="15" customHeight="1">
      <c r="A37" s="2479"/>
      <c r="B37" s="2463" t="s">
        <v>1141</v>
      </c>
      <c r="C37" s="2428"/>
      <c r="D37" s="1444"/>
      <c r="E37" s="1461"/>
      <c r="F37" s="1462"/>
      <c r="G37" s="1461"/>
      <c r="H37" s="1444"/>
      <c r="I37" s="1461"/>
      <c r="J37" s="2041"/>
      <c r="K37" s="1461"/>
      <c r="L37" s="1444"/>
      <c r="M37" s="1461"/>
      <c r="N37" s="1444"/>
      <c r="O37" s="1461"/>
      <c r="P37" s="1462"/>
      <c r="Q37" s="1461"/>
      <c r="R37" s="1444"/>
      <c r="S37" s="1461"/>
      <c r="T37" s="1444"/>
      <c r="U37" s="1461"/>
      <c r="V37" s="1444"/>
      <c r="W37" s="1461"/>
      <c r="X37" s="1444"/>
      <c r="Y37" s="1461"/>
      <c r="Z37" s="1444"/>
      <c r="AA37" s="2010"/>
      <c r="AB37" s="2045"/>
      <c r="AC37" s="1462"/>
      <c r="AD37" s="2050"/>
      <c r="AE37" s="2554" t="s">
        <v>15</v>
      </c>
      <c r="AF37" s="1462"/>
      <c r="AG37" s="1461"/>
      <c r="AH37" s="2480"/>
      <c r="AI37" s="1444"/>
      <c r="AJ37" s="1444"/>
      <c r="AK37" s="2478"/>
      <c r="AL37" s="2417"/>
    </row>
    <row r="38" spans="1:38" s="2481" customFormat="1" ht="15" customHeight="1">
      <c r="A38" s="2479"/>
      <c r="B38" s="2234" t="s">
        <v>1100</v>
      </c>
      <c r="C38" s="2428"/>
      <c r="D38" s="1789">
        <v>197.4</v>
      </c>
      <c r="E38" s="1421"/>
      <c r="F38" s="1789">
        <v>-131.5</v>
      </c>
      <c r="G38" s="1421"/>
      <c r="H38" s="1789">
        <v>447.4</v>
      </c>
      <c r="I38" s="1461"/>
      <c r="J38" s="1789">
        <v>449.20000000000005</v>
      </c>
      <c r="K38" s="1998"/>
      <c r="L38" s="1789">
        <v>18</v>
      </c>
      <c r="M38" s="1998"/>
      <c r="N38" s="1789">
        <v>834.99999999999977</v>
      </c>
      <c r="O38" s="1998"/>
      <c r="P38" s="1789">
        <v>74.300000000000182</v>
      </c>
      <c r="Q38" s="1998"/>
      <c r="R38" s="1789">
        <v>65.599999999999909</v>
      </c>
      <c r="S38" s="1998"/>
      <c r="T38" s="1789">
        <v>908.09999999999991</v>
      </c>
      <c r="U38" s="1998"/>
      <c r="V38" s="1789">
        <f t="shared" ref="V38:V42" si="6">$AC38-$D38-$F38-$H38-$J38-$L38-$N38-$P38-$R38-$T38</f>
        <v>-21.900000000000091</v>
      </c>
      <c r="W38" s="1998"/>
      <c r="X38" s="1789"/>
      <c r="Y38" s="1998"/>
      <c r="Z38" s="1789"/>
      <c r="AA38" s="1999"/>
      <c r="AB38" s="2002"/>
      <c r="AC38" s="1805">
        <v>2841.6</v>
      </c>
      <c r="AD38" s="2041"/>
      <c r="AE38" s="2002" t="s">
        <v>15</v>
      </c>
      <c r="AF38" s="1805">
        <v>2923.7999999999997</v>
      </c>
      <c r="AG38" s="1461"/>
      <c r="AH38" s="2480"/>
      <c r="AI38" s="1443">
        <f>ROUND(SUM(+AC38-AF38),1)</f>
        <v>-82.2</v>
      </c>
      <c r="AJ38" s="1444"/>
      <c r="AK38" s="1438">
        <f>ROUND(IF(AF38=0,0,AI38/ABS(AF38)),3)</f>
        <v>-2.8000000000000001E-2</v>
      </c>
      <c r="AL38" s="2417"/>
    </row>
    <row r="39" spans="1:38" s="2481" customFormat="1" ht="15" customHeight="1">
      <c r="A39" s="2479"/>
      <c r="B39" s="2234" t="s">
        <v>1101</v>
      </c>
      <c r="C39" s="2428"/>
      <c r="D39" s="1789">
        <v>13.3</v>
      </c>
      <c r="E39" s="1421"/>
      <c r="F39" s="1789">
        <v>-2.6000000000000014</v>
      </c>
      <c r="G39" s="1421"/>
      <c r="H39" s="1789">
        <v>73.800000000000011</v>
      </c>
      <c r="I39" s="1461"/>
      <c r="J39" s="1789">
        <v>12.699999999999989</v>
      </c>
      <c r="K39" s="1998"/>
      <c r="L39" s="1789">
        <v>3.6</v>
      </c>
      <c r="M39" s="1998"/>
      <c r="N39" s="1789">
        <v>79.699999999999989</v>
      </c>
      <c r="O39" s="1998"/>
      <c r="P39" s="1789">
        <v>5.4000000000000057</v>
      </c>
      <c r="Q39" s="1998"/>
      <c r="R39" s="1789">
        <v>0.40000000000000568</v>
      </c>
      <c r="S39" s="1998"/>
      <c r="T39" s="1789">
        <v>74.800000000000011</v>
      </c>
      <c r="U39" s="1998"/>
      <c r="V39" s="1789">
        <f t="shared" si="6"/>
        <v>4.8999999999999773</v>
      </c>
      <c r="W39" s="1998"/>
      <c r="X39" s="1789"/>
      <c r="Y39" s="1998"/>
      <c r="Z39" s="1789"/>
      <c r="AA39" s="1999"/>
      <c r="AB39" s="2002"/>
      <c r="AC39" s="1805">
        <v>266</v>
      </c>
      <c r="AD39" s="2041"/>
      <c r="AE39" s="2002" t="s">
        <v>15</v>
      </c>
      <c r="AF39" s="1805">
        <v>293.3</v>
      </c>
      <c r="AG39" s="1461"/>
      <c r="AH39" s="2480"/>
      <c r="AI39" s="1443">
        <f>ROUND(SUM(+AC39-AF39),1)</f>
        <v>-27.3</v>
      </c>
      <c r="AJ39" s="1444"/>
      <c r="AK39" s="1479">
        <f>ROUND(IF(AF39=0,0,AI39/ABS(AF39)),3)</f>
        <v>-9.2999999999999999E-2</v>
      </c>
      <c r="AL39" s="2417"/>
    </row>
    <row r="40" spans="1:38" s="2481" customFormat="1" ht="15" customHeight="1">
      <c r="A40" s="2479"/>
      <c r="B40" s="2234" t="s">
        <v>1102</v>
      </c>
      <c r="C40" s="2428"/>
      <c r="D40" s="1789">
        <v>63</v>
      </c>
      <c r="E40" s="1421"/>
      <c r="F40" s="1789">
        <v>6.9</v>
      </c>
      <c r="G40" s="1421"/>
      <c r="H40" s="1789">
        <v>325.39999999999998</v>
      </c>
      <c r="I40" s="1461"/>
      <c r="J40" s="1789">
        <v>28.899999999999977</v>
      </c>
      <c r="K40" s="1998"/>
      <c r="L40" s="1789">
        <v>15.600000000000023</v>
      </c>
      <c r="M40" s="1998"/>
      <c r="N40" s="1789">
        <v>348.40000000000009</v>
      </c>
      <c r="O40" s="1998"/>
      <c r="P40" s="1789">
        <v>21.899999999999977</v>
      </c>
      <c r="Q40" s="1998"/>
      <c r="R40" s="1789">
        <v>8.8999999999999773</v>
      </c>
      <c r="S40" s="1998"/>
      <c r="T40" s="1789">
        <v>379.49999999999989</v>
      </c>
      <c r="U40" s="1998"/>
      <c r="V40" s="1789">
        <f t="shared" si="6"/>
        <v>-4.4000000000000909</v>
      </c>
      <c r="W40" s="1998"/>
      <c r="X40" s="1789"/>
      <c r="Y40" s="1998"/>
      <c r="Z40" s="1789"/>
      <c r="AA40" s="1999"/>
      <c r="AB40" s="2002"/>
      <c r="AC40" s="1805">
        <v>1194.0999999999999</v>
      </c>
      <c r="AD40" s="2041"/>
      <c r="AE40" s="2002" t="s">
        <v>15</v>
      </c>
      <c r="AF40" s="1805">
        <v>1345.2</v>
      </c>
      <c r="AG40" s="1461"/>
      <c r="AH40" s="2480"/>
      <c r="AI40" s="1443">
        <f>ROUND(SUM(+AC40-AF40),1)</f>
        <v>-151.1</v>
      </c>
      <c r="AJ40" s="1444"/>
      <c r="AK40" s="1438">
        <f>ROUND(IF(AF40=0,0,AI40/ABS(AF40)),3)</f>
        <v>-0.112</v>
      </c>
      <c r="AL40" s="2417"/>
    </row>
    <row r="41" spans="1:38" s="2481" customFormat="1" ht="15" customHeight="1">
      <c r="A41" s="2479"/>
      <c r="B41" s="2234" t="s">
        <v>1103</v>
      </c>
      <c r="C41" s="2428"/>
      <c r="D41" s="1789">
        <v>6.1</v>
      </c>
      <c r="E41" s="1421"/>
      <c r="F41" s="1789">
        <v>2</v>
      </c>
      <c r="G41" s="1421"/>
      <c r="H41" s="1789">
        <v>78.900000000000006</v>
      </c>
      <c r="I41" s="1461"/>
      <c r="J41" s="1789">
        <v>0.70000000000000284</v>
      </c>
      <c r="K41" s="1998"/>
      <c r="L41" s="1789">
        <v>40.399999999999991</v>
      </c>
      <c r="M41" s="1998"/>
      <c r="N41" s="1789">
        <v>18.400000000000006</v>
      </c>
      <c r="O41" s="1998"/>
      <c r="P41" s="1789">
        <v>-9.9999999999994316E-2</v>
      </c>
      <c r="Q41" s="1998"/>
      <c r="R41" s="1789">
        <v>-0.5</v>
      </c>
      <c r="S41" s="1998"/>
      <c r="T41" s="1789">
        <v>1.0999999999999943</v>
      </c>
      <c r="U41" s="1998"/>
      <c r="V41" s="1789">
        <f t="shared" si="6"/>
        <v>-8.3000000000000114</v>
      </c>
      <c r="W41" s="1998"/>
      <c r="X41" s="1789"/>
      <c r="Y41" s="1998"/>
      <c r="Z41" s="1789"/>
      <c r="AA41" s="1999"/>
      <c r="AB41" s="2002"/>
      <c r="AC41" s="1805">
        <v>138.69999999999999</v>
      </c>
      <c r="AD41" s="2041"/>
      <c r="AE41" s="2002" t="s">
        <v>15</v>
      </c>
      <c r="AF41" s="1805">
        <v>-28.4</v>
      </c>
      <c r="AG41" s="1461"/>
      <c r="AH41" s="2480"/>
      <c r="AI41" s="1443">
        <f>ROUND(SUM(+AC41-AF41),1)</f>
        <v>167.1</v>
      </c>
      <c r="AJ41" s="1444"/>
      <c r="AK41" s="1479">
        <f>ROUND(IF(AF41=0,0,AI41/ABS(AF41)),3)</f>
        <v>5.8840000000000003</v>
      </c>
      <c r="AL41" s="2417"/>
    </row>
    <row r="42" spans="1:38" s="2481" customFormat="1" ht="15" customHeight="1">
      <c r="A42" s="2479"/>
      <c r="B42" s="2234" t="s">
        <v>1104</v>
      </c>
      <c r="C42" s="2428"/>
      <c r="D42" s="1789">
        <v>0</v>
      </c>
      <c r="E42" s="1421"/>
      <c r="F42" s="1789">
        <v>0</v>
      </c>
      <c r="G42" s="1421"/>
      <c r="H42" s="1789">
        <v>0</v>
      </c>
      <c r="I42" s="1461"/>
      <c r="J42" s="1789">
        <v>0</v>
      </c>
      <c r="K42" s="1998"/>
      <c r="L42" s="1789">
        <v>0</v>
      </c>
      <c r="M42" s="1998"/>
      <c r="N42" s="1789">
        <v>0</v>
      </c>
      <c r="O42" s="1998"/>
      <c r="P42" s="1789">
        <v>0</v>
      </c>
      <c r="Q42" s="1998"/>
      <c r="R42" s="1789">
        <v>0</v>
      </c>
      <c r="S42" s="1998"/>
      <c r="T42" s="1789">
        <v>0</v>
      </c>
      <c r="U42" s="1998"/>
      <c r="V42" s="1789">
        <f t="shared" si="6"/>
        <v>0</v>
      </c>
      <c r="W42" s="1998"/>
      <c r="X42" s="1789"/>
      <c r="Y42" s="1998"/>
      <c r="Z42" s="1789"/>
      <c r="AA42" s="1999"/>
      <c r="AB42" s="2002"/>
      <c r="AC42" s="1805">
        <v>0</v>
      </c>
      <c r="AD42" s="2041"/>
      <c r="AE42" s="2002" t="s">
        <v>15</v>
      </c>
      <c r="AF42" s="1805">
        <v>0</v>
      </c>
      <c r="AG42" s="1461"/>
      <c r="AH42" s="2480"/>
      <c r="AI42" s="1443">
        <f>ROUND(SUM(+AC42-AF42),1)</f>
        <v>0</v>
      </c>
      <c r="AJ42" s="1444"/>
      <c r="AK42" s="1438">
        <f>ROUND(IF(AF42=0,0,AI42/ABS(AF42)),3)</f>
        <v>0</v>
      </c>
      <c r="AL42" s="2417"/>
    </row>
    <row r="43" spans="1:38" s="2481" customFormat="1" ht="15" customHeight="1">
      <c r="A43" s="2479"/>
      <c r="B43" s="2473" t="s">
        <v>1099</v>
      </c>
      <c r="C43" s="2428"/>
      <c r="D43" s="2475">
        <f>ROUND(SUM(D38:D42),1)</f>
        <v>279.8</v>
      </c>
      <c r="E43" s="1461"/>
      <c r="F43" s="2475">
        <f>ROUND(SUM(F38:F42),1)</f>
        <v>-125.2</v>
      </c>
      <c r="G43" s="1461"/>
      <c r="H43" s="2475">
        <f>ROUND(SUM(H38:H42),1)</f>
        <v>925.5</v>
      </c>
      <c r="I43" s="1461"/>
      <c r="J43" s="2475">
        <f>ROUND(SUM(J38:J42),1)</f>
        <v>491.5</v>
      </c>
      <c r="K43" s="1461"/>
      <c r="L43" s="1460">
        <f>ROUND(SUM(L38:L42),1)</f>
        <v>77.599999999999994</v>
      </c>
      <c r="M43" s="1461"/>
      <c r="N43" s="1460">
        <f>ROUND(SUM(N38:N42),1)</f>
        <v>1281.5</v>
      </c>
      <c r="O43" s="1461"/>
      <c r="P43" s="1460">
        <f>ROUND(SUM(P38:P42),1)</f>
        <v>101.5</v>
      </c>
      <c r="Q43" s="1461"/>
      <c r="R43" s="1460">
        <f>ROUND(SUM(R38:R42),1)</f>
        <v>74.400000000000006</v>
      </c>
      <c r="S43" s="1461"/>
      <c r="T43" s="1460">
        <f>ROUND(SUM(T38:T42),1)</f>
        <v>1363.5</v>
      </c>
      <c r="U43" s="1461"/>
      <c r="V43" s="1460">
        <f>ROUND(SUM(V38:V42),1)</f>
        <v>-29.7</v>
      </c>
      <c r="W43" s="1461"/>
      <c r="X43" s="1460">
        <f>ROUND(SUM(X38:X42),1)</f>
        <v>0</v>
      </c>
      <c r="Y43" s="1461"/>
      <c r="Z43" s="1460">
        <f>ROUND(SUM(Z38:Z42),1)</f>
        <v>0</v>
      </c>
      <c r="AA43" s="2010"/>
      <c r="AB43" s="2045"/>
      <c r="AC43" s="3154">
        <f>ROUND(SUM(AC38:AC42),1)</f>
        <v>4440.3999999999996</v>
      </c>
      <c r="AD43" s="2050"/>
      <c r="AE43" s="2554"/>
      <c r="AF43" s="1460">
        <f>ROUND(SUM(AF38:AF42),1)</f>
        <v>4533.8999999999996</v>
      </c>
      <c r="AG43" s="1461"/>
      <c r="AH43" s="2480"/>
      <c r="AI43" s="1460">
        <f>ROUND(SUM(AI38:AI42),1)</f>
        <v>-93.5</v>
      </c>
      <c r="AJ43" s="1444"/>
      <c r="AK43" s="1445">
        <f>ROUND(SUM(+AI43/AF43),3)</f>
        <v>-2.1000000000000001E-2</v>
      </c>
      <c r="AL43" s="2417"/>
    </row>
    <row r="44" spans="1:38" s="2481" customFormat="1" ht="15" customHeight="1">
      <c r="A44" s="2479"/>
      <c r="B44" s="2463" t="s">
        <v>1142</v>
      </c>
      <c r="C44" s="2428"/>
      <c r="D44" s="1444"/>
      <c r="E44" s="1461"/>
      <c r="F44" s="1444"/>
      <c r="G44" s="1461"/>
      <c r="H44" s="1444"/>
      <c r="I44" s="1461"/>
      <c r="J44" s="1462"/>
      <c r="K44" s="1461"/>
      <c r="L44" s="1444"/>
      <c r="M44" s="1461"/>
      <c r="N44" s="1444"/>
      <c r="O44" s="1461"/>
      <c r="P44" s="1462"/>
      <c r="Q44" s="1461"/>
      <c r="R44" s="1444"/>
      <c r="S44" s="1461"/>
      <c r="T44" s="1444"/>
      <c r="U44" s="1461"/>
      <c r="V44" s="1444"/>
      <c r="W44" s="1461"/>
      <c r="X44" s="1444"/>
      <c r="Y44" s="1461"/>
      <c r="Z44" s="1444"/>
      <c r="AA44" s="2010"/>
      <c r="AB44" s="2045"/>
      <c r="AC44" s="1462"/>
      <c r="AD44" s="2050"/>
      <c r="AE44" s="2554"/>
      <c r="AF44" s="1462"/>
      <c r="AG44" s="1461"/>
      <c r="AH44" s="2480"/>
      <c r="AI44" s="1444"/>
      <c r="AJ44" s="1444"/>
      <c r="AK44" s="2478"/>
      <c r="AL44" s="2417"/>
    </row>
    <row r="45" spans="1:38" s="2481" customFormat="1" ht="15" customHeight="1">
      <c r="A45" s="2479"/>
      <c r="B45" s="2234" t="s">
        <v>1107</v>
      </c>
      <c r="C45" s="2428"/>
      <c r="D45" s="1789">
        <v>0</v>
      </c>
      <c r="E45" s="1421"/>
      <c r="F45" s="1789">
        <v>0</v>
      </c>
      <c r="G45" s="1421"/>
      <c r="H45" s="1789">
        <v>0</v>
      </c>
      <c r="I45" s="1461"/>
      <c r="J45" s="1789">
        <v>0</v>
      </c>
      <c r="K45" s="1998"/>
      <c r="L45" s="1789">
        <v>0</v>
      </c>
      <c r="M45" s="1998"/>
      <c r="N45" s="1789">
        <v>0</v>
      </c>
      <c r="O45" s="1998"/>
      <c r="P45" s="1789">
        <v>0</v>
      </c>
      <c r="Q45" s="1998"/>
      <c r="R45" s="1789">
        <v>0</v>
      </c>
      <c r="S45" s="1998"/>
      <c r="T45" s="1789">
        <v>0</v>
      </c>
      <c r="U45" s="1998"/>
      <c r="V45" s="1789">
        <f t="shared" ref="V45:V50" si="7">$AC45-$D45-$F45-$H45-$J45-$L45-$N45-$P45-$R45-$T45</f>
        <v>0</v>
      </c>
      <c r="W45" s="1998"/>
      <c r="X45" s="1789"/>
      <c r="Y45" s="1998"/>
      <c r="Z45" s="1789"/>
      <c r="AA45" s="1999"/>
      <c r="AB45" s="2002"/>
      <c r="AC45" s="1805">
        <v>0</v>
      </c>
      <c r="AD45" s="2041"/>
      <c r="AE45" s="2002" t="s">
        <v>15</v>
      </c>
      <c r="AF45" s="1805">
        <v>0</v>
      </c>
      <c r="AG45" s="1461"/>
      <c r="AH45" s="2480"/>
      <c r="AI45" s="1443">
        <f t="shared" ref="AI45:AI49" si="8">ROUND(SUM(+AC45-AF45),1)</f>
        <v>0</v>
      </c>
      <c r="AJ45" s="1444"/>
      <c r="AK45" s="1438">
        <f t="shared" ref="AK45:AK48" si="9">ROUND(IF(AF45=0,0,AI45/ABS(AF45)),3)</f>
        <v>0</v>
      </c>
      <c r="AL45" s="2417"/>
    </row>
    <row r="46" spans="1:38" s="2481" customFormat="1" ht="15" customHeight="1">
      <c r="A46" s="2479"/>
      <c r="B46" s="2234" t="s">
        <v>1108</v>
      </c>
      <c r="C46" s="2428"/>
      <c r="D46" s="1789">
        <v>72.7</v>
      </c>
      <c r="E46" s="1421"/>
      <c r="F46" s="1789">
        <v>52</v>
      </c>
      <c r="G46" s="1421"/>
      <c r="H46" s="1789">
        <v>147.30000000000001</v>
      </c>
      <c r="I46" s="1461"/>
      <c r="J46" s="1789">
        <v>147.69999999999999</v>
      </c>
      <c r="K46" s="1998"/>
      <c r="L46" s="1789">
        <v>55.800000000000011</v>
      </c>
      <c r="M46" s="1998"/>
      <c r="N46" s="1789">
        <v>91.299999999999955</v>
      </c>
      <c r="O46" s="1998"/>
      <c r="P46" s="1789">
        <v>135.09999999999997</v>
      </c>
      <c r="Q46" s="1998"/>
      <c r="R46" s="1789">
        <v>131.49999999999994</v>
      </c>
      <c r="S46" s="1998"/>
      <c r="T46" s="1789">
        <v>123.10000000000008</v>
      </c>
      <c r="U46" s="1998"/>
      <c r="V46" s="1789">
        <f t="shared" si="7"/>
        <v>293.50000000000011</v>
      </c>
      <c r="W46" s="1998"/>
      <c r="X46" s="1789"/>
      <c r="Y46" s="1998"/>
      <c r="Z46" s="1789"/>
      <c r="AA46" s="1999"/>
      <c r="AB46" s="2002"/>
      <c r="AC46" s="1805">
        <v>1250</v>
      </c>
      <c r="AD46" s="2041"/>
      <c r="AE46" s="2002" t="s">
        <v>15</v>
      </c>
      <c r="AF46" s="1805">
        <v>907</v>
      </c>
      <c r="AG46" s="1461"/>
      <c r="AH46" s="2480"/>
      <c r="AI46" s="1443">
        <f t="shared" si="8"/>
        <v>343</v>
      </c>
      <c r="AJ46" s="1444"/>
      <c r="AK46" s="1438">
        <f t="shared" si="9"/>
        <v>0.378</v>
      </c>
      <c r="AL46" s="2417"/>
    </row>
    <row r="47" spans="1:38" s="2481" customFormat="1" ht="15" customHeight="1">
      <c r="A47" s="2479"/>
      <c r="B47" s="2234" t="s">
        <v>1109</v>
      </c>
      <c r="C47" s="2428"/>
      <c r="D47" s="1789">
        <v>0.7</v>
      </c>
      <c r="E47" s="1421"/>
      <c r="F47" s="1789">
        <v>0.20000000000000007</v>
      </c>
      <c r="G47" s="1421"/>
      <c r="H47" s="1789">
        <v>0.79999999999999993</v>
      </c>
      <c r="I47" s="1461"/>
      <c r="J47" s="1789">
        <v>0.99999999999999989</v>
      </c>
      <c r="K47" s="1998"/>
      <c r="L47" s="1789">
        <v>1.3999999999999995</v>
      </c>
      <c r="M47" s="1998"/>
      <c r="N47" s="1789">
        <v>0.70000000000000018</v>
      </c>
      <c r="O47" s="1998"/>
      <c r="P47" s="1789">
        <v>1.6000000000000005</v>
      </c>
      <c r="Q47" s="1998"/>
      <c r="R47" s="1789">
        <v>0.79999999999999982</v>
      </c>
      <c r="S47" s="1998"/>
      <c r="T47" s="1789">
        <v>0.89999999999999947</v>
      </c>
      <c r="U47" s="1998"/>
      <c r="V47" s="1789">
        <f t="shared" si="7"/>
        <v>0.59999999999999964</v>
      </c>
      <c r="W47" s="1998"/>
      <c r="X47" s="1789"/>
      <c r="Y47" s="1998"/>
      <c r="Z47" s="1789"/>
      <c r="AA47" s="1999"/>
      <c r="AB47" s="2002"/>
      <c r="AC47" s="1805">
        <v>8.6999999999999993</v>
      </c>
      <c r="AD47" s="2041"/>
      <c r="AE47" s="2002" t="s">
        <v>15</v>
      </c>
      <c r="AF47" s="1805">
        <v>12.9</v>
      </c>
      <c r="AG47" s="1461"/>
      <c r="AH47" s="2480"/>
      <c r="AI47" s="1443">
        <f t="shared" si="8"/>
        <v>-4.2</v>
      </c>
      <c r="AJ47" s="1444"/>
      <c r="AK47" s="1438">
        <f t="shared" si="9"/>
        <v>-0.32600000000000001</v>
      </c>
      <c r="AL47" s="2417"/>
    </row>
    <row r="48" spans="1:38" s="2481" customFormat="1" ht="15" customHeight="1">
      <c r="A48" s="2479"/>
      <c r="B48" s="2234" t="s">
        <v>1110</v>
      </c>
      <c r="C48" s="2428"/>
      <c r="D48" s="1789">
        <v>0</v>
      </c>
      <c r="E48" s="1421"/>
      <c r="F48" s="1789">
        <v>0</v>
      </c>
      <c r="G48" s="1421"/>
      <c r="H48" s="1789">
        <v>0</v>
      </c>
      <c r="I48" s="1461"/>
      <c r="J48" s="1789">
        <v>0</v>
      </c>
      <c r="K48" s="1998"/>
      <c r="L48" s="1789">
        <v>0</v>
      </c>
      <c r="M48" s="1998"/>
      <c r="N48" s="1789">
        <v>0</v>
      </c>
      <c r="O48" s="1998"/>
      <c r="P48" s="1789">
        <v>0</v>
      </c>
      <c r="Q48" s="1998"/>
      <c r="R48" s="1789">
        <v>0</v>
      </c>
      <c r="S48" s="1998"/>
      <c r="T48" s="1789">
        <v>0</v>
      </c>
      <c r="U48" s="1998"/>
      <c r="V48" s="1789">
        <f t="shared" si="7"/>
        <v>0</v>
      </c>
      <c r="W48" s="1998"/>
      <c r="X48" s="1789"/>
      <c r="Y48" s="1998"/>
      <c r="Z48" s="1789"/>
      <c r="AA48" s="1999"/>
      <c r="AB48" s="2002"/>
      <c r="AC48" s="1805">
        <v>0</v>
      </c>
      <c r="AD48" s="2041">
        <f>'Exhibit F'!AF1211</f>
        <v>0</v>
      </c>
      <c r="AE48" s="2002" t="s">
        <v>15</v>
      </c>
      <c r="AF48" s="1805">
        <v>0</v>
      </c>
      <c r="AG48" s="1461"/>
      <c r="AH48" s="2480"/>
      <c r="AI48" s="1443">
        <f t="shared" si="8"/>
        <v>0</v>
      </c>
      <c r="AJ48" s="1444"/>
      <c r="AK48" s="1438">
        <f t="shared" si="9"/>
        <v>0</v>
      </c>
      <c r="AL48" s="2417"/>
    </row>
    <row r="49" spans="1:38" s="2481" customFormat="1" ht="15" customHeight="1">
      <c r="A49" s="2479"/>
      <c r="B49" s="2234" t="s">
        <v>1111</v>
      </c>
      <c r="C49" s="2428"/>
      <c r="D49" s="1789">
        <v>0.1</v>
      </c>
      <c r="E49" s="1421"/>
      <c r="F49" s="1789">
        <v>0</v>
      </c>
      <c r="G49" s="1421"/>
      <c r="H49" s="1789">
        <v>0</v>
      </c>
      <c r="I49" s="1461"/>
      <c r="J49" s="1789">
        <v>0</v>
      </c>
      <c r="K49" s="1998"/>
      <c r="L49" s="1789">
        <v>0</v>
      </c>
      <c r="M49" s="1998"/>
      <c r="N49" s="1789">
        <v>0</v>
      </c>
      <c r="O49" s="1998"/>
      <c r="P49" s="1789">
        <v>0</v>
      </c>
      <c r="Q49" s="1998"/>
      <c r="R49" s="1789">
        <v>0</v>
      </c>
      <c r="S49" s="1998"/>
      <c r="T49" s="1789">
        <v>0</v>
      </c>
      <c r="U49" s="1998"/>
      <c r="V49" s="1789">
        <f t="shared" si="7"/>
        <v>0</v>
      </c>
      <c r="W49" s="1998"/>
      <c r="X49" s="1789"/>
      <c r="Y49" s="1998"/>
      <c r="Z49" s="1789"/>
      <c r="AA49" s="1999"/>
      <c r="AB49" s="2002"/>
      <c r="AC49" s="1805">
        <v>0.1</v>
      </c>
      <c r="AD49" s="2041"/>
      <c r="AE49" s="2002" t="s">
        <v>15</v>
      </c>
      <c r="AF49" s="1805">
        <v>1.9</v>
      </c>
      <c r="AG49" s="1461"/>
      <c r="AH49" s="2480"/>
      <c r="AI49" s="1443">
        <f t="shared" si="8"/>
        <v>-1.8</v>
      </c>
      <c r="AJ49" s="1444"/>
      <c r="AK49" s="1438">
        <f>ROUND(IF(AF49=0,1,AI49/ABS(AF49)),3)</f>
        <v>-0.94699999999999995</v>
      </c>
      <c r="AL49" s="2417"/>
    </row>
    <row r="50" spans="1:38" s="2481" customFormat="1" ht="15" customHeight="1">
      <c r="A50" s="2479"/>
      <c r="B50" s="2470" t="s">
        <v>1370</v>
      </c>
      <c r="C50" s="2465"/>
      <c r="D50" s="1789">
        <v>0.1</v>
      </c>
      <c r="E50" s="1421"/>
      <c r="F50" s="1789">
        <v>-0.1</v>
      </c>
      <c r="G50" s="1421"/>
      <c r="H50" s="1789">
        <v>0.1</v>
      </c>
      <c r="I50" s="2469"/>
      <c r="J50" s="1789">
        <v>0.1</v>
      </c>
      <c r="K50" s="1998"/>
      <c r="L50" s="1789">
        <v>9.9999999999999978E-2</v>
      </c>
      <c r="M50" s="1998"/>
      <c r="N50" s="1789">
        <v>0.10000000000000006</v>
      </c>
      <c r="O50" s="1998"/>
      <c r="P50" s="1789">
        <v>0.1</v>
      </c>
      <c r="Q50" s="1998"/>
      <c r="R50" s="1789">
        <v>9.9999999999999978E-2</v>
      </c>
      <c r="S50" s="1998"/>
      <c r="T50" s="1789">
        <v>0.4</v>
      </c>
      <c r="U50" s="1998"/>
      <c r="V50" s="1789">
        <f t="shared" si="7"/>
        <v>0.39999999999999958</v>
      </c>
      <c r="W50" s="1998"/>
      <c r="X50" s="1789"/>
      <c r="Y50" s="1998"/>
      <c r="Z50" s="1789"/>
      <c r="AA50" s="1999"/>
      <c r="AB50" s="2002"/>
      <c r="AC50" s="1805">
        <v>1.4</v>
      </c>
      <c r="AD50" s="2041"/>
      <c r="AE50" s="2002" t="s">
        <v>15</v>
      </c>
      <c r="AF50" s="1805">
        <v>0.9</v>
      </c>
      <c r="AG50" s="2185"/>
      <c r="AH50" s="2467"/>
      <c r="AI50" s="2000">
        <f>ROUND(SUM(+AC50-AF50),1)</f>
        <v>0.5</v>
      </c>
      <c r="AJ50" s="2468"/>
      <c r="AK50" s="1724">
        <f>ROUND(IF(AF50=0,1,AI50/ABS(AF50)),3)</f>
        <v>0.55600000000000005</v>
      </c>
      <c r="AL50" s="2417"/>
    </row>
    <row r="51" spans="1:38" s="2481" customFormat="1" ht="15" customHeight="1">
      <c r="A51" s="2479"/>
      <c r="B51" s="2473" t="s">
        <v>1105</v>
      </c>
      <c r="C51" s="2428"/>
      <c r="D51" s="2475">
        <f>ROUND(SUM(D45:D50),1)</f>
        <v>73.599999999999994</v>
      </c>
      <c r="E51" s="1461"/>
      <c r="F51" s="2475">
        <f>ROUND(SUM(F45:F50),1)</f>
        <v>52.1</v>
      </c>
      <c r="G51" s="1461"/>
      <c r="H51" s="2475">
        <f>ROUND(SUM(H45:H50),1)</f>
        <v>148.19999999999999</v>
      </c>
      <c r="I51" s="1461"/>
      <c r="J51" s="2475">
        <f>ROUND(SUM(J45:J50),1)</f>
        <v>148.80000000000001</v>
      </c>
      <c r="K51" s="1461"/>
      <c r="L51" s="1460">
        <f>ROUND(SUM(L45:L50),1)</f>
        <v>57.3</v>
      </c>
      <c r="M51" s="1461"/>
      <c r="N51" s="1460">
        <f>ROUND(SUM(N45:N50),1)</f>
        <v>92.1</v>
      </c>
      <c r="O51" s="1461"/>
      <c r="P51" s="1460">
        <f>ROUND(SUM(P45:P50),1)</f>
        <v>136.80000000000001</v>
      </c>
      <c r="Q51" s="1461"/>
      <c r="R51" s="1460">
        <f>ROUND(SUM(R45:R50),1)</f>
        <v>132.4</v>
      </c>
      <c r="S51" s="1461"/>
      <c r="T51" s="1460">
        <f>ROUND(SUM(T45:T50),1)</f>
        <v>124.4</v>
      </c>
      <c r="U51" s="1461"/>
      <c r="V51" s="1460">
        <f>ROUND(SUM(V45:V50),1)</f>
        <v>294.5</v>
      </c>
      <c r="W51" s="1461"/>
      <c r="X51" s="1460">
        <f>ROUND(SUM(X45:X50),1)</f>
        <v>0</v>
      </c>
      <c r="Y51" s="1461"/>
      <c r="Z51" s="1460">
        <f>ROUND(SUM(Z45:Z50),1)</f>
        <v>0</v>
      </c>
      <c r="AA51" s="2010"/>
      <c r="AB51" s="2045"/>
      <c r="AC51" s="3154">
        <f>ROUND(SUM(AC45:AC50),1)</f>
        <v>1260.2</v>
      </c>
      <c r="AD51" s="2050"/>
      <c r="AE51" s="2554"/>
      <c r="AF51" s="1460">
        <f>ROUND(SUM(AF45:AF50),1)</f>
        <v>922.7</v>
      </c>
      <c r="AG51" s="1461"/>
      <c r="AH51" s="2480"/>
      <c r="AI51" s="1460">
        <f>ROUND(SUM(AI45:AI50),1)</f>
        <v>337.5</v>
      </c>
      <c r="AJ51" s="1444"/>
      <c r="AK51" s="1445">
        <f>ROUND(SUM(+AI51/AF51),3)</f>
        <v>0.36599999999999999</v>
      </c>
      <c r="AL51" s="2417"/>
    </row>
    <row r="52" spans="1:38" s="2481" customFormat="1" ht="15" customHeight="1">
      <c r="A52" s="2479"/>
      <c r="B52" s="2473"/>
      <c r="C52" s="2428"/>
      <c r="D52" s="1444"/>
      <c r="E52" s="1461"/>
      <c r="F52" s="1444"/>
      <c r="G52" s="1444"/>
      <c r="H52" s="1444"/>
      <c r="I52" s="1444"/>
      <c r="J52" s="1462"/>
      <c r="K52" s="1444"/>
      <c r="L52" s="1444"/>
      <c r="M52" s="1444"/>
      <c r="N52" s="1444"/>
      <c r="O52" s="1444"/>
      <c r="P52" s="1462"/>
      <c r="Q52" s="1444"/>
      <c r="R52" s="1444"/>
      <c r="S52" s="1444"/>
      <c r="T52" s="1444"/>
      <c r="U52" s="1444"/>
      <c r="V52" s="1444"/>
      <c r="W52" s="1444"/>
      <c r="X52" s="1462"/>
      <c r="Y52" s="1444"/>
      <c r="Z52" s="1462"/>
      <c r="AA52" s="2010"/>
      <c r="AB52" s="2045"/>
      <c r="AC52" s="1462"/>
      <c r="AD52" s="2050"/>
      <c r="AE52" s="2554"/>
      <c r="AF52" s="1462"/>
      <c r="AG52" s="1461"/>
      <c r="AH52" s="2480"/>
      <c r="AI52" s="1444"/>
      <c r="AJ52" s="1444"/>
      <c r="AK52" s="2478"/>
      <c r="AL52" s="2417"/>
    </row>
    <row r="53" spans="1:38" ht="15" customHeight="1">
      <c r="A53" s="2451"/>
      <c r="B53" s="2473" t="s">
        <v>1106</v>
      </c>
      <c r="C53" s="2022"/>
      <c r="D53" s="2482">
        <f>ROUND(SUM(D26+D36+D43+D51),1)</f>
        <v>1845.3</v>
      </c>
      <c r="E53" s="1443"/>
      <c r="F53" s="2482">
        <f>ROUND(SUM(F26+F36+F43+F51),1)</f>
        <v>1440.5</v>
      </c>
      <c r="G53" s="1443"/>
      <c r="H53" s="2482">
        <f>ROUND(SUM(H26+H36+H43+H51),1)</f>
        <v>3879.1</v>
      </c>
      <c r="I53" s="1443"/>
      <c r="J53" s="2482">
        <f>ROUND(SUM(J26+J36+J43+J51),1)</f>
        <v>6349.5</v>
      </c>
      <c r="K53" s="2006"/>
      <c r="L53" s="1983">
        <f>ROUND(SUM(L26+L36+L43+L51),1)</f>
        <v>2082.6</v>
      </c>
      <c r="M53" s="2006"/>
      <c r="N53" s="1983">
        <f>ROUND(SUM(N26+N36+N43+N51),1)</f>
        <v>4813.2</v>
      </c>
      <c r="O53" s="2006"/>
      <c r="P53" s="1983">
        <f>ROUND(SUM(P26+P36+P43+P51),1)</f>
        <v>2070.6</v>
      </c>
      <c r="Q53" s="2006"/>
      <c r="R53" s="1983">
        <f>ROUND(SUM(R26+R36+R43+R51),1)</f>
        <v>2088.1999999999998</v>
      </c>
      <c r="S53" s="2006"/>
      <c r="T53" s="1983">
        <f>ROUND(SUM(T26+T36+T43+T51),1)</f>
        <v>4621.8</v>
      </c>
      <c r="U53" s="2006"/>
      <c r="V53" s="1983">
        <f>ROUND(SUM(V26+V36+V43+V51),1)</f>
        <v>3682.4</v>
      </c>
      <c r="W53" s="2006"/>
      <c r="X53" s="1983">
        <f>ROUND(SUM(X26+X36+X43+X51),1)</f>
        <v>0</v>
      </c>
      <c r="Y53" s="2006"/>
      <c r="Z53" s="1983">
        <f>ROUND(SUM(Z26+Z36+Z43+Z51),1)</f>
        <v>0</v>
      </c>
      <c r="AA53" s="1463"/>
      <c r="AB53" s="2043"/>
      <c r="AC53" s="3156">
        <f>ROUND(SUM(AC26+AC36+AC43+AC51),1)</f>
        <v>32873.199999999997</v>
      </c>
      <c r="AD53" s="1995"/>
      <c r="AE53" s="2039"/>
      <c r="AF53" s="1983">
        <f>ROUND(SUM(AF26+AF36+AF43+AF51),1)</f>
        <v>33237.699999999997</v>
      </c>
      <c r="AG53" s="2006"/>
      <c r="AH53" s="2476"/>
      <c r="AI53" s="1983">
        <f>ROUND(SUM(AI26+AI36+AI43+AI51),1)</f>
        <v>-364.5</v>
      </c>
      <c r="AJ53" s="2477"/>
      <c r="AK53" s="1435">
        <f>ROUND(SUM(+AI53/AF53),3)</f>
        <v>-1.0999999999999999E-2</v>
      </c>
    </row>
    <row r="54" spans="1:38" ht="8.25" customHeight="1">
      <c r="A54" s="2451"/>
      <c r="B54" s="2469"/>
      <c r="C54" s="2022"/>
      <c r="D54" s="1443"/>
      <c r="E54" s="1443"/>
      <c r="F54" s="1443"/>
      <c r="G54" s="1443"/>
      <c r="H54" s="1443"/>
      <c r="I54" s="1443"/>
      <c r="J54" s="2000"/>
      <c r="K54" s="2006"/>
      <c r="L54" s="2006"/>
      <c r="M54" s="2006"/>
      <c r="N54" s="2006"/>
      <c r="O54" s="2006"/>
      <c r="P54" s="1995"/>
      <c r="Q54" s="2006"/>
      <c r="R54" s="2006"/>
      <c r="S54" s="2006"/>
      <c r="T54" s="2006"/>
      <c r="U54" s="2006"/>
      <c r="V54" s="2006"/>
      <c r="W54" s="2006"/>
      <c r="X54" s="2006"/>
      <c r="Y54" s="2006"/>
      <c r="Z54" s="2006"/>
      <c r="AA54" s="1463"/>
      <c r="AB54" s="2043"/>
      <c r="AC54" s="2000"/>
      <c r="AD54" s="1995"/>
      <c r="AE54" s="2039"/>
      <c r="AF54" s="1995"/>
      <c r="AG54" s="2006"/>
      <c r="AH54" s="2476"/>
      <c r="AI54" s="1443"/>
      <c r="AJ54" s="2477"/>
      <c r="AK54" s="1432"/>
    </row>
    <row r="55" spans="1:38" ht="15" customHeight="1">
      <c r="A55" s="2451"/>
      <c r="B55" s="2462" t="s">
        <v>1014</v>
      </c>
      <c r="C55" s="2483"/>
      <c r="D55" s="1443"/>
      <c r="E55" s="2484"/>
      <c r="F55" s="1443"/>
      <c r="G55" s="2484"/>
      <c r="H55" s="1443"/>
      <c r="I55" s="1443"/>
      <c r="J55" s="2000"/>
      <c r="K55" s="2006"/>
      <c r="L55" s="2006"/>
      <c r="M55" s="2006"/>
      <c r="N55" s="2006"/>
      <c r="O55" s="2006"/>
      <c r="P55" s="1995"/>
      <c r="Q55" s="2006"/>
      <c r="R55" s="2006"/>
      <c r="S55" s="2006"/>
      <c r="T55" s="2006"/>
      <c r="U55" s="2006"/>
      <c r="V55" s="2006"/>
      <c r="W55" s="2006"/>
      <c r="X55" s="2006"/>
      <c r="Y55" s="2006"/>
      <c r="Z55" s="2006"/>
      <c r="AA55" s="1463"/>
      <c r="AB55" s="2043"/>
      <c r="AC55" s="2000"/>
      <c r="AD55" s="1995"/>
      <c r="AE55" s="2039"/>
      <c r="AF55" s="1995"/>
      <c r="AG55" s="2006"/>
      <c r="AH55" s="2476"/>
      <c r="AI55" s="1443"/>
      <c r="AJ55" s="2477"/>
      <c r="AK55" s="1432"/>
    </row>
    <row r="56" spans="1:38" ht="15" customHeight="1">
      <c r="A56" s="2451"/>
      <c r="B56" s="2485" t="s">
        <v>1133</v>
      </c>
      <c r="C56" s="2483"/>
      <c r="D56" s="1443"/>
      <c r="E56" s="2484"/>
      <c r="F56" s="1443"/>
      <c r="G56" s="2484"/>
      <c r="H56" s="1443"/>
      <c r="I56" s="1443"/>
      <c r="J56" s="2000"/>
      <c r="K56" s="2006"/>
      <c r="L56" s="2006"/>
      <c r="M56" s="2006"/>
      <c r="N56" s="2006"/>
      <c r="O56" s="2006"/>
      <c r="P56" s="1995"/>
      <c r="Q56" s="2006"/>
      <c r="R56" s="2006"/>
      <c r="S56" s="2006"/>
      <c r="T56" s="2006"/>
      <c r="U56" s="2006"/>
      <c r="V56" s="2006"/>
      <c r="W56" s="2006"/>
      <c r="X56" s="2006"/>
      <c r="Y56" s="2006"/>
      <c r="Z56" s="2006"/>
      <c r="AA56" s="1463"/>
      <c r="AB56" s="2046"/>
      <c r="AC56" s="2000"/>
      <c r="AD56" s="1995"/>
      <c r="AE56" s="2039"/>
      <c r="AF56" s="2000"/>
      <c r="AG56" s="2006"/>
      <c r="AH56" s="2476"/>
      <c r="AI56" s="1443"/>
      <c r="AJ56" s="2477"/>
      <c r="AK56" s="1432"/>
    </row>
    <row r="57" spans="1:38" ht="15" customHeight="1">
      <c r="A57" s="2451"/>
      <c r="B57" s="2485" t="s">
        <v>1012</v>
      </c>
      <c r="C57" s="2485"/>
      <c r="D57" s="1789">
        <v>0.4</v>
      </c>
      <c r="E57" s="2484"/>
      <c r="F57" s="1789">
        <v>0</v>
      </c>
      <c r="G57" s="2484"/>
      <c r="H57" s="1789">
        <v>0</v>
      </c>
      <c r="I57" s="1443"/>
      <c r="J57" s="1789">
        <v>0</v>
      </c>
      <c r="K57" s="1998"/>
      <c r="L57" s="1789">
        <v>25.1</v>
      </c>
      <c r="M57" s="1998"/>
      <c r="N57" s="1789">
        <v>84.799999999999983</v>
      </c>
      <c r="O57" s="1998"/>
      <c r="P57" s="1789">
        <v>10.600000000000023</v>
      </c>
      <c r="Q57" s="1998"/>
      <c r="R57" s="1789">
        <v>214.99999999999997</v>
      </c>
      <c r="S57" s="1998"/>
      <c r="T57" s="1789">
        <v>30.100000000000023</v>
      </c>
      <c r="U57" s="1998"/>
      <c r="V57" s="1789">
        <f t="shared" ref="V57:V91" si="10">$AC57-$D57-$F57-$H57-$J57-$L57-$N57-$P57-$R57-$T57</f>
        <v>5.1000000000000512</v>
      </c>
      <c r="W57" s="1998"/>
      <c r="X57" s="1789"/>
      <c r="Y57" s="1998"/>
      <c r="Z57" s="1789"/>
      <c r="AA57" s="1999"/>
      <c r="AB57" s="2002"/>
      <c r="AC57" s="1805">
        <v>371.1</v>
      </c>
      <c r="AD57" s="2041"/>
      <c r="AE57" s="2002" t="s">
        <v>15</v>
      </c>
      <c r="AF57" s="1805">
        <v>286.3</v>
      </c>
      <c r="AG57" s="2486"/>
      <c r="AH57" s="2487"/>
      <c r="AI57" s="1443">
        <f>ROUND(SUM(+AC57-AF57),1)</f>
        <v>84.8</v>
      </c>
      <c r="AJ57" s="2477"/>
      <c r="AK57" s="1438">
        <f>ROUND(IF(AF57=0,1,AI57/ABS(AF57)),3)</f>
        <v>0.29599999999999999</v>
      </c>
    </row>
    <row r="58" spans="1:38" ht="15" customHeight="1">
      <c r="A58" s="2451"/>
      <c r="B58" s="2485" t="s">
        <v>1013</v>
      </c>
      <c r="C58" s="2485"/>
      <c r="D58" s="1789">
        <v>0.7</v>
      </c>
      <c r="E58" s="2484"/>
      <c r="F58" s="1789">
        <v>0.30000000000000004</v>
      </c>
      <c r="G58" s="2484"/>
      <c r="H58" s="1789">
        <v>20.6</v>
      </c>
      <c r="I58" s="1443"/>
      <c r="J58" s="1789">
        <v>-4.6000000000000014</v>
      </c>
      <c r="K58" s="1998"/>
      <c r="L58" s="1789">
        <v>0.1</v>
      </c>
      <c r="M58" s="1998"/>
      <c r="N58" s="1789">
        <v>43.199999999999996</v>
      </c>
      <c r="O58" s="1998"/>
      <c r="P58" s="1789">
        <v>2.1000000000000014</v>
      </c>
      <c r="Q58" s="1998"/>
      <c r="R58" s="1789">
        <v>0.70000000000000284</v>
      </c>
      <c r="S58" s="1998"/>
      <c r="T58" s="1789">
        <v>21.400000000000006</v>
      </c>
      <c r="U58" s="1998"/>
      <c r="V58" s="1789">
        <f t="shared" si="10"/>
        <v>0.79999999999999716</v>
      </c>
      <c r="W58" s="1998"/>
      <c r="X58" s="1789"/>
      <c r="Y58" s="1998"/>
      <c r="Z58" s="1789"/>
      <c r="AA58" s="1999"/>
      <c r="AB58" s="2002"/>
      <c r="AC58" s="1805">
        <v>85.3</v>
      </c>
      <c r="AD58" s="2041"/>
      <c r="AE58" s="2002" t="s">
        <v>15</v>
      </c>
      <c r="AF58" s="1805">
        <v>72.599999999999994</v>
      </c>
      <c r="AG58" s="2007"/>
      <c r="AH58" s="2476"/>
      <c r="AI58" s="1443">
        <f>ROUND(SUM(+AC58-AF58),1)</f>
        <v>12.7</v>
      </c>
      <c r="AJ58" s="2477"/>
      <c r="AK58" s="1438">
        <f>ROUND(IF(AF58=0,0,AI58/ABS(AF58)),3)</f>
        <v>0.17499999999999999</v>
      </c>
    </row>
    <row r="59" spans="1:38" ht="15" customHeight="1">
      <c r="A59" s="2451"/>
      <c r="B59" s="2485" t="s">
        <v>1134</v>
      </c>
      <c r="C59" s="2485"/>
      <c r="D59" s="1789" t="s">
        <v>15</v>
      </c>
      <c r="E59" s="2484"/>
      <c r="F59" s="1789"/>
      <c r="G59" s="2484"/>
      <c r="H59" s="1789"/>
      <c r="I59" s="1443"/>
      <c r="J59" s="1789"/>
      <c r="K59" s="1995"/>
      <c r="L59" s="1789"/>
      <c r="M59" s="1995"/>
      <c r="N59" s="1789"/>
      <c r="O59" s="1995"/>
      <c r="P59" s="1789"/>
      <c r="Q59" s="1995"/>
      <c r="R59" s="1789"/>
      <c r="S59" s="1995"/>
      <c r="T59" s="1789"/>
      <c r="U59" s="1995"/>
      <c r="V59" s="1789"/>
      <c r="W59" s="1995"/>
      <c r="X59" s="1789"/>
      <c r="Y59" s="1995"/>
      <c r="Z59" s="1789"/>
      <c r="AA59" s="1991"/>
      <c r="AB59" s="2047"/>
      <c r="AC59" s="3157"/>
      <c r="AD59" s="1977"/>
      <c r="AE59" s="1997"/>
      <c r="AF59" s="3157"/>
      <c r="AG59" s="2007"/>
      <c r="AH59" s="2476"/>
      <c r="AI59" s="1443"/>
      <c r="AJ59" s="2477"/>
      <c r="AK59" s="1432"/>
    </row>
    <row r="60" spans="1:38" ht="15" customHeight="1">
      <c r="A60" s="2451"/>
      <c r="B60" s="2485" t="s">
        <v>1017</v>
      </c>
      <c r="C60" s="2485"/>
      <c r="D60" s="1789">
        <v>0</v>
      </c>
      <c r="E60" s="2484"/>
      <c r="F60" s="1789">
        <v>0</v>
      </c>
      <c r="G60" s="2484"/>
      <c r="H60" s="1789">
        <v>0</v>
      </c>
      <c r="I60" s="1443"/>
      <c r="J60" s="1789">
        <v>0</v>
      </c>
      <c r="K60" s="1998"/>
      <c r="L60" s="1789">
        <v>0</v>
      </c>
      <c r="M60" s="1998"/>
      <c r="N60" s="1789">
        <v>0</v>
      </c>
      <c r="O60" s="1998"/>
      <c r="P60" s="1789">
        <v>0</v>
      </c>
      <c r="Q60" s="1998"/>
      <c r="R60" s="1789">
        <v>0</v>
      </c>
      <c r="S60" s="1998"/>
      <c r="T60" s="1789">
        <v>0</v>
      </c>
      <c r="U60" s="1998"/>
      <c r="V60" s="1789">
        <f t="shared" si="10"/>
        <v>0</v>
      </c>
      <c r="W60" s="1998"/>
      <c r="X60" s="1789"/>
      <c r="Y60" s="1998"/>
      <c r="Z60" s="1789"/>
      <c r="AA60" s="1999"/>
      <c r="AB60" s="2002"/>
      <c r="AC60" s="1805">
        <v>0</v>
      </c>
      <c r="AD60" s="2041"/>
      <c r="AE60" s="2002" t="s">
        <v>15</v>
      </c>
      <c r="AF60" s="1805">
        <v>0</v>
      </c>
      <c r="AG60" s="2486"/>
      <c r="AH60" s="2487"/>
      <c r="AI60" s="1443">
        <f>ROUND(SUM(+AC60-AF60),1)</f>
        <v>0</v>
      </c>
      <c r="AJ60" s="2477"/>
      <c r="AK60" s="1438">
        <f>ROUND(IF(AF60=0,0,AI60/ABS(AF60)),3)</f>
        <v>0</v>
      </c>
    </row>
    <row r="61" spans="1:38" ht="15" customHeight="1">
      <c r="A61" s="2451"/>
      <c r="B61" s="2485" t="s">
        <v>1018</v>
      </c>
      <c r="C61" s="2485"/>
      <c r="D61" s="1789">
        <v>1.9</v>
      </c>
      <c r="E61" s="2484"/>
      <c r="F61" s="1789">
        <v>2.1</v>
      </c>
      <c r="G61" s="2484"/>
      <c r="H61" s="1789">
        <v>1.7000000000000002</v>
      </c>
      <c r="I61" s="1443"/>
      <c r="J61" s="1789">
        <v>1.7999999999999994</v>
      </c>
      <c r="K61" s="1998"/>
      <c r="L61" s="1789">
        <v>2.1</v>
      </c>
      <c r="M61" s="1998"/>
      <c r="N61" s="1789">
        <v>2.7000000000000006</v>
      </c>
      <c r="O61" s="1998"/>
      <c r="P61" s="1789">
        <v>3.2999999999999994</v>
      </c>
      <c r="Q61" s="1998"/>
      <c r="R61" s="1789">
        <v>6.3000000000000007</v>
      </c>
      <c r="S61" s="1998"/>
      <c r="T61" s="1789">
        <v>0</v>
      </c>
      <c r="U61" s="1998"/>
      <c r="V61" s="1789">
        <f t="shared" si="10"/>
        <v>12.7</v>
      </c>
      <c r="W61" s="1998"/>
      <c r="X61" s="1789"/>
      <c r="Y61" s="1998"/>
      <c r="Z61" s="1789"/>
      <c r="AA61" s="1999"/>
      <c r="AB61" s="2002"/>
      <c r="AC61" s="1805">
        <v>34.6</v>
      </c>
      <c r="AD61" s="2041"/>
      <c r="AE61" s="2002" t="s">
        <v>15</v>
      </c>
      <c r="AF61" s="1805">
        <v>34.200000000000003</v>
      </c>
      <c r="AG61" s="2486"/>
      <c r="AH61" s="2487"/>
      <c r="AI61" s="1443">
        <f>ROUND(SUM(+AC61-AF61),1)</f>
        <v>0.4</v>
      </c>
      <c r="AJ61" s="2477"/>
      <c r="AK61" s="1438">
        <f>ROUND(IF(AF61=0,1,AI61/ABS(AF61)),3)</f>
        <v>1.2E-2</v>
      </c>
    </row>
    <row r="62" spans="1:38" ht="15" customHeight="1">
      <c r="A62" s="2451"/>
      <c r="B62" s="2485" t="s">
        <v>1019</v>
      </c>
      <c r="C62" s="2485"/>
      <c r="D62" s="1789">
        <v>0</v>
      </c>
      <c r="E62" s="2484"/>
      <c r="F62" s="1789">
        <v>0</v>
      </c>
      <c r="G62" s="2484"/>
      <c r="H62" s="1789">
        <v>0</v>
      </c>
      <c r="I62" s="1443"/>
      <c r="J62" s="1789">
        <v>0</v>
      </c>
      <c r="K62" s="1998"/>
      <c r="L62" s="1789">
        <v>0</v>
      </c>
      <c r="M62" s="1998"/>
      <c r="N62" s="1789">
        <v>0</v>
      </c>
      <c r="O62" s="1998"/>
      <c r="P62" s="1789">
        <v>0</v>
      </c>
      <c r="Q62" s="1998"/>
      <c r="R62" s="1789">
        <v>0</v>
      </c>
      <c r="S62" s="1998"/>
      <c r="T62" s="1789">
        <v>0</v>
      </c>
      <c r="U62" s="1998"/>
      <c r="V62" s="1789">
        <f t="shared" si="10"/>
        <v>0</v>
      </c>
      <c r="W62" s="1998"/>
      <c r="X62" s="1789"/>
      <c r="Y62" s="1998"/>
      <c r="Z62" s="1789"/>
      <c r="AA62" s="1999"/>
      <c r="AB62" s="2002"/>
      <c r="AC62" s="1805">
        <v>0</v>
      </c>
      <c r="AD62" s="2041"/>
      <c r="AE62" s="2002" t="s">
        <v>15</v>
      </c>
      <c r="AF62" s="1805">
        <v>0</v>
      </c>
      <c r="AG62" s="2486"/>
      <c r="AH62" s="2487"/>
      <c r="AI62" s="1443">
        <f>ROUND(SUM(+AC62-AF62),1)</f>
        <v>0</v>
      </c>
      <c r="AJ62" s="2477"/>
      <c r="AK62" s="1438">
        <f>ROUND(IF(AF62=0,0,AI62/ABS(AF62)),3)</f>
        <v>0</v>
      </c>
    </row>
    <row r="63" spans="1:38" ht="15">
      <c r="A63" s="2451"/>
      <c r="B63" s="2485" t="s">
        <v>1020</v>
      </c>
      <c r="C63" s="2485"/>
      <c r="D63" s="1789">
        <v>0</v>
      </c>
      <c r="E63" s="2484"/>
      <c r="F63" s="1789">
        <v>0.1</v>
      </c>
      <c r="G63" s="2484"/>
      <c r="H63" s="1789">
        <v>0</v>
      </c>
      <c r="I63" s="1443"/>
      <c r="J63" s="1789">
        <v>0</v>
      </c>
      <c r="K63" s="1998"/>
      <c r="L63" s="1789">
        <v>0</v>
      </c>
      <c r="M63" s="1998"/>
      <c r="N63" s="1789">
        <v>0</v>
      </c>
      <c r="O63" s="1998"/>
      <c r="P63" s="1789">
        <v>0</v>
      </c>
      <c r="Q63" s="1998"/>
      <c r="R63" s="1789">
        <v>0.1</v>
      </c>
      <c r="S63" s="1998"/>
      <c r="T63" s="1789">
        <v>0</v>
      </c>
      <c r="U63" s="1998"/>
      <c r="V63" s="1789">
        <f t="shared" si="10"/>
        <v>0</v>
      </c>
      <c r="W63" s="1998"/>
      <c r="X63" s="1789"/>
      <c r="Y63" s="1998"/>
      <c r="Z63" s="1789"/>
      <c r="AA63" s="1999"/>
      <c r="AB63" s="2002"/>
      <c r="AC63" s="1805">
        <v>0.2</v>
      </c>
      <c r="AD63" s="2041"/>
      <c r="AE63" s="2002" t="s">
        <v>15</v>
      </c>
      <c r="AF63" s="1805">
        <v>0.5</v>
      </c>
      <c r="AG63" s="2486"/>
      <c r="AH63" s="2487"/>
      <c r="AI63" s="1443">
        <f>ROUND(SUM(+AC63-AF63),1)</f>
        <v>-0.3</v>
      </c>
      <c r="AJ63" s="2477"/>
      <c r="AK63" s="1438">
        <f>ROUND(IF(AF63=0,0,AI63/ABS(AF63)),3)</f>
        <v>-0.6</v>
      </c>
    </row>
    <row r="64" spans="1:38" ht="15" customHeight="1">
      <c r="A64" s="2451"/>
      <c r="B64" s="2485" t="s">
        <v>1139</v>
      </c>
      <c r="C64" s="2485"/>
      <c r="D64" s="1789" t="s">
        <v>15</v>
      </c>
      <c r="E64" s="2484"/>
      <c r="F64" s="1789"/>
      <c r="G64" s="2484"/>
      <c r="H64" s="1789"/>
      <c r="I64" s="1443"/>
      <c r="J64" s="1789"/>
      <c r="K64" s="1995"/>
      <c r="L64" s="1789"/>
      <c r="M64" s="1995"/>
      <c r="N64" s="1789"/>
      <c r="O64" s="1995"/>
      <c r="P64" s="1789"/>
      <c r="Q64" s="1995"/>
      <c r="R64" s="1789"/>
      <c r="S64" s="1995"/>
      <c r="T64" s="1789"/>
      <c r="U64" s="1995"/>
      <c r="V64" s="1789"/>
      <c r="W64" s="1995"/>
      <c r="X64" s="1789"/>
      <c r="Y64" s="1995"/>
      <c r="Z64" s="1789"/>
      <c r="AA64" s="1991"/>
      <c r="AB64" s="2047"/>
      <c r="AC64" s="3157"/>
      <c r="AD64" s="1977"/>
      <c r="AE64" s="1997"/>
      <c r="AF64" s="3157"/>
      <c r="AG64" s="2007"/>
      <c r="AH64" s="2476"/>
      <c r="AI64" s="1443"/>
      <c r="AJ64" s="2477"/>
      <c r="AK64" s="1432"/>
    </row>
    <row r="65" spans="1:37" ht="15" customHeight="1">
      <c r="A65" s="2451"/>
      <c r="B65" s="2485" t="s">
        <v>1021</v>
      </c>
      <c r="C65" s="2485"/>
      <c r="D65" s="1789">
        <v>2.2000000000000002</v>
      </c>
      <c r="E65" s="2484"/>
      <c r="F65" s="1789">
        <v>2.8999999999999995</v>
      </c>
      <c r="G65" s="2484"/>
      <c r="H65" s="1789">
        <v>2.9000000000000004</v>
      </c>
      <c r="I65" s="1443"/>
      <c r="J65" s="1789">
        <v>4.8999999999999995</v>
      </c>
      <c r="K65" s="1998"/>
      <c r="L65" s="1789">
        <v>4.8000000000000016</v>
      </c>
      <c r="M65" s="1998"/>
      <c r="N65" s="1789">
        <v>5.4000000000000012</v>
      </c>
      <c r="O65" s="1998"/>
      <c r="P65" s="1789">
        <v>5.0000000000000009</v>
      </c>
      <c r="Q65" s="1998"/>
      <c r="R65" s="1789">
        <v>3.7999999999999963</v>
      </c>
      <c r="S65" s="1998"/>
      <c r="T65" s="1789">
        <v>3</v>
      </c>
      <c r="U65" s="1998"/>
      <c r="V65" s="1789">
        <f t="shared" si="10"/>
        <v>4.8999999999999995</v>
      </c>
      <c r="W65" s="1998"/>
      <c r="X65" s="1789"/>
      <c r="Y65" s="1998"/>
      <c r="Z65" s="1789"/>
      <c r="AA65" s="1999"/>
      <c r="AB65" s="2002"/>
      <c r="AC65" s="1805">
        <v>39.799999999999997</v>
      </c>
      <c r="AD65" s="2041"/>
      <c r="AE65" s="2002" t="s">
        <v>15</v>
      </c>
      <c r="AF65" s="1805">
        <v>62.8</v>
      </c>
      <c r="AG65" s="2007"/>
      <c r="AH65" s="2476"/>
      <c r="AI65" s="1443">
        <f t="shared" ref="AI65:AI72" si="11">ROUND(SUM(+AC65-AF65),1)</f>
        <v>-23</v>
      </c>
      <c r="AJ65" s="2477"/>
      <c r="AK65" s="1438">
        <f>ROUND(IF(AF65=0,0,AI65/ABS(AF65)),3)</f>
        <v>-0.36599999999999999</v>
      </c>
    </row>
    <row r="66" spans="1:37" ht="15" customHeight="1">
      <c r="A66" s="2451"/>
      <c r="B66" s="2485" t="s">
        <v>1231</v>
      </c>
      <c r="C66" s="2485"/>
      <c r="D66" s="1789">
        <v>0</v>
      </c>
      <c r="E66" s="2484"/>
      <c r="F66" s="1789">
        <v>0</v>
      </c>
      <c r="G66" s="2484"/>
      <c r="H66" s="1789">
        <v>0</v>
      </c>
      <c r="I66" s="1443"/>
      <c r="J66" s="1789">
        <v>0</v>
      </c>
      <c r="K66" s="1998"/>
      <c r="L66" s="1789">
        <v>0</v>
      </c>
      <c r="M66" s="1998"/>
      <c r="N66" s="1789">
        <v>0</v>
      </c>
      <c r="O66" s="1998"/>
      <c r="P66" s="1789">
        <v>0</v>
      </c>
      <c r="Q66" s="1998"/>
      <c r="R66" s="1789">
        <v>0</v>
      </c>
      <c r="S66" s="1998"/>
      <c r="T66" s="1789">
        <v>0</v>
      </c>
      <c r="U66" s="1998"/>
      <c r="V66" s="1789">
        <f t="shared" si="10"/>
        <v>0</v>
      </c>
      <c r="W66" s="1998"/>
      <c r="X66" s="1789"/>
      <c r="Y66" s="1998"/>
      <c r="Z66" s="1789"/>
      <c r="AA66" s="1999"/>
      <c r="AB66" s="2048"/>
      <c r="AC66" s="1805">
        <v>0</v>
      </c>
      <c r="AD66" s="2041"/>
      <c r="AE66" s="2048" t="s">
        <v>15</v>
      </c>
      <c r="AF66" s="1805">
        <v>0</v>
      </c>
      <c r="AG66" s="2007"/>
      <c r="AH66" s="2476"/>
      <c r="AI66" s="1443">
        <f>ROUND(SUM(+AC66-AF66),1)</f>
        <v>0</v>
      </c>
      <c r="AJ66" s="2477"/>
      <c r="AK66" s="1438">
        <f>ROUND(IF(AF66=0,0,AI66/ABS(AF66)),3)</f>
        <v>0</v>
      </c>
    </row>
    <row r="67" spans="1:37" ht="15" customHeight="1">
      <c r="A67" s="2451"/>
      <c r="B67" s="2485" t="s">
        <v>1022</v>
      </c>
      <c r="C67" s="2485"/>
      <c r="D67" s="1789">
        <v>19</v>
      </c>
      <c r="E67" s="2484"/>
      <c r="F67" s="1789">
        <v>-0.60000000000000142</v>
      </c>
      <c r="G67" s="2484"/>
      <c r="H67" s="1789">
        <v>27.9</v>
      </c>
      <c r="I67" s="1443"/>
      <c r="J67" s="1789">
        <v>13.5</v>
      </c>
      <c r="K67" s="1998"/>
      <c r="L67" s="1789">
        <v>9.7000000000000028</v>
      </c>
      <c r="M67" s="1998"/>
      <c r="N67" s="1789">
        <v>30.70000000000001</v>
      </c>
      <c r="O67" s="1998"/>
      <c r="P67" s="1789">
        <v>17.89999999999997</v>
      </c>
      <c r="Q67" s="1998"/>
      <c r="R67" s="1789">
        <v>4.1000000000000227</v>
      </c>
      <c r="S67" s="1998"/>
      <c r="T67" s="1789">
        <v>40.599999999999994</v>
      </c>
      <c r="U67" s="1998"/>
      <c r="V67" s="1789">
        <f t="shared" si="10"/>
        <v>31.299999999999983</v>
      </c>
      <c r="W67" s="1998"/>
      <c r="X67" s="1789"/>
      <c r="Y67" s="1998"/>
      <c r="Z67" s="1789"/>
      <c r="AA67" s="1999"/>
      <c r="AB67" s="2002"/>
      <c r="AC67" s="1805">
        <v>194.1</v>
      </c>
      <c r="AD67" s="2041"/>
      <c r="AE67" s="2002" t="s">
        <v>15</v>
      </c>
      <c r="AF67" s="1805">
        <v>231.2</v>
      </c>
      <c r="AG67" s="2486"/>
      <c r="AH67" s="2487"/>
      <c r="AI67" s="1443">
        <f t="shared" si="11"/>
        <v>-37.1</v>
      </c>
      <c r="AJ67" s="2477"/>
      <c r="AK67" s="1438">
        <f>ROUND(IF(AF67=0,0,AI67/ABS(AF67)),3)</f>
        <v>-0.16</v>
      </c>
    </row>
    <row r="68" spans="1:37" ht="15" customHeight="1">
      <c r="A68" s="2451"/>
      <c r="B68" s="2485" t="s">
        <v>1023</v>
      </c>
      <c r="C68" s="2485"/>
      <c r="D68" s="1789">
        <v>1.1000000000000001</v>
      </c>
      <c r="E68" s="2484"/>
      <c r="F68" s="1789">
        <v>0.89999999999999991</v>
      </c>
      <c r="G68" s="2484"/>
      <c r="H68" s="1789">
        <v>2.9000000000000004</v>
      </c>
      <c r="I68" s="1443"/>
      <c r="J68" s="1789">
        <v>1.6999999999999993</v>
      </c>
      <c r="K68" s="1998"/>
      <c r="L68" s="1789">
        <v>82.699999999999989</v>
      </c>
      <c r="M68" s="1998"/>
      <c r="N68" s="1789">
        <v>-14.5</v>
      </c>
      <c r="O68" s="1998"/>
      <c r="P68" s="1789">
        <v>9.5</v>
      </c>
      <c r="Q68" s="1998"/>
      <c r="R68" s="1789">
        <v>29.200000000000003</v>
      </c>
      <c r="S68" s="1998"/>
      <c r="T68" s="1789">
        <v>23.600000000000009</v>
      </c>
      <c r="U68" s="1998"/>
      <c r="V68" s="1789">
        <f t="shared" si="10"/>
        <v>11.900000000000006</v>
      </c>
      <c r="W68" s="1998"/>
      <c r="X68" s="1789"/>
      <c r="Y68" s="1998"/>
      <c r="Z68" s="1789"/>
      <c r="AA68" s="1999"/>
      <c r="AB68" s="2002"/>
      <c r="AC68" s="1805">
        <v>149</v>
      </c>
      <c r="AD68" s="2041"/>
      <c r="AE68" s="2002" t="s">
        <v>15</v>
      </c>
      <c r="AF68" s="1805">
        <v>188.8</v>
      </c>
      <c r="AG68" s="2486"/>
      <c r="AH68" s="2487"/>
      <c r="AI68" s="1443">
        <f t="shared" si="11"/>
        <v>-39.799999999999997</v>
      </c>
      <c r="AJ68" s="2477"/>
      <c r="AK68" s="1438">
        <f>ROUND(IF(AF68=0,0,AI68/ABS(AF68)),3)</f>
        <v>-0.21099999999999999</v>
      </c>
    </row>
    <row r="69" spans="1:37" ht="15" customHeight="1">
      <c r="A69" s="2451"/>
      <c r="B69" s="2485" t="s">
        <v>1024</v>
      </c>
      <c r="C69" s="2485"/>
      <c r="D69" s="1789">
        <v>0.1</v>
      </c>
      <c r="E69" s="2484"/>
      <c r="F69" s="1789">
        <v>0.1</v>
      </c>
      <c r="G69" s="2484"/>
      <c r="H69" s="1789">
        <v>9.9999999999999978E-2</v>
      </c>
      <c r="I69" s="1443"/>
      <c r="J69" s="1789">
        <v>0.10000000000000006</v>
      </c>
      <c r="K69" s="1998"/>
      <c r="L69" s="1789">
        <v>0</v>
      </c>
      <c r="M69" s="1998"/>
      <c r="N69" s="1789">
        <v>0.19999999999999998</v>
      </c>
      <c r="O69" s="1998"/>
      <c r="P69" s="1789">
        <v>9.999999999999995E-2</v>
      </c>
      <c r="Q69" s="1998"/>
      <c r="R69" s="1789">
        <v>0.10000000000000009</v>
      </c>
      <c r="S69" s="1998"/>
      <c r="T69" s="1789">
        <v>0.1</v>
      </c>
      <c r="U69" s="1998"/>
      <c r="V69" s="1789">
        <f t="shared" si="10"/>
        <v>9.999999999999995E-2</v>
      </c>
      <c r="W69" s="1998"/>
      <c r="X69" s="1789"/>
      <c r="Y69" s="1998"/>
      <c r="Z69" s="1789"/>
      <c r="AA69" s="1999"/>
      <c r="AB69" s="2002"/>
      <c r="AC69" s="1805">
        <v>1</v>
      </c>
      <c r="AD69" s="2041"/>
      <c r="AE69" s="2002" t="s">
        <v>15</v>
      </c>
      <c r="AF69" s="1805">
        <v>1.4</v>
      </c>
      <c r="AG69" s="2486"/>
      <c r="AH69" s="2487"/>
      <c r="AI69" s="1443">
        <f t="shared" si="11"/>
        <v>-0.4</v>
      </c>
      <c r="AJ69" s="2477"/>
      <c r="AK69" s="1438">
        <f>ROUND(IF(AF69=0,0,AI69/ABS(AF69)),3)</f>
        <v>-0.28599999999999998</v>
      </c>
    </row>
    <row r="70" spans="1:37" ht="15" customHeight="1">
      <c r="A70" s="2451"/>
      <c r="B70" s="2485" t="s">
        <v>1025</v>
      </c>
      <c r="C70" s="2485"/>
      <c r="D70" s="1789">
        <v>-100.4</v>
      </c>
      <c r="E70" s="2484"/>
      <c r="F70" s="1789">
        <v>-49</v>
      </c>
      <c r="G70" s="2484"/>
      <c r="H70" s="1789">
        <v>127.2</v>
      </c>
      <c r="I70" s="1443"/>
      <c r="J70" s="1789">
        <v>109.7</v>
      </c>
      <c r="K70" s="1998"/>
      <c r="L70" s="1789">
        <v>13.200000000000017</v>
      </c>
      <c r="M70" s="1998"/>
      <c r="N70" s="1789">
        <v>43.2</v>
      </c>
      <c r="O70" s="1998"/>
      <c r="P70" s="1789">
        <v>28.5</v>
      </c>
      <c r="Q70" s="1998"/>
      <c r="R70" s="1789">
        <v>19</v>
      </c>
      <c r="S70" s="1998"/>
      <c r="T70" s="1789">
        <v>39.400000000000048</v>
      </c>
      <c r="U70" s="1998"/>
      <c r="V70" s="1789">
        <f t="shared" si="10"/>
        <v>19.299999999999955</v>
      </c>
      <c r="W70" s="1998"/>
      <c r="X70" s="1789"/>
      <c r="Y70" s="1998"/>
      <c r="Z70" s="1789"/>
      <c r="AA70" s="1999"/>
      <c r="AB70" s="2002"/>
      <c r="AC70" s="1805">
        <v>250.1</v>
      </c>
      <c r="AD70" s="2041"/>
      <c r="AE70" s="2002" t="s">
        <v>15</v>
      </c>
      <c r="AF70" s="1805">
        <v>276.89999999999998</v>
      </c>
      <c r="AG70" s="2486"/>
      <c r="AH70" s="2487"/>
      <c r="AI70" s="1443">
        <f t="shared" si="11"/>
        <v>-26.8</v>
      </c>
      <c r="AJ70" s="2477"/>
      <c r="AK70" s="1479">
        <f>ROUND(IF(AF70=0,1,AI70/ABS(AF70)),3)</f>
        <v>-9.7000000000000003E-2</v>
      </c>
    </row>
    <row r="71" spans="1:37" ht="15" customHeight="1">
      <c r="A71" s="2451"/>
      <c r="B71" s="2485" t="s">
        <v>1026</v>
      </c>
      <c r="C71" s="2485"/>
      <c r="D71" s="1789">
        <v>0</v>
      </c>
      <c r="E71" s="2484"/>
      <c r="F71" s="1789">
        <v>0</v>
      </c>
      <c r="G71" s="2484"/>
      <c r="H71" s="1789">
        <v>0.1</v>
      </c>
      <c r="I71" s="1443"/>
      <c r="J71" s="1789">
        <v>-0.1</v>
      </c>
      <c r="K71" s="1998"/>
      <c r="L71" s="1789">
        <v>0.5</v>
      </c>
      <c r="M71" s="1998"/>
      <c r="N71" s="1789">
        <v>3</v>
      </c>
      <c r="O71" s="1998"/>
      <c r="P71" s="1789">
        <v>1.9000000000000004</v>
      </c>
      <c r="Q71" s="1998"/>
      <c r="R71" s="1789">
        <v>1.0999999999999996</v>
      </c>
      <c r="S71" s="1998"/>
      <c r="T71" s="1789">
        <v>1.2000000000000002</v>
      </c>
      <c r="U71" s="1998"/>
      <c r="V71" s="1789">
        <f t="shared" si="10"/>
        <v>1.4999999999999991</v>
      </c>
      <c r="W71" s="1998"/>
      <c r="X71" s="1789"/>
      <c r="Y71" s="1998"/>
      <c r="Z71" s="1789"/>
      <c r="AA71" s="1999"/>
      <c r="AB71" s="2002"/>
      <c r="AC71" s="1805">
        <v>9.1999999999999993</v>
      </c>
      <c r="AD71" s="2041"/>
      <c r="AE71" s="2002" t="s">
        <v>15</v>
      </c>
      <c r="AF71" s="1805">
        <v>15.1</v>
      </c>
      <c r="AG71" s="2486"/>
      <c r="AH71" s="2487"/>
      <c r="AI71" s="1443">
        <f t="shared" si="11"/>
        <v>-5.9</v>
      </c>
      <c r="AJ71" s="2477"/>
      <c r="AK71" s="1438">
        <f>ROUND(IF(AF71=0,0,AI71/ABS(AF71)),3)</f>
        <v>-0.39100000000000001</v>
      </c>
    </row>
    <row r="72" spans="1:37" ht="15" customHeight="1">
      <c r="A72" s="2451"/>
      <c r="B72" s="2485" t="s">
        <v>1015</v>
      </c>
      <c r="C72" s="2485"/>
      <c r="D72" s="1789">
        <v>88.9</v>
      </c>
      <c r="E72" s="2484"/>
      <c r="F72" s="1789">
        <v>225.99999999999997</v>
      </c>
      <c r="G72" s="2484"/>
      <c r="H72" s="1789">
        <v>14.700000000000045</v>
      </c>
      <c r="I72" s="1443"/>
      <c r="J72" s="1789">
        <v>186.10000000000005</v>
      </c>
      <c r="K72" s="1998"/>
      <c r="L72" s="1789">
        <v>3.3</v>
      </c>
      <c r="M72" s="1998"/>
      <c r="N72" s="1789">
        <v>8.1999999999999993</v>
      </c>
      <c r="O72" s="1998"/>
      <c r="P72" s="1789">
        <v>12.799999999999955</v>
      </c>
      <c r="Q72" s="1998"/>
      <c r="R72" s="1789">
        <v>150.39999999999995</v>
      </c>
      <c r="S72" s="1998"/>
      <c r="T72" s="1789">
        <v>7.1000000000000227</v>
      </c>
      <c r="U72" s="1998"/>
      <c r="V72" s="1789">
        <f t="shared" si="10"/>
        <v>31.899999999999977</v>
      </c>
      <c r="W72" s="1998"/>
      <c r="X72" s="1789"/>
      <c r="Y72" s="1998"/>
      <c r="Z72" s="1789"/>
      <c r="AA72" s="1999"/>
      <c r="AB72" s="2002"/>
      <c r="AC72" s="1805">
        <v>729.4</v>
      </c>
      <c r="AD72" s="2041"/>
      <c r="AE72" s="2002" t="s">
        <v>15</v>
      </c>
      <c r="AF72" s="1805">
        <v>1040.6000000000001</v>
      </c>
      <c r="AG72" s="2486"/>
      <c r="AH72" s="2487"/>
      <c r="AI72" s="1443">
        <f t="shared" si="11"/>
        <v>-311.2</v>
      </c>
      <c r="AJ72" s="2477"/>
      <c r="AK72" s="1479">
        <f>ROUND(IF(AF72=0,0,AI72/ABS(AF72)),3)</f>
        <v>-0.29899999999999999</v>
      </c>
    </row>
    <row r="73" spans="1:37" ht="15" customHeight="1">
      <c r="A73" s="2451"/>
      <c r="B73" s="2485" t="s">
        <v>1016</v>
      </c>
      <c r="C73" s="2485"/>
      <c r="D73" s="1789">
        <v>15.6</v>
      </c>
      <c r="E73" s="2484"/>
      <c r="F73" s="1789">
        <v>5.9</v>
      </c>
      <c r="G73" s="2484"/>
      <c r="H73" s="1789">
        <v>1.6000000000000014</v>
      </c>
      <c r="I73" s="1443"/>
      <c r="J73" s="1789">
        <v>0.89999999999999858</v>
      </c>
      <c r="K73" s="1998"/>
      <c r="L73" s="1789">
        <v>1.3999999999999986</v>
      </c>
      <c r="M73" s="1998"/>
      <c r="N73" s="1789">
        <v>1.9000000000000021</v>
      </c>
      <c r="O73" s="1998"/>
      <c r="P73" s="1789">
        <v>1.6999999999999993</v>
      </c>
      <c r="Q73" s="1998"/>
      <c r="R73" s="1789">
        <v>1.6000000000000014</v>
      </c>
      <c r="S73" s="1998"/>
      <c r="T73" s="1789">
        <v>1.3999999999999968</v>
      </c>
      <c r="U73" s="1998"/>
      <c r="V73" s="1789">
        <f t="shared" si="10"/>
        <v>1.7000000000000028</v>
      </c>
      <c r="W73" s="1998"/>
      <c r="X73" s="1789"/>
      <c r="Y73" s="1998"/>
      <c r="Z73" s="1789"/>
      <c r="AA73" s="1999"/>
      <c r="AB73" s="2002"/>
      <c r="AC73" s="1805">
        <v>33.700000000000003</v>
      </c>
      <c r="AD73" s="2041"/>
      <c r="AE73" s="2002" t="s">
        <v>15</v>
      </c>
      <c r="AF73" s="1805">
        <v>145.30000000000001</v>
      </c>
      <c r="AG73" s="2007"/>
      <c r="AH73" s="2476"/>
      <c r="AI73" s="1443">
        <f>ROUND(SUM(+AC73-AF73),1)</f>
        <v>-111.6</v>
      </c>
      <c r="AJ73" s="2477"/>
      <c r="AK73" s="1479">
        <f>ROUND(IF(AF73=0,1,AI73/ABS(AF73)),3)</f>
        <v>-0.76800000000000002</v>
      </c>
    </row>
    <row r="74" spans="1:37" ht="15" customHeight="1">
      <c r="A74" s="2451"/>
      <c r="B74" s="2485" t="s">
        <v>1137</v>
      </c>
      <c r="C74" s="2485"/>
      <c r="D74" s="1789" t="s">
        <v>15</v>
      </c>
      <c r="E74" s="2484"/>
      <c r="F74" s="1789"/>
      <c r="G74" s="2484"/>
      <c r="H74" s="1789"/>
      <c r="I74" s="1443"/>
      <c r="J74" s="1789"/>
      <c r="K74" s="1995"/>
      <c r="L74" s="1789"/>
      <c r="M74" s="1995"/>
      <c r="N74" s="1789"/>
      <c r="O74" s="1995"/>
      <c r="P74" s="1789"/>
      <c r="Q74" s="1995"/>
      <c r="R74" s="1789"/>
      <c r="S74" s="1995"/>
      <c r="T74" s="1789"/>
      <c r="U74" s="1995"/>
      <c r="V74" s="1789"/>
      <c r="W74" s="1995"/>
      <c r="X74" s="1789"/>
      <c r="Y74" s="1995"/>
      <c r="Z74" s="1789"/>
      <c r="AA74" s="1991"/>
      <c r="AB74" s="2047"/>
      <c r="AC74" s="3157"/>
      <c r="AD74" s="1977"/>
      <c r="AE74" s="1997"/>
      <c r="AF74" s="3157"/>
      <c r="AG74" s="2007"/>
      <c r="AH74" s="2476"/>
      <c r="AI74" s="1443"/>
      <c r="AJ74" s="2477"/>
      <c r="AK74" s="1432"/>
    </row>
    <row r="75" spans="1:37" ht="15" customHeight="1">
      <c r="A75" s="2451"/>
      <c r="B75" s="2485" t="s">
        <v>1030</v>
      </c>
      <c r="C75" s="2485"/>
      <c r="D75" s="1789">
        <v>0</v>
      </c>
      <c r="E75" s="2484"/>
      <c r="F75" s="1789">
        <v>1000</v>
      </c>
      <c r="G75" s="2484"/>
      <c r="H75" s="1789">
        <v>3500</v>
      </c>
      <c r="I75" s="1443"/>
      <c r="J75" s="1789">
        <v>0</v>
      </c>
      <c r="K75" s="1995"/>
      <c r="L75" s="1789">
        <v>0</v>
      </c>
      <c r="M75" s="1995"/>
      <c r="N75" s="1789">
        <v>0</v>
      </c>
      <c r="O75" s="1995"/>
      <c r="P75" s="1789">
        <v>0</v>
      </c>
      <c r="Q75" s="1995"/>
      <c r="R75" s="1789">
        <v>0</v>
      </c>
      <c r="S75" s="1995"/>
      <c r="T75" s="1789">
        <v>0</v>
      </c>
      <c r="U75" s="1995"/>
      <c r="V75" s="1789">
        <f t="shared" si="10"/>
        <v>0</v>
      </c>
      <c r="W75" s="1995"/>
      <c r="X75" s="1789"/>
      <c r="Y75" s="1995"/>
      <c r="Z75" s="1789"/>
      <c r="AA75" s="1991"/>
      <c r="AB75" s="3696"/>
      <c r="AC75" s="1805">
        <v>4500</v>
      </c>
      <c r="AD75" s="1977"/>
      <c r="AE75" s="3173"/>
      <c r="AF75" s="1805">
        <v>0</v>
      </c>
      <c r="AG75" s="2007"/>
      <c r="AH75" s="2476"/>
      <c r="AI75" s="1443">
        <f t="shared" ref="AI75:AI80" si="12">ROUND(SUM(+AC75-AF75),1)</f>
        <v>4500</v>
      </c>
      <c r="AJ75" s="2477"/>
      <c r="AK75" s="1438">
        <f>ROUND(IF(AF75=0,1,AI75/ABS(AF75)),3)</f>
        <v>1</v>
      </c>
    </row>
    <row r="76" spans="1:37" ht="15" customHeight="1">
      <c r="A76" s="2451"/>
      <c r="B76" s="2485" t="s">
        <v>1031</v>
      </c>
      <c r="C76" s="2485"/>
      <c r="D76" s="1789">
        <v>0</v>
      </c>
      <c r="E76" s="2484"/>
      <c r="F76" s="1789">
        <v>0</v>
      </c>
      <c r="G76" s="2484"/>
      <c r="H76" s="1789">
        <v>0</v>
      </c>
      <c r="I76" s="1443"/>
      <c r="J76" s="1789">
        <v>0</v>
      </c>
      <c r="K76" s="1998"/>
      <c r="L76" s="1789">
        <v>0</v>
      </c>
      <c r="M76" s="1998"/>
      <c r="N76" s="1789">
        <v>0</v>
      </c>
      <c r="O76" s="1998"/>
      <c r="P76" s="1789">
        <v>0</v>
      </c>
      <c r="Q76" s="1998"/>
      <c r="R76" s="1789">
        <v>0</v>
      </c>
      <c r="S76" s="1998"/>
      <c r="T76" s="1789">
        <v>0</v>
      </c>
      <c r="U76" s="1998"/>
      <c r="V76" s="1789">
        <f t="shared" si="10"/>
        <v>0</v>
      </c>
      <c r="W76" s="1998"/>
      <c r="X76" s="1789"/>
      <c r="Y76" s="1998"/>
      <c r="Z76" s="1789"/>
      <c r="AA76" s="1999"/>
      <c r="AB76" s="2002"/>
      <c r="AC76" s="1805">
        <v>0</v>
      </c>
      <c r="AD76" s="2041"/>
      <c r="AE76" s="2002" t="s">
        <v>15</v>
      </c>
      <c r="AF76" s="1805">
        <v>20.100000000000001</v>
      </c>
      <c r="AG76" s="2486"/>
      <c r="AH76" s="2487"/>
      <c r="AI76" s="1443">
        <f t="shared" si="12"/>
        <v>-20.100000000000001</v>
      </c>
      <c r="AJ76" s="2477"/>
      <c r="AK76" s="1438">
        <f>ROUND(IF(AF76=0,0,AI76/ABS(AF76)),3)</f>
        <v>-1</v>
      </c>
    </row>
    <row r="77" spans="1:37" ht="15" customHeight="1">
      <c r="A77" s="2451"/>
      <c r="B77" s="2485" t="s">
        <v>1032</v>
      </c>
      <c r="C77" s="2485"/>
      <c r="D77" s="1789">
        <v>0</v>
      </c>
      <c r="E77" s="2484"/>
      <c r="F77" s="1789">
        <v>0</v>
      </c>
      <c r="G77" s="2484"/>
      <c r="H77" s="1789">
        <v>20.2</v>
      </c>
      <c r="I77" s="1443"/>
      <c r="J77" s="1789">
        <v>24.7</v>
      </c>
      <c r="K77" s="1998"/>
      <c r="L77" s="1789">
        <v>0</v>
      </c>
      <c r="M77" s="1998"/>
      <c r="N77" s="1789">
        <v>1.8000000000000043</v>
      </c>
      <c r="O77" s="1998"/>
      <c r="P77" s="1789">
        <v>30.199999999999996</v>
      </c>
      <c r="Q77" s="1998"/>
      <c r="R77" s="1789">
        <v>0.5</v>
      </c>
      <c r="S77" s="1998"/>
      <c r="T77" s="1789">
        <v>21.599999999999994</v>
      </c>
      <c r="U77" s="1998"/>
      <c r="V77" s="1789">
        <f t="shared" si="10"/>
        <v>4.2999999999999972</v>
      </c>
      <c r="W77" s="1998"/>
      <c r="X77" s="1789"/>
      <c r="Y77" s="1998"/>
      <c r="Z77" s="1789"/>
      <c r="AA77" s="1999"/>
      <c r="AB77" s="2002"/>
      <c r="AC77" s="1805">
        <v>103.3</v>
      </c>
      <c r="AD77" s="2041"/>
      <c r="AE77" s="2002" t="s">
        <v>15</v>
      </c>
      <c r="AF77" s="1805">
        <v>76.3</v>
      </c>
      <c r="AG77" s="2486"/>
      <c r="AH77" s="2487"/>
      <c r="AI77" s="1443">
        <f t="shared" si="12"/>
        <v>27</v>
      </c>
      <c r="AJ77" s="2477"/>
      <c r="AK77" s="1438">
        <f>ROUND(IF(AF77=0,0,AI77/ABS(AF77)),3)</f>
        <v>0.35399999999999998</v>
      </c>
    </row>
    <row r="78" spans="1:37" ht="15" customHeight="1">
      <c r="A78" s="2451"/>
      <c r="B78" s="2485" t="s">
        <v>1033</v>
      </c>
      <c r="C78" s="2485"/>
      <c r="D78" s="1789">
        <v>0</v>
      </c>
      <c r="E78" s="2484"/>
      <c r="F78" s="1789">
        <v>0</v>
      </c>
      <c r="G78" s="2484"/>
      <c r="H78" s="1789">
        <v>0</v>
      </c>
      <c r="I78" s="1443"/>
      <c r="J78" s="1789">
        <v>0</v>
      </c>
      <c r="K78" s="1998"/>
      <c r="L78" s="1789">
        <v>0</v>
      </c>
      <c r="M78" s="1998"/>
      <c r="N78" s="1789">
        <v>0</v>
      </c>
      <c r="O78" s="1998"/>
      <c r="P78" s="1789">
        <v>0</v>
      </c>
      <c r="Q78" s="1998"/>
      <c r="R78" s="1789">
        <v>0</v>
      </c>
      <c r="S78" s="1998"/>
      <c r="T78" s="1789">
        <v>28.2</v>
      </c>
      <c r="U78" s="1998"/>
      <c r="V78" s="1789">
        <f t="shared" si="10"/>
        <v>2.1999999999999993</v>
      </c>
      <c r="W78" s="1998"/>
      <c r="X78" s="1789"/>
      <c r="Y78" s="1998"/>
      <c r="Z78" s="1789"/>
      <c r="AA78" s="1999"/>
      <c r="AB78" s="2002"/>
      <c r="AC78" s="1805">
        <v>30.4</v>
      </c>
      <c r="AD78" s="2041"/>
      <c r="AE78" s="2002" t="s">
        <v>15</v>
      </c>
      <c r="AF78" s="1805">
        <v>25.2</v>
      </c>
      <c r="AG78" s="2486"/>
      <c r="AH78" s="2487"/>
      <c r="AI78" s="1443">
        <f t="shared" si="12"/>
        <v>5.2</v>
      </c>
      <c r="AJ78" s="2477"/>
      <c r="AK78" s="1479">
        <f>ROUND(IF(AF78=0,1,AI78/ABS(AF78)),3)</f>
        <v>0.20599999999999999</v>
      </c>
    </row>
    <row r="79" spans="1:37" ht="15" customHeight="1">
      <c r="A79" s="2451"/>
      <c r="B79" s="2485" t="s">
        <v>1034</v>
      </c>
      <c r="C79" s="2485"/>
      <c r="D79" s="1789">
        <v>0</v>
      </c>
      <c r="E79" s="2484"/>
      <c r="F79" s="1789">
        <v>0</v>
      </c>
      <c r="G79" s="2484"/>
      <c r="H79" s="1789">
        <v>0</v>
      </c>
      <c r="I79" s="1443"/>
      <c r="J79" s="1789">
        <v>0</v>
      </c>
      <c r="K79" s="1998"/>
      <c r="L79" s="1789">
        <v>0.1</v>
      </c>
      <c r="M79" s="1998"/>
      <c r="N79" s="1789">
        <v>0</v>
      </c>
      <c r="O79" s="1998"/>
      <c r="P79" s="1789">
        <v>0</v>
      </c>
      <c r="Q79" s="1998"/>
      <c r="R79" s="1789">
        <v>0</v>
      </c>
      <c r="S79" s="1998"/>
      <c r="T79" s="1789">
        <v>0</v>
      </c>
      <c r="U79" s="1998"/>
      <c r="V79" s="1789">
        <f t="shared" si="10"/>
        <v>0</v>
      </c>
      <c r="W79" s="1998"/>
      <c r="X79" s="1789"/>
      <c r="Y79" s="1998"/>
      <c r="Z79" s="1789"/>
      <c r="AA79" s="1999"/>
      <c r="AB79" s="2002"/>
      <c r="AC79" s="1805">
        <v>0.1</v>
      </c>
      <c r="AD79" s="2041"/>
      <c r="AE79" s="2002" t="s">
        <v>15</v>
      </c>
      <c r="AF79" s="1805">
        <v>16.8</v>
      </c>
      <c r="AG79" s="2486"/>
      <c r="AH79" s="2487"/>
      <c r="AI79" s="1443">
        <f t="shared" si="12"/>
        <v>-16.7</v>
      </c>
      <c r="AJ79" s="2477"/>
      <c r="AK79" s="1438">
        <f>ROUND(IF(AF79=0,1,AI79/ABS(AF79)),3)</f>
        <v>-0.99399999999999999</v>
      </c>
    </row>
    <row r="80" spans="1:37" ht="15" customHeight="1">
      <c r="A80" s="2451"/>
      <c r="B80" s="2485" t="s">
        <v>1035</v>
      </c>
      <c r="C80" s="2485"/>
      <c r="D80" s="1789">
        <v>0.2</v>
      </c>
      <c r="E80" s="2484"/>
      <c r="F80" s="1789">
        <v>9.9999999999999978E-2</v>
      </c>
      <c r="G80" s="2484"/>
      <c r="H80" s="1789">
        <v>0.10000000000000003</v>
      </c>
      <c r="I80" s="1443"/>
      <c r="J80" s="1789">
        <v>9.9999999999999978E-2</v>
      </c>
      <c r="K80" s="1998"/>
      <c r="L80" s="1789">
        <v>0.19999999999999996</v>
      </c>
      <c r="M80" s="1998"/>
      <c r="N80" s="1789">
        <v>0.10000000000000014</v>
      </c>
      <c r="O80" s="1998"/>
      <c r="P80" s="1789">
        <v>0</v>
      </c>
      <c r="Q80" s="1998"/>
      <c r="R80" s="1789">
        <v>0.3000000000000001</v>
      </c>
      <c r="S80" s="1998"/>
      <c r="T80" s="1789">
        <v>0.19999999999999973</v>
      </c>
      <c r="U80" s="1998"/>
      <c r="V80" s="1789">
        <f t="shared" si="10"/>
        <v>0.10000000000000003</v>
      </c>
      <c r="W80" s="1998"/>
      <c r="X80" s="1789"/>
      <c r="Y80" s="1998"/>
      <c r="Z80" s="1789"/>
      <c r="AA80" s="1999"/>
      <c r="AB80" s="2002"/>
      <c r="AC80" s="1805">
        <v>1.4</v>
      </c>
      <c r="AD80" s="2041"/>
      <c r="AE80" s="2002" t="s">
        <v>15</v>
      </c>
      <c r="AF80" s="1805">
        <v>1.8</v>
      </c>
      <c r="AG80" s="2486"/>
      <c r="AH80" s="2487"/>
      <c r="AI80" s="1443">
        <f t="shared" si="12"/>
        <v>-0.4</v>
      </c>
      <c r="AJ80" s="2477"/>
      <c r="AK80" s="1479">
        <f>ROUND(IF(AF80=0,0,AI80/ABS(AF80)),3)</f>
        <v>-0.222</v>
      </c>
    </row>
    <row r="81" spans="1:38" ht="15" customHeight="1">
      <c r="A81" s="2451"/>
      <c r="B81" s="2485" t="s">
        <v>1138</v>
      </c>
      <c r="C81" s="2485"/>
      <c r="D81" s="1789" t="s">
        <v>15</v>
      </c>
      <c r="E81" s="2484"/>
      <c r="F81" s="1789"/>
      <c r="G81" s="2484"/>
      <c r="H81" s="1789"/>
      <c r="I81" s="1443"/>
      <c r="J81" s="1789"/>
      <c r="K81" s="1995"/>
      <c r="L81" s="1789"/>
      <c r="M81" s="1995"/>
      <c r="N81" s="1789"/>
      <c r="O81" s="1995"/>
      <c r="P81" s="1789"/>
      <c r="Q81" s="1995"/>
      <c r="R81" s="1789"/>
      <c r="S81" s="1995"/>
      <c r="T81" s="1789"/>
      <c r="U81" s="1995"/>
      <c r="V81" s="1789"/>
      <c r="W81" s="1995"/>
      <c r="X81" s="1789"/>
      <c r="Y81" s="1995"/>
      <c r="Z81" s="1789"/>
      <c r="AA81" s="1991"/>
      <c r="AB81" s="2047"/>
      <c r="AC81" s="3157"/>
      <c r="AD81" s="1977"/>
      <c r="AE81" s="2002" t="s">
        <v>15</v>
      </c>
      <c r="AF81" s="3157"/>
      <c r="AG81" s="2007"/>
      <c r="AH81" s="2476"/>
      <c r="AI81" s="1443"/>
      <c r="AJ81" s="2477"/>
      <c r="AK81" s="1432"/>
    </row>
    <row r="82" spans="1:38" ht="15" customHeight="1">
      <c r="A82" s="2451"/>
      <c r="B82" s="2485" t="s">
        <v>1036</v>
      </c>
      <c r="C82" s="2485"/>
      <c r="D82" s="1789">
        <v>0.4</v>
      </c>
      <c r="E82" s="2484"/>
      <c r="F82" s="1789">
        <v>0.29999999999999993</v>
      </c>
      <c r="G82" s="2484"/>
      <c r="H82" s="1789">
        <v>16.7</v>
      </c>
      <c r="I82" s="1443"/>
      <c r="J82" s="1789">
        <v>0.40000000000000213</v>
      </c>
      <c r="K82" s="1998"/>
      <c r="L82" s="1789">
        <v>0.1</v>
      </c>
      <c r="M82" s="1998"/>
      <c r="N82" s="1789">
        <v>15.500000000000002</v>
      </c>
      <c r="O82" s="1998"/>
      <c r="P82" s="1789">
        <v>0.30000000000000426</v>
      </c>
      <c r="Q82" s="1998"/>
      <c r="R82" s="1789">
        <v>9.9999999999994316E-2</v>
      </c>
      <c r="S82" s="1998"/>
      <c r="T82" s="1789">
        <v>13.999999999999998</v>
      </c>
      <c r="U82" s="1998"/>
      <c r="V82" s="1789">
        <f t="shared" si="10"/>
        <v>0.20000000000000284</v>
      </c>
      <c r="W82" s="1998"/>
      <c r="X82" s="1789"/>
      <c r="Y82" s="1998"/>
      <c r="Z82" s="1789"/>
      <c r="AA82" s="1999"/>
      <c r="AB82" s="2002"/>
      <c r="AC82" s="1805">
        <v>48</v>
      </c>
      <c r="AD82" s="2041"/>
      <c r="AE82" s="2002" t="s">
        <v>15</v>
      </c>
      <c r="AF82" s="1805">
        <v>57.2</v>
      </c>
      <c r="AG82" s="2486"/>
      <c r="AH82" s="2487"/>
      <c r="AI82" s="1443">
        <f t="shared" ref="AI82:AI91" si="13">ROUND(SUM(+AC82-AF82),1)</f>
        <v>-9.1999999999999993</v>
      </c>
      <c r="AJ82" s="2477"/>
      <c r="AK82" s="1438">
        <f t="shared" ref="AK82" si="14">ROUND(IF(AF82=0,1,AI82/ABS(AF82)),3)</f>
        <v>-0.161</v>
      </c>
    </row>
    <row r="83" spans="1:38" ht="15" customHeight="1">
      <c r="A83" s="2451"/>
      <c r="B83" s="2485" t="s">
        <v>1037</v>
      </c>
      <c r="C83" s="2485"/>
      <c r="D83" s="1789">
        <v>0.4</v>
      </c>
      <c r="E83" s="2484"/>
      <c r="F83" s="1789">
        <v>-0.4</v>
      </c>
      <c r="G83" s="2484"/>
      <c r="H83" s="1789">
        <v>9.9999999999999978E-2</v>
      </c>
      <c r="I83" s="1443"/>
      <c r="J83" s="1789">
        <v>0</v>
      </c>
      <c r="K83" s="1998"/>
      <c r="L83" s="1789">
        <v>-0.30000000000000004</v>
      </c>
      <c r="M83" s="1998"/>
      <c r="N83" s="1789">
        <v>0.5</v>
      </c>
      <c r="O83" s="1998"/>
      <c r="P83" s="1789">
        <v>-0.5</v>
      </c>
      <c r="Q83" s="1998"/>
      <c r="R83" s="1789">
        <v>0.10000000000000009</v>
      </c>
      <c r="S83" s="1998"/>
      <c r="T83" s="1789">
        <v>0</v>
      </c>
      <c r="U83" s="1998"/>
      <c r="V83" s="1789">
        <f t="shared" si="10"/>
        <v>0.39999999999999991</v>
      </c>
      <c r="W83" s="1998"/>
      <c r="X83" s="1789"/>
      <c r="Y83" s="1998"/>
      <c r="Z83" s="1789"/>
      <c r="AA83" s="1999"/>
      <c r="AB83" s="2048"/>
      <c r="AC83" s="1805">
        <v>0.3</v>
      </c>
      <c r="AD83" s="2041"/>
      <c r="AE83" s="2002" t="s">
        <v>15</v>
      </c>
      <c r="AF83" s="1805">
        <v>0.9</v>
      </c>
      <c r="AG83" s="2486"/>
      <c r="AH83" s="2487"/>
      <c r="AI83" s="1443">
        <f t="shared" ref="AI83" si="15">ROUND(SUM(+AC83-AF83),1)</f>
        <v>-0.6</v>
      </c>
      <c r="AJ83" s="2477"/>
      <c r="AK83" s="1479">
        <f>ROUND(IF(AF83=0,1,AI83/ABS(AF83)),3)</f>
        <v>-0.66700000000000004</v>
      </c>
    </row>
    <row r="84" spans="1:38" ht="15" customHeight="1">
      <c r="A84" s="2451"/>
      <c r="B84" s="2485" t="s">
        <v>1038</v>
      </c>
      <c r="C84" s="2485"/>
      <c r="D84" s="1789">
        <v>0</v>
      </c>
      <c r="E84" s="2484"/>
      <c r="F84" s="1789">
        <v>0</v>
      </c>
      <c r="G84" s="2484"/>
      <c r="H84" s="1789">
        <v>0</v>
      </c>
      <c r="I84" s="1443"/>
      <c r="J84" s="1789">
        <v>0</v>
      </c>
      <c r="K84" s="1998"/>
      <c r="L84" s="1789">
        <v>0</v>
      </c>
      <c r="M84" s="1998"/>
      <c r="N84" s="1789">
        <v>0</v>
      </c>
      <c r="O84" s="1998"/>
      <c r="P84" s="1789">
        <v>0</v>
      </c>
      <c r="Q84" s="1998"/>
      <c r="R84" s="1789">
        <v>0</v>
      </c>
      <c r="S84" s="1998"/>
      <c r="T84" s="1789">
        <v>0</v>
      </c>
      <c r="U84" s="1998"/>
      <c r="V84" s="1789">
        <f t="shared" si="10"/>
        <v>0</v>
      </c>
      <c r="W84" s="1998"/>
      <c r="X84" s="1789"/>
      <c r="Y84" s="1998"/>
      <c r="Z84" s="1789"/>
      <c r="AA84" s="1999"/>
      <c r="AB84" s="2002"/>
      <c r="AC84" s="1805">
        <v>0</v>
      </c>
      <c r="AD84" s="2041"/>
      <c r="AE84" s="2002" t="s">
        <v>15</v>
      </c>
      <c r="AF84" s="1805">
        <v>0</v>
      </c>
      <c r="AG84" s="2486"/>
      <c r="AH84" s="2487"/>
      <c r="AI84" s="1443">
        <f t="shared" si="13"/>
        <v>0</v>
      </c>
      <c r="AJ84" s="2477"/>
      <c r="AK84" s="1438">
        <f>ROUND(IF(AF84=0,0,AI84/ABS(AF84)),3)</f>
        <v>0</v>
      </c>
    </row>
    <row r="85" spans="1:38" ht="15" customHeight="1">
      <c r="A85" s="2451"/>
      <c r="B85" s="2485" t="s">
        <v>1039</v>
      </c>
      <c r="C85" s="2485"/>
      <c r="D85" s="1789">
        <v>5.5</v>
      </c>
      <c r="E85" s="2484"/>
      <c r="F85" s="1789">
        <v>5.4</v>
      </c>
      <c r="G85" s="2484"/>
      <c r="H85" s="1789">
        <v>7.4</v>
      </c>
      <c r="I85" s="1443"/>
      <c r="J85" s="1789">
        <v>5.8999999999999986</v>
      </c>
      <c r="K85" s="1998"/>
      <c r="L85" s="1789">
        <v>6.1</v>
      </c>
      <c r="M85" s="1998"/>
      <c r="N85" s="1789">
        <v>5.7000000000000046</v>
      </c>
      <c r="O85" s="1998"/>
      <c r="P85" s="1789">
        <v>5</v>
      </c>
      <c r="Q85" s="1998"/>
      <c r="R85" s="1789">
        <v>5.4999999999999982</v>
      </c>
      <c r="S85" s="1998"/>
      <c r="T85" s="1789">
        <v>8.7000000000000046</v>
      </c>
      <c r="U85" s="1998"/>
      <c r="V85" s="1789">
        <f t="shared" si="10"/>
        <v>6.2999999999999972</v>
      </c>
      <c r="W85" s="1998"/>
      <c r="X85" s="1789"/>
      <c r="Y85" s="1998"/>
      <c r="Z85" s="1789"/>
      <c r="AA85" s="1999"/>
      <c r="AB85" s="2002"/>
      <c r="AC85" s="1805">
        <v>61.5</v>
      </c>
      <c r="AD85" s="2041"/>
      <c r="AE85" s="2002" t="s">
        <v>15</v>
      </c>
      <c r="AF85" s="1805">
        <v>70.5</v>
      </c>
      <c r="AG85" s="2486"/>
      <c r="AH85" s="2487"/>
      <c r="AI85" s="1443">
        <f t="shared" si="13"/>
        <v>-9</v>
      </c>
      <c r="AJ85" s="2477"/>
      <c r="AK85" s="1438">
        <f>ROUND(IF(AF85=0,1,AI85/ABS(AF85)),3)</f>
        <v>-0.128</v>
      </c>
    </row>
    <row r="86" spans="1:38" ht="15" customHeight="1">
      <c r="A86" s="2451"/>
      <c r="B86" s="2485" t="s">
        <v>1040</v>
      </c>
      <c r="C86" s="2485"/>
      <c r="D86" s="1789">
        <v>-3.7</v>
      </c>
      <c r="E86" s="2484"/>
      <c r="F86" s="1789">
        <v>53.7</v>
      </c>
      <c r="G86" s="2484"/>
      <c r="H86" s="1789">
        <v>2.2000000000000028</v>
      </c>
      <c r="I86" s="1443"/>
      <c r="J86" s="1789">
        <v>-17.100000000000001</v>
      </c>
      <c r="K86" s="1998"/>
      <c r="L86" s="1789">
        <v>7.6999999999999957</v>
      </c>
      <c r="M86" s="1998"/>
      <c r="N86" s="1789">
        <v>-107.29999999999998</v>
      </c>
      <c r="O86" s="1998"/>
      <c r="P86" s="1789">
        <v>49.299999999999983</v>
      </c>
      <c r="Q86" s="1998"/>
      <c r="R86" s="1789">
        <v>1.2000000000000028</v>
      </c>
      <c r="S86" s="1998"/>
      <c r="T86" s="1789">
        <v>7.1999999999999957</v>
      </c>
      <c r="U86" s="1998"/>
      <c r="V86" s="1789">
        <f t="shared" si="10"/>
        <v>-15.600000000000001</v>
      </c>
      <c r="W86" s="1998"/>
      <c r="X86" s="1789"/>
      <c r="Y86" s="1998"/>
      <c r="Z86" s="1789"/>
      <c r="AA86" s="1999"/>
      <c r="AB86" s="2048"/>
      <c r="AC86" s="1805">
        <v>-22.4</v>
      </c>
      <c r="AD86" s="2041"/>
      <c r="AE86" s="2048" t="s">
        <v>15</v>
      </c>
      <c r="AF86" s="1805">
        <v>-112.9</v>
      </c>
      <c r="AG86" s="2486"/>
      <c r="AH86" s="2487"/>
      <c r="AI86" s="1443">
        <f>ROUND(SUM(+AC86-AF86),1)</f>
        <v>90.5</v>
      </c>
      <c r="AJ86" s="2477"/>
      <c r="AK86" s="1479">
        <f>ROUND(IF(AF86=0,1,AI86/ABS(AF86)),3)</f>
        <v>0.80200000000000005</v>
      </c>
    </row>
    <row r="87" spans="1:38" ht="15" customHeight="1">
      <c r="A87" s="2451"/>
      <c r="B87" s="2485" t="s">
        <v>1041</v>
      </c>
      <c r="C87" s="2485"/>
      <c r="D87" s="1789">
        <v>0</v>
      </c>
      <c r="E87" s="2484"/>
      <c r="F87" s="1789">
        <v>1.7</v>
      </c>
      <c r="G87" s="2484"/>
      <c r="H87" s="1789">
        <v>-0.89999999999999991</v>
      </c>
      <c r="I87" s="1443"/>
      <c r="J87" s="1789">
        <v>0</v>
      </c>
      <c r="K87" s="1998"/>
      <c r="L87" s="1789">
        <v>3.1999999999999997</v>
      </c>
      <c r="M87" s="1998"/>
      <c r="N87" s="1789">
        <v>0</v>
      </c>
      <c r="O87" s="1998"/>
      <c r="P87" s="1789">
        <v>-0.69999999999999973</v>
      </c>
      <c r="Q87" s="1998"/>
      <c r="R87" s="1789">
        <v>2.5999999999999996</v>
      </c>
      <c r="S87" s="1998"/>
      <c r="T87" s="1789">
        <v>0</v>
      </c>
      <c r="U87" s="1998"/>
      <c r="V87" s="1789">
        <f t="shared" si="10"/>
        <v>0</v>
      </c>
      <c r="W87" s="1998"/>
      <c r="X87" s="1789"/>
      <c r="Y87" s="1998"/>
      <c r="Z87" s="1789"/>
      <c r="AA87" s="1999"/>
      <c r="AB87" s="2002"/>
      <c r="AC87" s="1805">
        <v>5.9</v>
      </c>
      <c r="AD87" s="2041"/>
      <c r="AE87" s="2002" t="s">
        <v>15</v>
      </c>
      <c r="AF87" s="1805">
        <v>4.4000000000000004</v>
      </c>
      <c r="AG87" s="2486"/>
      <c r="AH87" s="2487"/>
      <c r="AI87" s="1443">
        <f t="shared" si="13"/>
        <v>1.5</v>
      </c>
      <c r="AJ87" s="2477"/>
      <c r="AK87" s="1479">
        <f>ROUND(IF(AF87=0,1,AI87/ABS(AF87)),3)</f>
        <v>0.34100000000000003</v>
      </c>
    </row>
    <row r="88" spans="1:38" ht="15" customHeight="1">
      <c r="A88" s="2451"/>
      <c r="B88" s="2485" t="s">
        <v>1042</v>
      </c>
      <c r="C88" s="2485"/>
      <c r="D88" s="1789">
        <v>0.2</v>
      </c>
      <c r="E88" s="2484"/>
      <c r="F88" s="1789">
        <v>0</v>
      </c>
      <c r="G88" s="2484"/>
      <c r="H88" s="1789">
        <v>0</v>
      </c>
      <c r="I88" s="1443"/>
      <c r="J88" s="1789">
        <v>9.9999999999999978E-2</v>
      </c>
      <c r="K88" s="1998"/>
      <c r="L88" s="1789">
        <v>0</v>
      </c>
      <c r="M88" s="1998"/>
      <c r="N88" s="1789">
        <v>0</v>
      </c>
      <c r="O88" s="1998"/>
      <c r="P88" s="1789">
        <v>0</v>
      </c>
      <c r="Q88" s="1998"/>
      <c r="R88" s="1789">
        <v>0.2</v>
      </c>
      <c r="S88" s="1998"/>
      <c r="T88" s="1789">
        <v>0.7</v>
      </c>
      <c r="U88" s="1998"/>
      <c r="V88" s="1789">
        <f t="shared" si="10"/>
        <v>0</v>
      </c>
      <c r="W88" s="1998"/>
      <c r="X88" s="1789"/>
      <c r="Y88" s="1998"/>
      <c r="Z88" s="1789"/>
      <c r="AA88" s="1999"/>
      <c r="AB88" s="2002"/>
      <c r="AC88" s="1805">
        <v>1.2</v>
      </c>
      <c r="AD88" s="2041"/>
      <c r="AE88" s="2002" t="s">
        <v>15</v>
      </c>
      <c r="AF88" s="1805">
        <v>6</v>
      </c>
      <c r="AG88" s="2486"/>
      <c r="AH88" s="2487"/>
      <c r="AI88" s="1443">
        <f t="shared" si="13"/>
        <v>-4.8</v>
      </c>
      <c r="AJ88" s="2477"/>
      <c r="AK88" s="1479">
        <f>ROUND(IF(AF88=0,1,AI88/ABS(AF88)),3)</f>
        <v>-0.8</v>
      </c>
    </row>
    <row r="89" spans="1:38" ht="15" customHeight="1">
      <c r="A89" s="2451"/>
      <c r="B89" s="2485" t="s">
        <v>1043</v>
      </c>
      <c r="C89" s="2485"/>
      <c r="D89" s="1789">
        <v>0</v>
      </c>
      <c r="E89" s="2484"/>
      <c r="F89" s="1789">
        <v>0</v>
      </c>
      <c r="G89" s="2484"/>
      <c r="H89" s="1789">
        <v>0</v>
      </c>
      <c r="I89" s="1443"/>
      <c r="J89" s="1789">
        <v>0</v>
      </c>
      <c r="K89" s="1998"/>
      <c r="L89" s="1789">
        <v>0</v>
      </c>
      <c r="M89" s="1998"/>
      <c r="N89" s="1789">
        <v>0</v>
      </c>
      <c r="O89" s="1998"/>
      <c r="P89" s="1789">
        <v>0</v>
      </c>
      <c r="Q89" s="1998"/>
      <c r="R89" s="1789">
        <v>0</v>
      </c>
      <c r="S89" s="1998"/>
      <c r="T89" s="1789">
        <v>0</v>
      </c>
      <c r="U89" s="1998"/>
      <c r="V89" s="1789">
        <f t="shared" si="10"/>
        <v>0</v>
      </c>
      <c r="W89" s="1998"/>
      <c r="X89" s="1789"/>
      <c r="Y89" s="1998"/>
      <c r="Z89" s="1789"/>
      <c r="AA89" s="1999"/>
      <c r="AB89" s="2002"/>
      <c r="AC89" s="1805">
        <v>0</v>
      </c>
      <c r="AD89" s="2041"/>
      <c r="AE89" s="2002" t="s">
        <v>15</v>
      </c>
      <c r="AF89" s="1805">
        <v>0</v>
      </c>
      <c r="AG89" s="2486"/>
      <c r="AH89" s="2487"/>
      <c r="AI89" s="1443">
        <f t="shared" si="13"/>
        <v>0</v>
      </c>
      <c r="AJ89" s="2477"/>
      <c r="AK89" s="1438">
        <f>ROUND(IF(AF89=0,0,AI89/ABS(AF89)),3)</f>
        <v>0</v>
      </c>
    </row>
    <row r="90" spans="1:38" ht="15" customHeight="1">
      <c r="A90" s="2451"/>
      <c r="B90" s="2485" t="s">
        <v>1044</v>
      </c>
      <c r="C90" s="2485"/>
      <c r="D90" s="1789">
        <v>4.8</v>
      </c>
      <c r="E90" s="2484"/>
      <c r="F90" s="1789">
        <v>4.5000000000000009</v>
      </c>
      <c r="G90" s="2484"/>
      <c r="H90" s="1789">
        <v>4.8999999999999977</v>
      </c>
      <c r="I90" s="1443"/>
      <c r="J90" s="1789">
        <v>11.900000000000002</v>
      </c>
      <c r="K90" s="1998"/>
      <c r="L90" s="1789">
        <v>6.1000000000000014</v>
      </c>
      <c r="M90" s="1998"/>
      <c r="N90" s="1789">
        <v>3.1999999999999957</v>
      </c>
      <c r="O90" s="1998"/>
      <c r="P90" s="1789">
        <v>12.700000000000006</v>
      </c>
      <c r="Q90" s="1998"/>
      <c r="R90" s="1789">
        <v>6.2999999999999972</v>
      </c>
      <c r="S90" s="1998"/>
      <c r="T90" s="1789">
        <v>12.600000000000005</v>
      </c>
      <c r="U90" s="1998"/>
      <c r="V90" s="1789">
        <f t="shared" si="10"/>
        <v>8.0999999999999943</v>
      </c>
      <c r="W90" s="1998"/>
      <c r="X90" s="1789"/>
      <c r="Y90" s="1998"/>
      <c r="Z90" s="1789"/>
      <c r="AA90" s="1999"/>
      <c r="AB90" s="2002"/>
      <c r="AC90" s="1789">
        <v>75.099999999999994</v>
      </c>
      <c r="AD90" s="2041"/>
      <c r="AE90" s="2002" t="s">
        <v>15</v>
      </c>
      <c r="AF90" s="1789">
        <v>71.8</v>
      </c>
      <c r="AG90" s="2041"/>
      <c r="AH90" s="2487"/>
      <c r="AI90" s="1443">
        <f t="shared" si="13"/>
        <v>3.3</v>
      </c>
      <c r="AJ90" s="2477"/>
      <c r="AK90" s="1479">
        <f>ROUND(IF(AF90=0,0,AI90/ABS(AF90)),3)</f>
        <v>4.5999999999999999E-2</v>
      </c>
    </row>
    <row r="91" spans="1:38" ht="15" customHeight="1">
      <c r="A91" s="2451"/>
      <c r="B91" s="2485" t="s">
        <v>1045</v>
      </c>
      <c r="C91" s="2485"/>
      <c r="D91" s="1789">
        <v>0</v>
      </c>
      <c r="E91" s="2484"/>
      <c r="F91" s="1789">
        <v>0</v>
      </c>
      <c r="G91" s="2484"/>
      <c r="H91" s="1789">
        <v>1.8</v>
      </c>
      <c r="I91" s="1443"/>
      <c r="J91" s="1789">
        <v>2.2999999999999998</v>
      </c>
      <c r="K91" s="1998"/>
      <c r="L91" s="1789">
        <v>0</v>
      </c>
      <c r="M91" s="1998"/>
      <c r="N91" s="1789">
        <v>0</v>
      </c>
      <c r="O91" s="1998"/>
      <c r="P91" s="1789">
        <v>0.5</v>
      </c>
      <c r="Q91" s="1998"/>
      <c r="R91" s="1789">
        <v>0</v>
      </c>
      <c r="S91" s="1998"/>
      <c r="T91" s="1789">
        <v>0</v>
      </c>
      <c r="U91" s="1998"/>
      <c r="V91" s="1789">
        <f t="shared" si="10"/>
        <v>0</v>
      </c>
      <c r="W91" s="1998"/>
      <c r="X91" s="1789"/>
      <c r="Y91" s="1998"/>
      <c r="Z91" s="1789"/>
      <c r="AA91" s="1999"/>
      <c r="AB91" s="2002"/>
      <c r="AC91" s="1805">
        <v>4.5999999999999996</v>
      </c>
      <c r="AD91" s="2041"/>
      <c r="AE91" s="2002" t="s">
        <v>15</v>
      </c>
      <c r="AF91" s="1805">
        <v>0</v>
      </c>
      <c r="AG91" s="2041"/>
      <c r="AH91" s="2487"/>
      <c r="AI91" s="1443">
        <f t="shared" si="13"/>
        <v>4.5999999999999996</v>
      </c>
      <c r="AJ91" s="2477"/>
      <c r="AK91" s="2488">
        <f>ROUND(IF(AF91=0,1,AI91/ABS(AF91)),3)</f>
        <v>1</v>
      </c>
    </row>
    <row r="92" spans="1:38" s="2481" customFormat="1" ht="15" customHeight="1">
      <c r="A92" s="2479"/>
      <c r="B92" s="2473" t="s">
        <v>1080</v>
      </c>
      <c r="C92" s="2428"/>
      <c r="D92" s="2475">
        <f>ROUND(SUM(D57:D91),1)</f>
        <v>37.299999999999997</v>
      </c>
      <c r="E92" s="2489"/>
      <c r="F92" s="2474">
        <f>ROUND(SUM(F57:F91),1)</f>
        <v>1254</v>
      </c>
      <c r="G92" s="2489"/>
      <c r="H92" s="2474">
        <f>ROUND(SUM(H57:H91),1)</f>
        <v>3752.2</v>
      </c>
      <c r="I92" s="1461"/>
      <c r="J92" s="2475">
        <f>ROUND(SUM(J57:J91),1)</f>
        <v>342.3</v>
      </c>
      <c r="K92" s="1461"/>
      <c r="L92" s="2475">
        <f>ROUND(SUM(L57:L91),1)</f>
        <v>166.1</v>
      </c>
      <c r="M92" s="1461"/>
      <c r="N92" s="2042">
        <f>ROUND(SUM(N57:N91),1)</f>
        <v>128.30000000000001</v>
      </c>
      <c r="O92" s="1461"/>
      <c r="P92" s="1460">
        <f>ROUND(SUM(P57:P91),1)</f>
        <v>190.2</v>
      </c>
      <c r="Q92" s="1461"/>
      <c r="R92" s="2042">
        <f>ROUND(SUM(R57:R91),1)</f>
        <v>448.2</v>
      </c>
      <c r="S92" s="1461"/>
      <c r="T92" s="2042">
        <f>ROUND(SUM(T57:T91),1)</f>
        <v>261.10000000000002</v>
      </c>
      <c r="U92" s="1461"/>
      <c r="V92" s="2042">
        <f>ROUND(SUM(V57:V91),1)</f>
        <v>127.2</v>
      </c>
      <c r="W92" s="1461"/>
      <c r="X92" s="2042">
        <f>ROUND(SUM(X57:X91),1)</f>
        <v>0</v>
      </c>
      <c r="Y92" s="1461"/>
      <c r="Z92" s="2042">
        <f>ROUND(SUM(Z57:Z91),1)</f>
        <v>0</v>
      </c>
      <c r="AA92" s="2010"/>
      <c r="AB92" s="2049"/>
      <c r="AC92" s="3154">
        <f>ROUND(SUM(AC57:AC91),1)</f>
        <v>6706.9</v>
      </c>
      <c r="AD92" s="2050"/>
      <c r="AE92" s="3158" t="s">
        <v>15</v>
      </c>
      <c r="AF92" s="3487">
        <f>ROUND(SUM(AF57:AF91),1)</f>
        <v>2593.8000000000002</v>
      </c>
      <c r="AG92" s="1461"/>
      <c r="AH92" s="2480"/>
      <c r="AI92" s="2042">
        <f>ROUND(SUM(AI57:AI91),1)</f>
        <v>4113.1000000000004</v>
      </c>
      <c r="AJ92" s="1444"/>
      <c r="AK92" s="1445">
        <f>ROUND(SUM(+AI92/AF92),3)</f>
        <v>1.5860000000000001</v>
      </c>
      <c r="AL92" s="2417"/>
    </row>
    <row r="93" spans="1:38" s="2481" customFormat="1" ht="8.25" customHeight="1">
      <c r="A93" s="2479"/>
      <c r="B93" s="2427"/>
      <c r="C93" s="2428"/>
      <c r="D93" s="1461"/>
      <c r="E93" s="2489"/>
      <c r="F93" s="1461"/>
      <c r="G93" s="2489"/>
      <c r="H93" s="1461"/>
      <c r="I93" s="1461"/>
      <c r="J93" s="2050"/>
      <c r="K93" s="1461"/>
      <c r="L93" s="1461"/>
      <c r="M93" s="1461"/>
      <c r="N93" s="1461"/>
      <c r="O93" s="1461"/>
      <c r="P93" s="2050"/>
      <c r="Q93" s="1461"/>
      <c r="R93" s="1461"/>
      <c r="S93" s="1461"/>
      <c r="T93" s="1461"/>
      <c r="U93" s="1461"/>
      <c r="V93" s="1461"/>
      <c r="W93" s="1461"/>
      <c r="X93" s="1461"/>
      <c r="Y93" s="1461"/>
      <c r="Z93" s="1461"/>
      <c r="AA93" s="2010"/>
      <c r="AB93" s="2049"/>
      <c r="AC93" s="2050"/>
      <c r="AD93" s="2050"/>
      <c r="AE93" s="3158"/>
      <c r="AF93" s="2050"/>
      <c r="AG93" s="1461"/>
      <c r="AH93" s="2480"/>
      <c r="AI93" s="1461"/>
      <c r="AJ93" s="1444"/>
      <c r="AK93" s="2490"/>
      <c r="AL93" s="2417"/>
    </row>
    <row r="94" spans="1:38" ht="15" customHeight="1">
      <c r="A94" s="2451"/>
      <c r="B94" s="2469" t="s">
        <v>1227</v>
      </c>
      <c r="C94" s="2022"/>
      <c r="D94" s="1789">
        <v>0</v>
      </c>
      <c r="E94" s="1443"/>
      <c r="F94" s="1789">
        <v>0</v>
      </c>
      <c r="G94" s="1443"/>
      <c r="H94" s="1789">
        <v>0</v>
      </c>
      <c r="I94" s="1443"/>
      <c r="J94" s="1789">
        <v>0</v>
      </c>
      <c r="K94" s="1998"/>
      <c r="L94" s="1789">
        <v>0</v>
      </c>
      <c r="M94" s="1998"/>
      <c r="N94" s="1789">
        <v>0.1</v>
      </c>
      <c r="O94" s="1998"/>
      <c r="P94" s="1789">
        <v>0</v>
      </c>
      <c r="Q94" s="1998"/>
      <c r="R94" s="1789">
        <v>0.1</v>
      </c>
      <c r="S94" s="1998"/>
      <c r="T94" s="1789">
        <v>0</v>
      </c>
      <c r="U94" s="1998"/>
      <c r="V94" s="1789">
        <f t="shared" ref="V94" si="16">$AC94-$D94-$F94-$H94-$J94-$L94-$N94-$P94-$R94-$T94</f>
        <v>0</v>
      </c>
      <c r="W94" s="1998"/>
      <c r="X94" s="1789"/>
      <c r="Y94" s="1998"/>
      <c r="Z94" s="1789"/>
      <c r="AA94" s="1999"/>
      <c r="AB94" s="2002"/>
      <c r="AC94" s="1805">
        <v>0.2</v>
      </c>
      <c r="AD94" s="2041"/>
      <c r="AE94" s="2002" t="s">
        <v>15</v>
      </c>
      <c r="AF94" s="1805">
        <v>0.3</v>
      </c>
      <c r="AG94" s="2007"/>
      <c r="AH94" s="2476"/>
      <c r="AI94" s="2491">
        <f>ROUND(SUM(+AC94-AF94),1)</f>
        <v>-0.1</v>
      </c>
      <c r="AJ94" s="2477"/>
      <c r="AK94" s="2492">
        <f>ROUND(IF(AF94=0,0,AI94/ABS(AF94)),3)</f>
        <v>-0.33300000000000002</v>
      </c>
    </row>
    <row r="95" spans="1:38" ht="4.3499999999999996" customHeight="1">
      <c r="A95" s="2451"/>
      <c r="B95" s="2044"/>
      <c r="C95" s="2022"/>
      <c r="D95" s="2493"/>
      <c r="E95" s="1443"/>
      <c r="F95" s="2493"/>
      <c r="G95" s="1443"/>
      <c r="H95" s="2493"/>
      <c r="I95" s="1443"/>
      <c r="J95" s="2494"/>
      <c r="K95" s="2006"/>
      <c r="L95" s="2005"/>
      <c r="M95" s="2006"/>
      <c r="N95" s="2005"/>
      <c r="O95" s="2006"/>
      <c r="P95" s="3583"/>
      <c r="Q95" s="2006"/>
      <c r="R95" s="2005"/>
      <c r="S95" s="2006"/>
      <c r="T95" s="2005"/>
      <c r="U95" s="2006"/>
      <c r="V95" s="2005"/>
      <c r="W95" s="2006"/>
      <c r="X95" s="2005"/>
      <c r="Y95" s="2006"/>
      <c r="Z95" s="2005"/>
      <c r="AA95" s="2021"/>
      <c r="AB95" s="2046"/>
      <c r="AC95" s="3159"/>
      <c r="AD95" s="1995"/>
      <c r="AE95" s="2002" t="s">
        <v>15</v>
      </c>
      <c r="AF95" s="2051"/>
      <c r="AG95" s="2007"/>
      <c r="AH95" s="2476"/>
      <c r="AI95" s="1443"/>
      <c r="AJ95" s="2477"/>
      <c r="AK95" s="1432"/>
    </row>
    <row r="96" spans="1:38" ht="15" customHeight="1">
      <c r="A96" s="2451"/>
      <c r="B96" s="2427" t="s">
        <v>150</v>
      </c>
      <c r="C96" s="2022"/>
      <c r="D96" s="2020">
        <f>ROUND(SUM(D94+D92+D53),1)</f>
        <v>1882.6</v>
      </c>
      <c r="E96" s="1461"/>
      <c r="F96" s="2020">
        <f>ROUND(SUM(F94+F92+F53),1)</f>
        <v>2694.5</v>
      </c>
      <c r="G96" s="1461"/>
      <c r="H96" s="2020">
        <f>ROUND(SUM(H94+H92+H53),1)</f>
        <v>7631.3</v>
      </c>
      <c r="I96" s="1461"/>
      <c r="J96" s="1559">
        <f>ROUND(SUM(J94+J92+J53),1)</f>
        <v>6691.8</v>
      </c>
      <c r="K96" s="1461"/>
      <c r="L96" s="1559">
        <f>ROUND(SUM(L94+L92+L53),1)</f>
        <v>2248.6999999999998</v>
      </c>
      <c r="M96" s="1461"/>
      <c r="N96" s="1461">
        <f>ROUND(SUM(N94+N92+N53),1)</f>
        <v>4941.6000000000004</v>
      </c>
      <c r="O96" s="1461"/>
      <c r="P96" s="2054">
        <f>ROUND(SUM(P94+P92+P53),1)</f>
        <v>2260.8000000000002</v>
      </c>
      <c r="Q96" s="1461"/>
      <c r="R96" s="2052">
        <f>ROUND(SUM(R94+R92+R53),1)</f>
        <v>2536.5</v>
      </c>
      <c r="S96" s="1461"/>
      <c r="T96" s="2052">
        <f>ROUND(SUM(T94+T92+T53),1)</f>
        <v>4882.8999999999996</v>
      </c>
      <c r="U96" s="1461"/>
      <c r="V96" s="2052">
        <f>ROUND(SUM(V94+V92+V53),1)</f>
        <v>3809.6</v>
      </c>
      <c r="W96" s="1461"/>
      <c r="X96" s="2052">
        <f>ROUND(SUM(X94+X92+X53),1)</f>
        <v>0</v>
      </c>
      <c r="Y96" s="1461"/>
      <c r="Z96" s="2052">
        <f>ROUND(SUM(Z94+Z92+Z53),1)</f>
        <v>0</v>
      </c>
      <c r="AA96" s="2053"/>
      <c r="AB96" s="2049"/>
      <c r="AC96" s="2054">
        <f>ROUND(SUM(AC94+AC92+AC53),1)</f>
        <v>39580.300000000003</v>
      </c>
      <c r="AD96" s="2050"/>
      <c r="AE96" s="3158"/>
      <c r="AF96" s="2054">
        <f>ROUND(SUM(AF94+AF92+AF53),1)</f>
        <v>35831.800000000003</v>
      </c>
      <c r="AG96" s="1444"/>
      <c r="AH96" s="2480"/>
      <c r="AI96" s="2052">
        <f>ROUND(SUM(AI94+AI92+AI53),1)</f>
        <v>3748.5</v>
      </c>
      <c r="AJ96" s="1444"/>
      <c r="AK96" s="1435">
        <f>ROUND(SUM(+AI96/AF96),3)</f>
        <v>0.105</v>
      </c>
    </row>
    <row r="97" spans="1:39" ht="15" customHeight="1">
      <c r="A97" s="2451"/>
      <c r="B97" s="2044"/>
      <c r="C97" s="2022"/>
      <c r="D97" s="2477"/>
      <c r="E97" s="1443"/>
      <c r="F97" s="2477"/>
      <c r="G97" s="1443"/>
      <c r="H97" s="2477"/>
      <c r="I97" s="1443"/>
      <c r="J97" s="2041"/>
      <c r="K97" s="2006"/>
      <c r="L97" s="2005"/>
      <c r="M97" s="2006"/>
      <c r="N97" s="2005"/>
      <c r="O97" s="2006"/>
      <c r="P97" s="1977"/>
      <c r="Q97" s="2006"/>
      <c r="R97" s="2007"/>
      <c r="S97" s="2006"/>
      <c r="T97" s="2007"/>
      <c r="U97" s="2006"/>
      <c r="V97" s="2007"/>
      <c r="W97" s="2006"/>
      <c r="X97" s="2007"/>
      <c r="Y97" s="2006"/>
      <c r="Z97" s="2007"/>
      <c r="AA97" s="2013"/>
      <c r="AB97" s="2046"/>
      <c r="AC97" s="2041"/>
      <c r="AD97" s="1995"/>
      <c r="AE97" s="1997"/>
      <c r="AF97" s="1977"/>
      <c r="AG97" s="2007"/>
      <c r="AH97" s="2476"/>
      <c r="AI97" s="1443"/>
      <c r="AJ97" s="2477"/>
      <c r="AK97" s="1432"/>
    </row>
    <row r="98" spans="1:39" ht="15" customHeight="1">
      <c r="A98" s="2451"/>
      <c r="B98" s="2427" t="s">
        <v>23</v>
      </c>
      <c r="C98" s="2022"/>
      <c r="D98" s="1443"/>
      <c r="E98" s="1443"/>
      <c r="F98" s="1443"/>
      <c r="G98" s="1443"/>
      <c r="H98" s="1443"/>
      <c r="I98" s="1443"/>
      <c r="J98" s="2000"/>
      <c r="K98" s="2006"/>
      <c r="L98" s="2006"/>
      <c r="M98" s="2006"/>
      <c r="N98" s="2006"/>
      <c r="O98" s="2006"/>
      <c r="P98" s="1995"/>
      <c r="Q98" s="2006"/>
      <c r="R98" s="2006"/>
      <c r="S98" s="2006"/>
      <c r="T98" s="2006"/>
      <c r="U98" s="2006"/>
      <c r="V98" s="2006"/>
      <c r="W98" s="2006"/>
      <c r="X98" s="2006"/>
      <c r="Y98" s="2006"/>
      <c r="Z98" s="2006"/>
      <c r="AA98" s="1463"/>
      <c r="AB98" s="2046"/>
      <c r="AC98" s="2000"/>
      <c r="AD98" s="1995"/>
      <c r="AE98" s="1997"/>
      <c r="AF98" s="1995"/>
      <c r="AG98" s="2006"/>
      <c r="AH98" s="2476"/>
      <c r="AI98" s="1443"/>
      <c r="AJ98" s="2477"/>
      <c r="AK98" s="1432"/>
    </row>
    <row r="99" spans="1:39" ht="15" customHeight="1">
      <c r="A99" s="2451"/>
      <c r="B99" s="2044" t="s">
        <v>151</v>
      </c>
      <c r="C99" s="2022"/>
      <c r="D99" s="2477"/>
      <c r="E99" s="2477"/>
      <c r="F99" s="2477"/>
      <c r="G99" s="2477"/>
      <c r="H99" s="2477"/>
      <c r="I99" s="2477"/>
      <c r="J99" s="2041"/>
      <c r="K99" s="2007"/>
      <c r="L99" s="2007"/>
      <c r="M99" s="2007"/>
      <c r="N99" s="2007"/>
      <c r="O99" s="2007"/>
      <c r="P99" s="1977"/>
      <c r="Q99" s="2007"/>
      <c r="R99" s="2007"/>
      <c r="S99" s="2007"/>
      <c r="T99" s="2007"/>
      <c r="U99" s="2007"/>
      <c r="V99" s="2007"/>
      <c r="W99" s="2007"/>
      <c r="X99" s="2007"/>
      <c r="Y99" s="2007"/>
      <c r="Z99" s="1789"/>
      <c r="AA99" s="1463"/>
      <c r="AB99" s="2046"/>
      <c r="AC99" s="3160"/>
      <c r="AD99" s="1995"/>
      <c r="AE99" s="1997"/>
      <c r="AF99" s="3488"/>
      <c r="AG99" s="2495"/>
      <c r="AH99" s="2476"/>
      <c r="AI99" s="1443"/>
      <c r="AJ99" s="2477"/>
      <c r="AK99" s="1432"/>
    </row>
    <row r="100" spans="1:39" ht="15" customHeight="1">
      <c r="A100" s="2451"/>
      <c r="B100" s="2460" t="s">
        <v>25</v>
      </c>
      <c r="C100" s="2022"/>
      <c r="D100" s="1789">
        <v>754.2</v>
      </c>
      <c r="E100" s="2477"/>
      <c r="F100" s="1789">
        <v>4030.1000000000004</v>
      </c>
      <c r="G100" s="2477"/>
      <c r="H100" s="1789">
        <v>3112.0999999999995</v>
      </c>
      <c r="I100" s="2477"/>
      <c r="J100" s="1789">
        <v>563.30000000000109</v>
      </c>
      <c r="K100" s="1998"/>
      <c r="L100" s="1789">
        <v>856.3</v>
      </c>
      <c r="M100" s="1998"/>
      <c r="N100" s="1789">
        <v>1571.4999999999984</v>
      </c>
      <c r="O100" s="1998"/>
      <c r="P100" s="1789">
        <v>1051.2000000000005</v>
      </c>
      <c r="Q100" s="1998"/>
      <c r="R100" s="1789">
        <v>1411.3999999999999</v>
      </c>
      <c r="S100" s="1998"/>
      <c r="T100" s="1789">
        <v>2408.3999999999996</v>
      </c>
      <c r="U100" s="1998"/>
      <c r="V100" s="1789">
        <f t="shared" ref="V100:V109" si="17">$AC100-$D100-$F100-$H100-$J100-$L100-$N100-$P100-$R100-$T100</f>
        <v>480.60000000000127</v>
      </c>
      <c r="W100" s="1998"/>
      <c r="X100" s="1789"/>
      <c r="Y100" s="1998"/>
      <c r="Z100" s="1789"/>
      <c r="AA100" s="1999"/>
      <c r="AB100" s="2002"/>
      <c r="AC100" s="1805">
        <v>16239.1</v>
      </c>
      <c r="AD100" s="2041"/>
      <c r="AE100" s="2002" t="s">
        <v>15</v>
      </c>
      <c r="AF100" s="1805">
        <v>17584.899999999998</v>
      </c>
      <c r="AG100" s="2495"/>
      <c r="AH100" s="2476"/>
      <c r="AI100" s="1443">
        <f>ROUND(SUM(+AC100-AF100),1)</f>
        <v>-1345.8</v>
      </c>
      <c r="AJ100" s="2477"/>
      <c r="AK100" s="1438">
        <f>ROUND(IF(AF100=0,0,AI100/ABS(AF100)),3)</f>
        <v>-7.6999999999999999E-2</v>
      </c>
    </row>
    <row r="101" spans="1:39" ht="15" customHeight="1">
      <c r="A101" s="2451"/>
      <c r="B101" s="2460" t="s">
        <v>26</v>
      </c>
      <c r="C101" s="2022"/>
      <c r="D101" s="1789">
        <v>0.1</v>
      </c>
      <c r="E101" s="1443"/>
      <c r="F101" s="1789">
        <v>0</v>
      </c>
      <c r="G101" s="1443"/>
      <c r="H101" s="1789">
        <v>0</v>
      </c>
      <c r="I101" s="1443"/>
      <c r="J101" s="1789">
        <v>0</v>
      </c>
      <c r="K101" s="1998"/>
      <c r="L101" s="1789">
        <v>-0.1</v>
      </c>
      <c r="M101" s="1998"/>
      <c r="N101" s="1789">
        <v>0</v>
      </c>
      <c r="O101" s="1998"/>
      <c r="P101" s="1789">
        <v>0</v>
      </c>
      <c r="Q101" s="1998"/>
      <c r="R101" s="1789">
        <v>0</v>
      </c>
      <c r="S101" s="1998"/>
      <c r="T101" s="1789">
        <v>0.3</v>
      </c>
      <c r="U101" s="1998"/>
      <c r="V101" s="1789">
        <f t="shared" si="17"/>
        <v>0.2</v>
      </c>
      <c r="W101" s="1998"/>
      <c r="X101" s="1789"/>
      <c r="Y101" s="1998"/>
      <c r="Z101" s="1789"/>
      <c r="AA101" s="1999"/>
      <c r="AB101" s="2002"/>
      <c r="AC101" s="1805">
        <v>0.5</v>
      </c>
      <c r="AD101" s="2041"/>
      <c r="AE101" s="2002" t="s">
        <v>15</v>
      </c>
      <c r="AF101" s="1805">
        <v>2.5</v>
      </c>
      <c r="AG101" s="2006"/>
      <c r="AH101" s="2476"/>
      <c r="AI101" s="1443">
        <f t="shared" ref="AI101:AI109" si="18">ROUND(SUM(+AC101-AF101),1)</f>
        <v>-2</v>
      </c>
      <c r="AJ101" s="2477"/>
      <c r="AK101" s="1438">
        <f>ROUND(IF(AF101=0,1,AI101/ABS(AF101)),3)</f>
        <v>-0.8</v>
      </c>
    </row>
    <row r="102" spans="1:39" ht="15" customHeight="1">
      <c r="A102" s="2451"/>
      <c r="B102" s="2460" t="s">
        <v>27</v>
      </c>
      <c r="C102" s="2022"/>
      <c r="D102" s="1789">
        <v>6.8</v>
      </c>
      <c r="E102" s="1443"/>
      <c r="F102" s="1789">
        <v>0.70000000000000018</v>
      </c>
      <c r="G102" s="1443"/>
      <c r="H102" s="1789">
        <v>493.7</v>
      </c>
      <c r="I102" s="1443"/>
      <c r="J102" s="1789">
        <v>12.400000000000034</v>
      </c>
      <c r="K102" s="1998"/>
      <c r="L102" s="1789">
        <v>0.6</v>
      </c>
      <c r="M102" s="1998"/>
      <c r="N102" s="1789">
        <v>51.699999999999953</v>
      </c>
      <c r="O102" s="1998"/>
      <c r="P102" s="1789">
        <v>62.399999999999984</v>
      </c>
      <c r="Q102" s="1998"/>
      <c r="R102" s="1789">
        <v>8.8000000000000611</v>
      </c>
      <c r="S102" s="1998"/>
      <c r="T102" s="1789">
        <v>168.39999999999995</v>
      </c>
      <c r="U102" s="1998"/>
      <c r="V102" s="1789">
        <f t="shared" si="17"/>
        <v>10.399999999999977</v>
      </c>
      <c r="W102" s="1998"/>
      <c r="X102" s="1789"/>
      <c r="Y102" s="1998"/>
      <c r="Z102" s="1789"/>
      <c r="AA102" s="1999"/>
      <c r="AB102" s="2002"/>
      <c r="AC102" s="1805">
        <v>815.9</v>
      </c>
      <c r="AD102" s="2041"/>
      <c r="AE102" s="2002" t="s">
        <v>15</v>
      </c>
      <c r="AF102" s="1805">
        <v>954</v>
      </c>
      <c r="AG102" s="2006"/>
      <c r="AH102" s="2476"/>
      <c r="AI102" s="1443">
        <f t="shared" si="18"/>
        <v>-138.1</v>
      </c>
      <c r="AJ102" s="2477"/>
      <c r="AK102" s="1438">
        <f>ROUND(IF(AF102=0,0,AI102/ABS(AF102)),3)</f>
        <v>-0.14499999999999999</v>
      </c>
    </row>
    <row r="103" spans="1:39" ht="15" customHeight="1">
      <c r="A103" s="2451"/>
      <c r="B103" s="2460" t="s">
        <v>28</v>
      </c>
      <c r="C103" s="2022"/>
      <c r="D103" s="1789" t="s">
        <v>15</v>
      </c>
      <c r="E103" s="1443"/>
      <c r="F103" s="1789"/>
      <c r="G103" s="1443"/>
      <c r="H103" s="1789"/>
      <c r="I103" s="1443"/>
      <c r="J103" s="1789"/>
      <c r="K103" s="1998"/>
      <c r="L103" s="1789"/>
      <c r="M103" s="1998"/>
      <c r="N103" s="1789"/>
      <c r="O103" s="1998"/>
      <c r="P103" s="1789"/>
      <c r="Q103" s="1998"/>
      <c r="R103" s="1789"/>
      <c r="S103" s="1998"/>
      <c r="T103" s="1789"/>
      <c r="U103" s="1998"/>
      <c r="V103" s="1789"/>
      <c r="W103" s="1998"/>
      <c r="X103" s="1789"/>
      <c r="Y103" s="1998"/>
      <c r="Z103" s="1789"/>
      <c r="AA103" s="1999"/>
      <c r="AB103" s="2002"/>
      <c r="AC103" s="1805"/>
      <c r="AD103" s="2041"/>
      <c r="AE103" s="2002" t="s">
        <v>15</v>
      </c>
      <c r="AF103" s="1805"/>
      <c r="AG103" s="2006"/>
      <c r="AH103" s="2476"/>
      <c r="AI103" s="1443" t="s">
        <v>15</v>
      </c>
      <c r="AJ103" s="2477"/>
      <c r="AK103" s="1432" t="s">
        <v>15</v>
      </c>
    </row>
    <row r="104" spans="1:39" ht="15" customHeight="1">
      <c r="A104" s="2451"/>
      <c r="B104" s="2496" t="s">
        <v>29</v>
      </c>
      <c r="C104" s="2022"/>
      <c r="D104" s="1789">
        <v>229.4</v>
      </c>
      <c r="E104" s="1443"/>
      <c r="F104" s="1789">
        <v>1283.5999999999999</v>
      </c>
      <c r="G104" s="1443"/>
      <c r="H104" s="1789">
        <v>2466.9</v>
      </c>
      <c r="I104" s="1443"/>
      <c r="J104" s="1789">
        <v>1220.8000000000002</v>
      </c>
      <c r="K104" s="1998"/>
      <c r="L104" s="1789">
        <v>1431.7999999999997</v>
      </c>
      <c r="M104" s="1998"/>
      <c r="N104" s="1789">
        <v>1614.5000000000005</v>
      </c>
      <c r="O104" s="1998"/>
      <c r="P104" s="1789">
        <v>999.5</v>
      </c>
      <c r="Q104" s="1998"/>
      <c r="R104" s="1789">
        <v>1041.8999999999996</v>
      </c>
      <c r="S104" s="1998"/>
      <c r="T104" s="1789">
        <v>1632.6</v>
      </c>
      <c r="U104" s="1998"/>
      <c r="V104" s="1789">
        <f t="shared" si="17"/>
        <v>1007.1000000000008</v>
      </c>
      <c r="W104" s="1998"/>
      <c r="X104" s="1789"/>
      <c r="Y104" s="1998"/>
      <c r="Z104" s="1789"/>
      <c r="AA104" s="1999"/>
      <c r="AB104" s="2002"/>
      <c r="AC104" s="1805">
        <v>12928.1</v>
      </c>
      <c r="AD104" s="2041"/>
      <c r="AE104" s="2002" t="s">
        <v>15</v>
      </c>
      <c r="AF104" s="1805">
        <v>16526.900000000001</v>
      </c>
      <c r="AG104" s="2006"/>
      <c r="AH104" s="2476"/>
      <c r="AI104" s="1443">
        <f t="shared" si="18"/>
        <v>-3598.8</v>
      </c>
      <c r="AJ104" s="2477"/>
      <c r="AK104" s="1438">
        <f t="shared" ref="AK104:AK108" si="19">ROUND(IF(AF104=0,0,AI104/ABS(AF104)),3)</f>
        <v>-0.218</v>
      </c>
    </row>
    <row r="105" spans="1:39" ht="15" customHeight="1">
      <c r="A105" s="2451"/>
      <c r="B105" s="2460" t="s">
        <v>30</v>
      </c>
      <c r="C105" s="2022"/>
      <c r="D105" s="1789">
        <v>63.9</v>
      </c>
      <c r="E105" s="1443"/>
      <c r="F105" s="1789">
        <v>47.300000000000004</v>
      </c>
      <c r="G105" s="1443"/>
      <c r="H105" s="1789">
        <v>239.8</v>
      </c>
      <c r="I105" s="1443"/>
      <c r="J105" s="1789">
        <v>433.90000000000003</v>
      </c>
      <c r="K105" s="1998"/>
      <c r="L105" s="1789">
        <v>72.700000000000045</v>
      </c>
      <c r="M105" s="1998"/>
      <c r="N105" s="1789">
        <v>247.29999999999978</v>
      </c>
      <c r="O105" s="1998"/>
      <c r="P105" s="1789">
        <v>193.60000000000031</v>
      </c>
      <c r="Q105" s="1998"/>
      <c r="R105" s="1789">
        <v>181.49999999999977</v>
      </c>
      <c r="S105" s="1998"/>
      <c r="T105" s="1789">
        <v>168.3</v>
      </c>
      <c r="U105" s="1998"/>
      <c r="V105" s="1789">
        <f t="shared" si="17"/>
        <v>225.69999999999976</v>
      </c>
      <c r="W105" s="1998"/>
      <c r="X105" s="1789"/>
      <c r="Y105" s="1998"/>
      <c r="Z105" s="1789"/>
      <c r="AA105" s="1999"/>
      <c r="AB105" s="2002"/>
      <c r="AC105" s="1805">
        <v>1873.9999999999998</v>
      </c>
      <c r="AD105" s="2041"/>
      <c r="AE105" s="2002" t="s">
        <v>15</v>
      </c>
      <c r="AF105" s="1805">
        <v>1873.8</v>
      </c>
      <c r="AG105" s="2006"/>
      <c r="AH105" s="2476"/>
      <c r="AI105" s="1443">
        <f t="shared" si="18"/>
        <v>0.2</v>
      </c>
      <c r="AJ105" s="2477"/>
      <c r="AK105" s="1438">
        <f t="shared" si="19"/>
        <v>0</v>
      </c>
    </row>
    <row r="106" spans="1:39" ht="15" customHeight="1">
      <c r="A106" s="2451"/>
      <c r="B106" s="2460" t="s">
        <v>31</v>
      </c>
      <c r="C106" s="2022"/>
      <c r="D106" s="1789">
        <v>2.9</v>
      </c>
      <c r="E106" s="1443"/>
      <c r="F106" s="1789">
        <v>1.4</v>
      </c>
      <c r="G106" s="1443"/>
      <c r="H106" s="1789">
        <v>0.29999999999999982</v>
      </c>
      <c r="I106" s="1443"/>
      <c r="J106" s="1789">
        <v>2.7000000000000006</v>
      </c>
      <c r="K106" s="1998"/>
      <c r="L106" s="1789">
        <v>7.8999999999999968</v>
      </c>
      <c r="M106" s="1998"/>
      <c r="N106" s="1789">
        <v>14.100000000000007</v>
      </c>
      <c r="O106" s="1998"/>
      <c r="P106" s="1789">
        <v>7.300000000000006</v>
      </c>
      <c r="Q106" s="1998"/>
      <c r="R106" s="1789">
        <v>3.6999999999999886</v>
      </c>
      <c r="S106" s="1998"/>
      <c r="T106" s="1789">
        <v>45.6</v>
      </c>
      <c r="U106" s="1998"/>
      <c r="V106" s="1789">
        <f t="shared" si="17"/>
        <v>7.5999999999999943</v>
      </c>
      <c r="W106" s="1998"/>
      <c r="X106" s="1789"/>
      <c r="Y106" s="1998"/>
      <c r="Z106" s="1789"/>
      <c r="AA106" s="1999"/>
      <c r="AB106" s="2002"/>
      <c r="AC106" s="1805">
        <v>93.5</v>
      </c>
      <c r="AD106" s="2041"/>
      <c r="AE106" s="2002" t="s">
        <v>15</v>
      </c>
      <c r="AF106" s="1805">
        <v>143.1</v>
      </c>
      <c r="AG106" s="2006"/>
      <c r="AH106" s="2476" t="s">
        <v>15</v>
      </c>
      <c r="AI106" s="1443">
        <f t="shared" si="18"/>
        <v>-49.6</v>
      </c>
      <c r="AJ106" s="2477"/>
      <c r="AK106" s="1438">
        <f t="shared" si="19"/>
        <v>-0.34699999999999998</v>
      </c>
    </row>
    <row r="107" spans="1:39" ht="15" customHeight="1">
      <c r="A107" s="2451"/>
      <c r="B107" s="2460" t="s">
        <v>32</v>
      </c>
      <c r="C107" s="2022"/>
      <c r="D107" s="1789">
        <v>76.900000000000006</v>
      </c>
      <c r="E107" s="1443"/>
      <c r="F107" s="1789">
        <v>158</v>
      </c>
      <c r="G107" s="1443"/>
      <c r="H107" s="1789">
        <v>61.400000000000006</v>
      </c>
      <c r="I107" s="1443"/>
      <c r="J107" s="1789">
        <v>577.5</v>
      </c>
      <c r="K107" s="1998"/>
      <c r="L107" s="1789">
        <v>57.100000000000023</v>
      </c>
      <c r="M107" s="1998"/>
      <c r="N107" s="1789">
        <v>426.6999999999997</v>
      </c>
      <c r="O107" s="1998"/>
      <c r="P107" s="1789">
        <v>70.300000000000182</v>
      </c>
      <c r="Q107" s="1998"/>
      <c r="R107" s="1789">
        <v>222.29999999999995</v>
      </c>
      <c r="S107" s="1998"/>
      <c r="T107" s="1789">
        <v>167.29999999999995</v>
      </c>
      <c r="U107" s="1998"/>
      <c r="V107" s="1789">
        <f t="shared" si="17"/>
        <v>154.10000000000002</v>
      </c>
      <c r="W107" s="1998"/>
      <c r="X107" s="1789"/>
      <c r="Y107" s="1998"/>
      <c r="Z107" s="1789"/>
      <c r="AA107" s="1999"/>
      <c r="AB107" s="2002"/>
      <c r="AC107" s="1805">
        <v>1971.6</v>
      </c>
      <c r="AD107" s="2041"/>
      <c r="AE107" s="2002" t="s">
        <v>15</v>
      </c>
      <c r="AF107" s="1805">
        <v>2007.3</v>
      </c>
      <c r="AG107" s="2006"/>
      <c r="AH107" s="2476"/>
      <c r="AI107" s="1443">
        <f t="shared" si="18"/>
        <v>-35.700000000000003</v>
      </c>
      <c r="AJ107" s="2477"/>
      <c r="AK107" s="1438">
        <f t="shared" si="19"/>
        <v>-1.7999999999999999E-2</v>
      </c>
      <c r="AM107" s="3917"/>
    </row>
    <row r="108" spans="1:39" ht="15" customHeight="1">
      <c r="A108" s="2451"/>
      <c r="B108" s="2460" t="s">
        <v>33</v>
      </c>
      <c r="C108" s="2022"/>
      <c r="D108" s="1789">
        <v>4.6000000000000005</v>
      </c>
      <c r="E108" s="1443"/>
      <c r="F108" s="1789">
        <v>6.7</v>
      </c>
      <c r="G108" s="1443"/>
      <c r="H108" s="1789">
        <v>4.6000000000000005</v>
      </c>
      <c r="I108" s="1443"/>
      <c r="J108" s="1789">
        <v>4.799999999999998</v>
      </c>
      <c r="K108" s="1998"/>
      <c r="L108" s="1789">
        <v>4.3</v>
      </c>
      <c r="M108" s="1998"/>
      <c r="N108" s="1789">
        <v>5.6000000000000023</v>
      </c>
      <c r="O108" s="1998"/>
      <c r="P108" s="1789">
        <v>9</v>
      </c>
      <c r="Q108" s="1998"/>
      <c r="R108" s="1789">
        <v>7.4999999999999964</v>
      </c>
      <c r="S108" s="1998"/>
      <c r="T108" s="1789">
        <v>10.100000000000005</v>
      </c>
      <c r="U108" s="1998"/>
      <c r="V108" s="1789">
        <f t="shared" si="17"/>
        <v>9</v>
      </c>
      <c r="W108" s="1998"/>
      <c r="X108" s="1789"/>
      <c r="Y108" s="1998"/>
      <c r="Z108" s="1789"/>
      <c r="AA108" s="1999"/>
      <c r="AB108" s="2002"/>
      <c r="AC108" s="1805">
        <v>66.2</v>
      </c>
      <c r="AD108" s="2041"/>
      <c r="AE108" s="2002" t="s">
        <v>15</v>
      </c>
      <c r="AF108" s="1805">
        <v>114.3</v>
      </c>
      <c r="AG108" s="2006"/>
      <c r="AH108" s="2476"/>
      <c r="AI108" s="1443">
        <f t="shared" si="18"/>
        <v>-48.1</v>
      </c>
      <c r="AJ108" s="2477"/>
      <c r="AK108" s="1438">
        <f t="shared" si="19"/>
        <v>-0.42099999999999999</v>
      </c>
    </row>
    <row r="109" spans="1:39" ht="15" customHeight="1">
      <c r="A109" s="2451"/>
      <c r="B109" s="2460" t="s">
        <v>34</v>
      </c>
      <c r="C109" s="2022"/>
      <c r="D109" s="1789">
        <v>0.1</v>
      </c>
      <c r="E109" s="1443"/>
      <c r="F109" s="1789">
        <v>0</v>
      </c>
      <c r="G109" s="1443"/>
      <c r="H109" s="1789">
        <v>0</v>
      </c>
      <c r="I109" s="1443"/>
      <c r="J109" s="1789">
        <v>24.5</v>
      </c>
      <c r="K109" s="1998"/>
      <c r="L109" s="1789">
        <v>12.699999999999996</v>
      </c>
      <c r="M109" s="1998"/>
      <c r="N109" s="1789">
        <v>2</v>
      </c>
      <c r="O109" s="1998"/>
      <c r="P109" s="1789">
        <v>2.9000000000000057</v>
      </c>
      <c r="Q109" s="1998"/>
      <c r="R109" s="1789">
        <v>13.899999999999999</v>
      </c>
      <c r="S109" s="1998"/>
      <c r="T109" s="1789">
        <v>24.300000000000011</v>
      </c>
      <c r="U109" s="1998"/>
      <c r="V109" s="1789">
        <f t="shared" si="17"/>
        <v>0</v>
      </c>
      <c r="W109" s="1998"/>
      <c r="X109" s="1789"/>
      <c r="Y109" s="1998"/>
      <c r="Z109" s="1789"/>
      <c r="AA109" s="1999"/>
      <c r="AB109" s="2002"/>
      <c r="AC109" s="1805">
        <v>80.400000000000006</v>
      </c>
      <c r="AD109" s="2041"/>
      <c r="AE109" s="2002" t="s">
        <v>15</v>
      </c>
      <c r="AF109" s="1805">
        <v>97.5</v>
      </c>
      <c r="AG109" s="2038"/>
      <c r="AH109" s="2497"/>
      <c r="AI109" s="1443">
        <f t="shared" si="18"/>
        <v>-17.100000000000001</v>
      </c>
      <c r="AJ109" s="2498"/>
      <c r="AK109" s="1438">
        <f>ROUND(IF(AF109=0,1,AI109/ABS(AF109)),3)</f>
        <v>-0.17499999999999999</v>
      </c>
    </row>
    <row r="110" spans="1:39" ht="15" customHeight="1">
      <c r="A110" s="2451"/>
      <c r="B110" s="2469" t="s">
        <v>973</v>
      </c>
      <c r="C110" s="2022"/>
      <c r="D110" s="2042">
        <f>ROUND(SUM(D100:D109),1)</f>
        <v>1138.9000000000001</v>
      </c>
      <c r="E110" s="1461"/>
      <c r="F110" s="2042">
        <f>ROUND(SUM(F100:F109),1)</f>
        <v>5527.8</v>
      </c>
      <c r="G110" s="1461"/>
      <c r="H110" s="2042">
        <f>ROUND(SUM(H100:H109),1)</f>
        <v>6378.8</v>
      </c>
      <c r="I110" s="1444"/>
      <c r="J110" s="1460">
        <f>ROUND(SUM(J100:J109),1)</f>
        <v>2839.9</v>
      </c>
      <c r="K110" s="1444"/>
      <c r="L110" s="2042">
        <f>ROUND(SUM(L100:L109),1)</f>
        <v>2443.3000000000002</v>
      </c>
      <c r="M110" s="1444"/>
      <c r="N110" s="2042">
        <f>ROUND(SUM(N100:N109),1)</f>
        <v>3933.4</v>
      </c>
      <c r="O110" s="1444"/>
      <c r="P110" s="1460">
        <f>ROUND(SUM(P100:P109),1)</f>
        <v>2396.1999999999998</v>
      </c>
      <c r="Q110" s="1444"/>
      <c r="R110" s="2042">
        <f>ROUND(SUM(R100:R109),1)</f>
        <v>2891</v>
      </c>
      <c r="S110" s="1444"/>
      <c r="T110" s="2042">
        <f>ROUND(SUM(T100:T109),1)</f>
        <v>4625.3</v>
      </c>
      <c r="U110" s="1444"/>
      <c r="V110" s="2042">
        <f>ROUND(SUM(V100:V109),1)</f>
        <v>1894.7</v>
      </c>
      <c r="W110" s="1444"/>
      <c r="X110" s="2042">
        <f>ROUND(SUM(X100:X109),1)</f>
        <v>0</v>
      </c>
      <c r="Y110" s="1444"/>
      <c r="Z110" s="2042">
        <f>ROUND(SUM(Z100:Z109),1)</f>
        <v>0</v>
      </c>
      <c r="AA110" s="2053"/>
      <c r="AB110" s="2049"/>
      <c r="AC110" s="1460">
        <f>SUM(AC100:AC109)</f>
        <v>34069.299999999996</v>
      </c>
      <c r="AD110" s="2050"/>
      <c r="AE110" s="3158" t="s">
        <v>15</v>
      </c>
      <c r="AF110" s="1460">
        <f>ROUND(SUM(AF100:AF109),1)</f>
        <v>39304.300000000003</v>
      </c>
      <c r="AG110" s="1444"/>
      <c r="AH110" s="2480"/>
      <c r="AI110" s="2042">
        <f>ROUND(SUM(+AC110-AF110),1)</f>
        <v>-5235</v>
      </c>
      <c r="AJ110" s="1444"/>
      <c r="AK110" s="2499">
        <f>ROUND(SUM(AI110/AF110),3)</f>
        <v>-0.13300000000000001</v>
      </c>
    </row>
    <row r="111" spans="1:39" ht="15" customHeight="1">
      <c r="A111" s="2451"/>
      <c r="B111" s="2044" t="s">
        <v>152</v>
      </c>
      <c r="C111" s="2022"/>
      <c r="D111" s="1443"/>
      <c r="E111" s="1443"/>
      <c r="F111" s="1443"/>
      <c r="G111" s="1443"/>
      <c r="H111" s="1443"/>
      <c r="I111" s="1443"/>
      <c r="J111" s="2000"/>
      <c r="K111" s="2006"/>
      <c r="L111" s="2006"/>
      <c r="M111" s="2006"/>
      <c r="N111" s="2006"/>
      <c r="O111" s="2006"/>
      <c r="P111" s="1995"/>
      <c r="Q111" s="2006"/>
      <c r="R111" s="2006"/>
      <c r="S111" s="2006"/>
      <c r="T111" s="2006"/>
      <c r="U111" s="2006"/>
      <c r="V111" s="2006"/>
      <c r="W111" s="2006"/>
      <c r="X111" s="2006"/>
      <c r="Y111" s="2006"/>
      <c r="Z111" s="2006"/>
      <c r="AA111" s="1463"/>
      <c r="AB111" s="2046"/>
      <c r="AC111" s="2000"/>
      <c r="AD111" s="1995"/>
      <c r="AE111" s="1997"/>
      <c r="AF111" s="1995"/>
      <c r="AG111" s="2006"/>
      <c r="AH111" s="2476"/>
      <c r="AI111" s="1443"/>
      <c r="AJ111" s="2477"/>
      <c r="AK111" s="1432"/>
    </row>
    <row r="112" spans="1:39" ht="15" customHeight="1">
      <c r="A112" s="2451"/>
      <c r="B112" s="2044" t="s">
        <v>153</v>
      </c>
      <c r="C112" s="2022"/>
      <c r="D112" s="1789">
        <v>893.7</v>
      </c>
      <c r="E112" s="1443"/>
      <c r="F112" s="1789">
        <v>691.3</v>
      </c>
      <c r="G112" s="1443"/>
      <c r="H112" s="1789">
        <v>564.59999999999991</v>
      </c>
      <c r="I112" s="1443"/>
      <c r="J112" s="1789">
        <v>738.80000000000018</v>
      </c>
      <c r="K112" s="1998"/>
      <c r="L112" s="1789">
        <v>663.19999999999959</v>
      </c>
      <c r="M112" s="1998"/>
      <c r="N112" s="1789">
        <v>835.8</v>
      </c>
      <c r="O112" s="1998"/>
      <c r="P112" s="1789">
        <v>598</v>
      </c>
      <c r="Q112" s="1998"/>
      <c r="R112" s="1789">
        <v>615.30000000000041</v>
      </c>
      <c r="S112" s="1998"/>
      <c r="T112" s="1789">
        <v>-485.50000000000023</v>
      </c>
      <c r="U112" s="1998"/>
      <c r="V112" s="1789">
        <f t="shared" ref="V112:V114" si="20">$AC112-$D112-$F112-$H112-$J112-$L112-$N112-$P112-$R112-$T112</f>
        <v>594.60000000000059</v>
      </c>
      <c r="W112" s="1998"/>
      <c r="X112" s="1789"/>
      <c r="Y112" s="1998"/>
      <c r="Z112" s="1789"/>
      <c r="AA112" s="1999"/>
      <c r="AB112" s="2002"/>
      <c r="AC112" s="1805">
        <v>5709.8</v>
      </c>
      <c r="AD112" s="2041"/>
      <c r="AE112" s="2002" t="s">
        <v>15</v>
      </c>
      <c r="AF112" s="1805">
        <v>7634.1</v>
      </c>
      <c r="AG112" s="2006"/>
      <c r="AH112" s="2476"/>
      <c r="AI112" s="1443">
        <f>ROUND(SUM(+AC112-AF112),1)</f>
        <v>-1924.3</v>
      </c>
      <c r="AJ112" s="2477"/>
      <c r="AK112" s="1438">
        <f>ROUND(IF(AF112=0,0,AI112/ABS(AF112)),3)</f>
        <v>-0.252</v>
      </c>
    </row>
    <row r="113" spans="1:38" ht="15" customHeight="1">
      <c r="A113" s="2451"/>
      <c r="B113" s="2500" t="s">
        <v>154</v>
      </c>
      <c r="C113" s="2022"/>
      <c r="D113" s="1789">
        <v>313.2</v>
      </c>
      <c r="E113" s="1443"/>
      <c r="F113" s="1789">
        <v>195.2</v>
      </c>
      <c r="G113" s="1443"/>
      <c r="H113" s="1789">
        <v>165</v>
      </c>
      <c r="I113" s="1443"/>
      <c r="J113" s="1789">
        <v>-506.7</v>
      </c>
      <c r="K113" s="1998"/>
      <c r="L113" s="1789">
        <v>222.40000000000003</v>
      </c>
      <c r="M113" s="1998"/>
      <c r="N113" s="1789">
        <v>260.69999999999993</v>
      </c>
      <c r="O113" s="1998"/>
      <c r="P113" s="1789">
        <v>183.60000000000008</v>
      </c>
      <c r="Q113" s="1998"/>
      <c r="R113" s="1789">
        <v>192.69999999999976</v>
      </c>
      <c r="S113" s="1998"/>
      <c r="T113" s="1789">
        <v>241.10000000000014</v>
      </c>
      <c r="U113" s="1998"/>
      <c r="V113" s="1789">
        <f t="shared" si="20"/>
        <v>219.10000000000019</v>
      </c>
      <c r="W113" s="1998"/>
      <c r="X113" s="1789"/>
      <c r="Y113" s="1998"/>
      <c r="Z113" s="1789"/>
      <c r="AA113" s="1999"/>
      <c r="AB113" s="2002"/>
      <c r="AC113" s="1805">
        <v>1486.3000000000002</v>
      </c>
      <c r="AD113" s="2041"/>
      <c r="AE113" s="2002" t="s">
        <v>15</v>
      </c>
      <c r="AF113" s="1805">
        <v>2044.7</v>
      </c>
      <c r="AG113" s="2006"/>
      <c r="AH113" s="2476"/>
      <c r="AI113" s="1443">
        <f>ROUND(SUM(+AC113-AF113),1)</f>
        <v>-558.4</v>
      </c>
      <c r="AJ113" s="2477"/>
      <c r="AK113" s="1438">
        <f>ROUND(IF(AF113=0,0,AI113/ABS(AF113)),3)</f>
        <v>-0.27300000000000002</v>
      </c>
    </row>
    <row r="114" spans="1:38" ht="15" customHeight="1">
      <c r="A114" s="2451"/>
      <c r="B114" s="2500" t="s">
        <v>155</v>
      </c>
      <c r="C114" s="2022"/>
      <c r="D114" s="1789">
        <v>460.2</v>
      </c>
      <c r="E114" s="2484"/>
      <c r="F114" s="1789">
        <v>330.50000000000006</v>
      </c>
      <c r="G114" s="2484"/>
      <c r="H114" s="1789">
        <v>2511.9</v>
      </c>
      <c r="I114" s="1443"/>
      <c r="J114" s="1789">
        <v>335.90000000000009</v>
      </c>
      <c r="K114" s="1998"/>
      <c r="L114" s="1789">
        <v>271.09999999999991</v>
      </c>
      <c r="M114" s="1998"/>
      <c r="N114" s="1789">
        <v>476.29999999999973</v>
      </c>
      <c r="O114" s="1998"/>
      <c r="P114" s="1789">
        <v>387.40000000000055</v>
      </c>
      <c r="Q114" s="1998"/>
      <c r="R114" s="1789">
        <v>342.09999999999945</v>
      </c>
      <c r="S114" s="1998"/>
      <c r="T114" s="1789">
        <v>262.30000000000018</v>
      </c>
      <c r="U114" s="1998"/>
      <c r="V114" s="1789">
        <f t="shared" si="20"/>
        <v>-277.19999999999982</v>
      </c>
      <c r="W114" s="1998"/>
      <c r="X114" s="1789"/>
      <c r="Y114" s="1998"/>
      <c r="Z114" s="1789"/>
      <c r="AA114" s="1999"/>
      <c r="AB114" s="2002"/>
      <c r="AC114" s="1805">
        <v>5100.5</v>
      </c>
      <c r="AD114" s="2041"/>
      <c r="AE114" s="2002" t="s">
        <v>15</v>
      </c>
      <c r="AF114" s="1805">
        <v>6566.1</v>
      </c>
      <c r="AG114" s="2007"/>
      <c r="AH114" s="2476"/>
      <c r="AI114" s="2491">
        <f>ROUND(SUM(+AC114-AF114),1)</f>
        <v>-1465.6</v>
      </c>
      <c r="AJ114" s="2477"/>
      <c r="AK114" s="1441">
        <f>ROUND(IF(AF114=0,0,AI114/ABS(AF114)),3)</f>
        <v>-0.223</v>
      </c>
    </row>
    <row r="115" spans="1:38" ht="7.5" customHeight="1">
      <c r="A115" s="2451"/>
      <c r="B115" s="2044"/>
      <c r="C115" s="2022"/>
      <c r="D115" s="2493"/>
      <c r="E115" s="1443"/>
      <c r="F115" s="2493"/>
      <c r="G115" s="1443"/>
      <c r="H115" s="2493"/>
      <c r="I115" s="1443"/>
      <c r="J115" s="2494"/>
      <c r="K115" s="2006"/>
      <c r="L115" s="2005"/>
      <c r="M115" s="2006"/>
      <c r="N115" s="2005"/>
      <c r="O115" s="2006"/>
      <c r="P115" s="2051"/>
      <c r="Q115" s="2006"/>
      <c r="R115" s="2149"/>
      <c r="S115" s="2006"/>
      <c r="T115" s="2005"/>
      <c r="U115" s="2006"/>
      <c r="V115" s="2005"/>
      <c r="W115" s="2006"/>
      <c r="X115" s="2005"/>
      <c r="Y115" s="2006"/>
      <c r="Z115" s="2005"/>
      <c r="AA115" s="2013"/>
      <c r="AB115" s="2046"/>
      <c r="AC115" s="3159"/>
      <c r="AD115" s="1995"/>
      <c r="AE115" s="1997"/>
      <c r="AF115" s="2051"/>
      <c r="AG115" s="2007"/>
      <c r="AH115" s="2476"/>
      <c r="AI115" s="1443"/>
      <c r="AJ115" s="2477"/>
      <c r="AK115" s="1432"/>
    </row>
    <row r="116" spans="1:38" ht="15" customHeight="1">
      <c r="A116" s="2451"/>
      <c r="B116" s="2427" t="s">
        <v>156</v>
      </c>
      <c r="C116" s="2022"/>
      <c r="D116" s="1461">
        <f>ROUND(SUM(D112:D114)+D110,1)</f>
        <v>2806</v>
      </c>
      <c r="E116" s="1461"/>
      <c r="F116" s="1461">
        <f>ROUND(SUM(F110:F114),1)</f>
        <v>6744.8</v>
      </c>
      <c r="G116" s="1461"/>
      <c r="H116" s="1461">
        <f>ROUND(SUM(H110:H114),1)</f>
        <v>9620.2999999999993</v>
      </c>
      <c r="I116" s="1461"/>
      <c r="J116" s="2050">
        <f>ROUND(SUM(J110:J114),1)</f>
        <v>3407.9</v>
      </c>
      <c r="K116" s="1461"/>
      <c r="L116" s="1461">
        <f>ROUND(SUM(L110:L114),1)</f>
        <v>3600</v>
      </c>
      <c r="M116" s="1461"/>
      <c r="N116" s="1461">
        <f>ROUND(SUM(N110:N114),1)</f>
        <v>5506.2</v>
      </c>
      <c r="O116" s="1461"/>
      <c r="P116" s="2050">
        <f>ROUND(SUM(P110:P114),1)</f>
        <v>3565.2</v>
      </c>
      <c r="Q116" s="1461"/>
      <c r="R116" s="1461">
        <f>ROUND(SUM(R110:R114),1)</f>
        <v>4041.1</v>
      </c>
      <c r="S116" s="1461"/>
      <c r="T116" s="1461">
        <f>ROUND(SUM(T110:T114),1)</f>
        <v>4643.2</v>
      </c>
      <c r="U116" s="1461"/>
      <c r="V116" s="1461">
        <f>ROUND(SUM(V110:V114),1)</f>
        <v>2431.1999999999998</v>
      </c>
      <c r="W116" s="1461"/>
      <c r="X116" s="1461">
        <f>ROUND(SUM(X110:X114),1)</f>
        <v>0</v>
      </c>
      <c r="Y116" s="1461"/>
      <c r="Z116" s="1461">
        <f>ROUND(SUM(Z110:Z114),1)</f>
        <v>0</v>
      </c>
      <c r="AA116" s="2053"/>
      <c r="AB116" s="2049"/>
      <c r="AC116" s="2050">
        <f>ROUND(SUM(AC110:AC114),1)</f>
        <v>46365.9</v>
      </c>
      <c r="AD116" s="2050"/>
      <c r="AE116" s="3158"/>
      <c r="AF116" s="2050">
        <f>ROUND(SUM(AF110:AF114),1)</f>
        <v>55549.2</v>
      </c>
      <c r="AG116" s="1444"/>
      <c r="AH116" s="2480"/>
      <c r="AI116" s="1559">
        <f>ROUND(SUM(AI110:AI114),1)</f>
        <v>-9183.2999999999993</v>
      </c>
      <c r="AJ116" s="1444"/>
      <c r="AK116" s="2501">
        <f>ROUND(SUM(AI116/AF116),3)</f>
        <v>-0.16500000000000001</v>
      </c>
    </row>
    <row r="117" spans="1:38" ht="15" customHeight="1">
      <c r="A117" s="2451"/>
      <c r="B117" s="2044"/>
      <c r="C117" s="2022"/>
      <c r="D117" s="2493"/>
      <c r="E117" s="1443"/>
      <c r="F117" s="2493"/>
      <c r="G117" s="1443"/>
      <c r="H117" s="2493"/>
      <c r="I117" s="1443"/>
      <c r="J117" s="2494"/>
      <c r="K117" s="2006"/>
      <c r="L117" s="2005"/>
      <c r="M117" s="2006"/>
      <c r="N117" s="2005"/>
      <c r="O117" s="2006"/>
      <c r="P117" s="2051"/>
      <c r="Q117" s="2006"/>
      <c r="R117" s="2005"/>
      <c r="S117" s="2006"/>
      <c r="T117" s="2005"/>
      <c r="U117" s="2006"/>
      <c r="V117" s="2005"/>
      <c r="W117" s="2006"/>
      <c r="X117" s="2005"/>
      <c r="Y117" s="2006"/>
      <c r="Z117" s="2005"/>
      <c r="AA117" s="2013"/>
      <c r="AB117" s="2046"/>
      <c r="AC117" s="3159"/>
      <c r="AD117" s="1995"/>
      <c r="AE117" s="1997"/>
      <c r="AF117" s="2051"/>
      <c r="AG117" s="2007"/>
      <c r="AH117" s="2476"/>
      <c r="AI117" s="1443"/>
      <c r="AJ117" s="2477"/>
      <c r="AK117" s="1432"/>
    </row>
    <row r="118" spans="1:38" ht="15" customHeight="1">
      <c r="A118" s="2451"/>
      <c r="B118" s="2427" t="s">
        <v>157</v>
      </c>
      <c r="C118" s="2022"/>
      <c r="D118" s="1443"/>
      <c r="E118" s="1443"/>
      <c r="F118" s="1443"/>
      <c r="G118" s="1443"/>
      <c r="H118" s="1443"/>
      <c r="I118" s="1443"/>
      <c r="J118" s="2000"/>
      <c r="K118" s="2006"/>
      <c r="L118" s="2006"/>
      <c r="M118" s="2006"/>
      <c r="N118" s="2006"/>
      <c r="O118" s="2006"/>
      <c r="P118" s="1995"/>
      <c r="Q118" s="2006"/>
      <c r="R118" s="2006"/>
      <c r="S118" s="2006"/>
      <c r="T118" s="2006"/>
      <c r="U118" s="2006"/>
      <c r="V118" s="2006"/>
      <c r="W118" s="2006"/>
      <c r="X118" s="2006"/>
      <c r="Y118" s="2006"/>
      <c r="Z118" s="2006"/>
      <c r="AA118" s="1463"/>
      <c r="AB118" s="2046"/>
      <c r="AC118" s="2000"/>
      <c r="AD118" s="1995"/>
      <c r="AE118" s="1997"/>
      <c r="AF118" s="1995"/>
      <c r="AG118" s="2006"/>
      <c r="AH118" s="2476"/>
      <c r="AI118" s="1443"/>
      <c r="AJ118" s="2477"/>
      <c r="AK118" s="1432"/>
    </row>
    <row r="119" spans="1:38" ht="15" customHeight="1">
      <c r="A119" s="2451"/>
      <c r="B119" s="2427" t="s">
        <v>45</v>
      </c>
      <c r="C119" s="2022"/>
      <c r="D119" s="1461">
        <f>ROUND(SUM(D96-D116),1)</f>
        <v>-923.4</v>
      </c>
      <c r="E119" s="1461"/>
      <c r="F119" s="1461">
        <f>ROUND(SUM(F96-F116),1)</f>
        <v>-4050.3</v>
      </c>
      <c r="G119" s="1461"/>
      <c r="H119" s="1461">
        <f>ROUND(SUM(H96-H116),1)</f>
        <v>-1989</v>
      </c>
      <c r="I119" s="1461"/>
      <c r="J119" s="2050">
        <f>ROUND(SUM(J96-J116),1)</f>
        <v>3283.9</v>
      </c>
      <c r="K119" s="1461"/>
      <c r="L119" s="1461">
        <f>ROUND(SUM(L96-L116),1)</f>
        <v>-1351.3</v>
      </c>
      <c r="M119" s="1461"/>
      <c r="N119" s="1461">
        <f>ROUND(SUM(N96-N116),1)</f>
        <v>-564.6</v>
      </c>
      <c r="O119" s="1461"/>
      <c r="P119" s="2050">
        <f>ROUND(SUM(P96-P116),1)</f>
        <v>-1304.4000000000001</v>
      </c>
      <c r="Q119" s="1461"/>
      <c r="R119" s="1461">
        <f>ROUND(SUM(R96-R116),1)</f>
        <v>-1504.6</v>
      </c>
      <c r="S119" s="1461"/>
      <c r="T119" s="1461">
        <f>ROUND(SUM(T96-T116),1)</f>
        <v>239.7</v>
      </c>
      <c r="U119" s="1461"/>
      <c r="V119" s="1461">
        <f>ROUND(SUM(V96-V116),1)</f>
        <v>1378.4</v>
      </c>
      <c r="W119" s="1461"/>
      <c r="X119" s="1461">
        <f>ROUND(SUM(X96-X116),1)</f>
        <v>0</v>
      </c>
      <c r="Y119" s="1461"/>
      <c r="Z119" s="1461">
        <f>ROUND(SUM(Z96-Z116),1)</f>
        <v>0</v>
      </c>
      <c r="AA119" s="2053"/>
      <c r="AB119" s="2049"/>
      <c r="AC119" s="2050">
        <f>ROUND(SUM(AC96-AC116),1)</f>
        <v>-6785.6</v>
      </c>
      <c r="AD119" s="2050"/>
      <c r="AE119" s="3158"/>
      <c r="AF119" s="2050">
        <f>ROUND(SUM(AF96-AF116),1)</f>
        <v>-19717.400000000001</v>
      </c>
      <c r="AG119" s="1461"/>
      <c r="AH119" s="2480"/>
      <c r="AI119" s="2052">
        <f>ROUND(SUM(+AC119-AF119),1)</f>
        <v>12931.8</v>
      </c>
      <c r="AJ119" s="1444"/>
      <c r="AK119" s="2507">
        <f>-ROUND(AI119/AF119,3)</f>
        <v>0.65600000000000003</v>
      </c>
    </row>
    <row r="120" spans="1:38" ht="15" customHeight="1">
      <c r="A120" s="2451"/>
      <c r="B120" s="2044"/>
      <c r="C120" s="2022"/>
      <c r="D120" s="2493"/>
      <c r="E120" s="1443"/>
      <c r="F120" s="2493"/>
      <c r="G120" s="1443"/>
      <c r="H120" s="2493"/>
      <c r="I120" s="1443"/>
      <c r="J120" s="2494"/>
      <c r="K120" s="2006"/>
      <c r="L120" s="2005"/>
      <c r="M120" s="2006"/>
      <c r="N120" s="2005"/>
      <c r="O120" s="2006"/>
      <c r="P120" s="2051"/>
      <c r="Q120" s="2006"/>
      <c r="R120" s="2005"/>
      <c r="S120" s="2006"/>
      <c r="T120" s="2005"/>
      <c r="U120" s="2006"/>
      <c r="V120" s="2005"/>
      <c r="W120" s="2006"/>
      <c r="X120" s="2005"/>
      <c r="Y120" s="2006"/>
      <c r="Z120" s="2005"/>
      <c r="AA120" s="2013"/>
      <c r="AB120" s="2046"/>
      <c r="AC120" s="3159"/>
      <c r="AD120" s="1995"/>
      <c r="AE120" s="1997"/>
      <c r="AF120" s="2051"/>
      <c r="AG120" s="2005"/>
      <c r="AH120" s="2476"/>
      <c r="AI120" s="1443"/>
      <c r="AJ120" s="2477"/>
      <c r="AK120" s="1432"/>
    </row>
    <row r="121" spans="1:38" ht="15" customHeight="1">
      <c r="A121" s="2451"/>
      <c r="B121" s="2427" t="s">
        <v>46</v>
      </c>
      <c r="C121" s="2022"/>
      <c r="D121" s="1443"/>
      <c r="E121" s="1443"/>
      <c r="F121" s="1443"/>
      <c r="G121" s="1443"/>
      <c r="H121" s="1443"/>
      <c r="I121" s="1443"/>
      <c r="J121" s="2000"/>
      <c r="K121" s="2006"/>
      <c r="L121" s="2006"/>
      <c r="M121" s="2006"/>
      <c r="N121" s="2006"/>
      <c r="O121" s="2006"/>
      <c r="P121" s="1995"/>
      <c r="Q121" s="2006"/>
      <c r="R121" s="2006"/>
      <c r="S121" s="2006"/>
      <c r="T121" s="2006"/>
      <c r="U121" s="2006"/>
      <c r="V121" s="2006"/>
      <c r="W121" s="2006"/>
      <c r="X121" s="2006"/>
      <c r="Y121" s="2006"/>
      <c r="Z121" s="2006"/>
      <c r="AA121" s="1463"/>
      <c r="AB121" s="2046"/>
      <c r="AC121" s="2000"/>
      <c r="AD121" s="1995"/>
      <c r="AE121" s="1997"/>
      <c r="AF121" s="1995"/>
      <c r="AG121" s="2006"/>
      <c r="AH121" s="2476"/>
      <c r="AI121" s="1443"/>
      <c r="AJ121" s="2477"/>
      <c r="AK121" s="1432"/>
    </row>
    <row r="122" spans="1:38" ht="15" customHeight="1">
      <c r="A122" s="2451"/>
      <c r="B122" s="2427"/>
      <c r="C122" s="2022"/>
      <c r="D122" s="1443"/>
      <c r="E122" s="1443"/>
      <c r="F122" s="1443"/>
      <c r="G122" s="1443"/>
      <c r="H122" s="1443"/>
      <c r="I122" s="1443"/>
      <c r="J122" s="2000"/>
      <c r="K122" s="2006"/>
      <c r="L122" s="2006"/>
      <c r="M122" s="2006"/>
      <c r="N122" s="2006"/>
      <c r="O122" s="2006"/>
      <c r="P122" s="1995"/>
      <c r="Q122" s="2006"/>
      <c r="R122" s="2006"/>
      <c r="S122" s="2006"/>
      <c r="T122" s="2006"/>
      <c r="U122" s="2006"/>
      <c r="V122" s="2006"/>
      <c r="W122" s="2006"/>
      <c r="X122" s="2006"/>
      <c r="Y122" s="2006"/>
      <c r="Z122" s="2006"/>
      <c r="AA122" s="1463"/>
      <c r="AB122" s="2046"/>
      <c r="AC122" s="2000"/>
      <c r="AD122" s="1995"/>
      <c r="AE122" s="1997"/>
      <c r="AF122" s="1995"/>
      <c r="AG122" s="2006"/>
      <c r="AH122" s="2476"/>
      <c r="AI122" s="1443"/>
      <c r="AJ122" s="2477"/>
      <c r="AK122" s="1432"/>
    </row>
    <row r="123" spans="1:38" ht="15" customHeight="1">
      <c r="A123" s="2451"/>
      <c r="B123" s="2502" t="s">
        <v>984</v>
      </c>
      <c r="C123" s="2185"/>
      <c r="D123" s="1789">
        <v>1032.9000000000001</v>
      </c>
      <c r="E123" s="2000"/>
      <c r="F123" s="1789">
        <v>1098.9000000000001</v>
      </c>
      <c r="G123" s="2000"/>
      <c r="H123" s="1789">
        <v>2178.3000000000002</v>
      </c>
      <c r="I123" s="2000"/>
      <c r="J123" s="1789">
        <v>4323.6000000000013</v>
      </c>
      <c r="K123" s="1998"/>
      <c r="L123" s="1789">
        <v>487.1</v>
      </c>
      <c r="M123" s="1998"/>
      <c r="N123" s="1789">
        <v>1889.599999999999</v>
      </c>
      <c r="O123" s="1998"/>
      <c r="P123" s="1789">
        <v>665.89999999999964</v>
      </c>
      <c r="Q123" s="1998"/>
      <c r="R123" s="1789">
        <v>518.5</v>
      </c>
      <c r="S123" s="1998"/>
      <c r="T123" s="1789">
        <v>2027.4000000000019</v>
      </c>
      <c r="U123" s="1998"/>
      <c r="V123" s="1789">
        <f t="shared" ref="V123:V130" si="21">$AC123-$D123-$F123-$H123-$J123-$L123-$N123-$P123-$R123-$T123</f>
        <v>1373.4999999999995</v>
      </c>
      <c r="W123" s="1998"/>
      <c r="X123" s="1789"/>
      <c r="Y123" s="1998"/>
      <c r="Z123" s="1789"/>
      <c r="AA123" s="1999"/>
      <c r="AB123" s="2002"/>
      <c r="AC123" s="1805">
        <v>15595.7</v>
      </c>
      <c r="AD123" s="2041"/>
      <c r="AE123" s="2002" t="s">
        <v>15</v>
      </c>
      <c r="AF123" s="1805">
        <v>21503.599999999999</v>
      </c>
      <c r="AG123" s="1995"/>
      <c r="AH123" s="2476"/>
      <c r="AI123" s="1443">
        <f>ROUND(SUM(+AC123-AF123),1)</f>
        <v>-5907.9</v>
      </c>
      <c r="AJ123" s="2477"/>
      <c r="AK123" s="1438">
        <f t="shared" ref="AK123:AK127" si="22">ROUND(IF(AF123=0,0,AI123/ABS(AF123)),3)</f>
        <v>-0.27500000000000002</v>
      </c>
    </row>
    <row r="124" spans="1:38" s="2419" customFormat="1" ht="15" customHeight="1">
      <c r="A124" s="2464"/>
      <c r="B124" s="2502" t="s">
        <v>1004</v>
      </c>
      <c r="C124" s="2185"/>
      <c r="D124" s="1789">
        <v>284.60000000000002</v>
      </c>
      <c r="E124" s="2000"/>
      <c r="F124" s="1789">
        <v>162.19999999999999</v>
      </c>
      <c r="G124" s="2000"/>
      <c r="H124" s="1789">
        <v>560.40000000000009</v>
      </c>
      <c r="I124" s="2000"/>
      <c r="J124" s="1789">
        <v>420.09999999999968</v>
      </c>
      <c r="K124" s="1998"/>
      <c r="L124" s="1789">
        <v>426.70000000000027</v>
      </c>
      <c r="M124" s="1998"/>
      <c r="N124" s="1789">
        <v>656.40000000000032</v>
      </c>
      <c r="O124" s="1998"/>
      <c r="P124" s="1789">
        <v>440.19999999999982</v>
      </c>
      <c r="Q124" s="1998"/>
      <c r="R124" s="1789">
        <v>435.40000000000009</v>
      </c>
      <c r="S124" s="1998"/>
      <c r="T124" s="1789">
        <v>597.09999999999968</v>
      </c>
      <c r="U124" s="1998"/>
      <c r="V124" s="1789">
        <f t="shared" si="21"/>
        <v>488.09999999999945</v>
      </c>
      <c r="W124" s="1998"/>
      <c r="X124" s="1789"/>
      <c r="Y124" s="1998"/>
      <c r="Z124" s="1789"/>
      <c r="AA124" s="1999"/>
      <c r="AB124" s="2002"/>
      <c r="AC124" s="1805">
        <v>4471.2</v>
      </c>
      <c r="AD124" s="2041"/>
      <c r="AE124" s="2002" t="s">
        <v>15</v>
      </c>
      <c r="AF124" s="1805">
        <v>5544.4000000000005</v>
      </c>
      <c r="AG124" s="1995"/>
      <c r="AH124" s="2503"/>
      <c r="AI124" s="2000">
        <f>ROUND(SUM(+AC124-AF124),1)</f>
        <v>-1073.2</v>
      </c>
      <c r="AJ124" s="2041"/>
      <c r="AK124" s="1724">
        <f t="shared" si="22"/>
        <v>-0.19400000000000001</v>
      </c>
      <c r="AL124" s="2417"/>
    </row>
    <row r="125" spans="1:38" s="2419" customFormat="1" ht="15" customHeight="1">
      <c r="A125" s="2464"/>
      <c r="B125" s="2502" t="s">
        <v>985</v>
      </c>
      <c r="C125" s="2185"/>
      <c r="D125" s="1789">
        <v>43.8</v>
      </c>
      <c r="E125" s="2000"/>
      <c r="F125" s="1789">
        <v>48.399999999999991</v>
      </c>
      <c r="G125" s="2000"/>
      <c r="H125" s="1789">
        <v>37.5</v>
      </c>
      <c r="I125" s="2000"/>
      <c r="J125" s="1789">
        <v>50.499999999999986</v>
      </c>
      <c r="K125" s="1998"/>
      <c r="L125" s="1789">
        <v>52.300000000000026</v>
      </c>
      <c r="M125" s="1998"/>
      <c r="N125" s="1789">
        <v>66.100000000000023</v>
      </c>
      <c r="O125" s="1998"/>
      <c r="P125" s="1789">
        <v>61.79999999999994</v>
      </c>
      <c r="Q125" s="1998"/>
      <c r="R125" s="1789">
        <v>74.800000000000026</v>
      </c>
      <c r="S125" s="1998"/>
      <c r="T125" s="1789">
        <v>91.099999999999952</v>
      </c>
      <c r="U125" s="1998"/>
      <c r="V125" s="1789">
        <f t="shared" si="21"/>
        <v>106.90000000000016</v>
      </c>
      <c r="W125" s="1998"/>
      <c r="X125" s="1789"/>
      <c r="Y125" s="1998"/>
      <c r="Z125" s="1789"/>
      <c r="AA125" s="1999"/>
      <c r="AB125" s="2002"/>
      <c r="AC125" s="1805">
        <v>633.20000000000005</v>
      </c>
      <c r="AD125" s="2041"/>
      <c r="AE125" s="2002" t="s">
        <v>15</v>
      </c>
      <c r="AF125" s="1805">
        <v>810.3</v>
      </c>
      <c r="AG125" s="1995"/>
      <c r="AH125" s="2503"/>
      <c r="AI125" s="2000">
        <f>ROUND(SUM(+AC125-AF125),1)</f>
        <v>-177.1</v>
      </c>
      <c r="AJ125" s="2041"/>
      <c r="AK125" s="1724">
        <f t="shared" si="22"/>
        <v>-0.219</v>
      </c>
      <c r="AL125" s="2417"/>
    </row>
    <row r="126" spans="1:38" s="2419" customFormat="1" ht="15" customHeight="1">
      <c r="A126" s="2464"/>
      <c r="B126" s="2504" t="s">
        <v>159</v>
      </c>
      <c r="C126" s="2185"/>
      <c r="D126" s="1789">
        <v>74.899999999999935</v>
      </c>
      <c r="E126" s="2000"/>
      <c r="F126" s="1789">
        <v>193.60000000000008</v>
      </c>
      <c r="G126" s="2000"/>
      <c r="H126" s="1789">
        <v>83.499999999999602</v>
      </c>
      <c r="I126" s="2000"/>
      <c r="J126" s="1789">
        <v>126.50000000000045</v>
      </c>
      <c r="K126" s="1998"/>
      <c r="L126" s="1789">
        <v>195.3</v>
      </c>
      <c r="M126" s="1998"/>
      <c r="N126" s="1789">
        <v>151.5000000000008</v>
      </c>
      <c r="O126" s="1998"/>
      <c r="P126" s="1789">
        <v>45.000000000000284</v>
      </c>
      <c r="Q126" s="1998"/>
      <c r="R126" s="1789">
        <v>133.29999999999814</v>
      </c>
      <c r="S126" s="1998"/>
      <c r="T126" s="1789">
        <v>227.59999999999951</v>
      </c>
      <c r="U126" s="1998"/>
      <c r="V126" s="1789">
        <f t="shared" si="21"/>
        <v>135.30000000000155</v>
      </c>
      <c r="W126" s="1998"/>
      <c r="X126" s="1789"/>
      <c r="Y126" s="1998"/>
      <c r="Z126" s="1789"/>
      <c r="AA126" s="1999"/>
      <c r="AB126" s="2002"/>
      <c r="AC126" s="1805">
        <v>1366.5000000000002</v>
      </c>
      <c r="AD126" s="2041"/>
      <c r="AE126" s="2002" t="s">
        <v>15</v>
      </c>
      <c r="AF126" s="1805">
        <v>1541.5000000000002</v>
      </c>
      <c r="AG126" s="1995"/>
      <c r="AH126" s="2503"/>
      <c r="AI126" s="2000">
        <f>ROUND(SUM(+AC126-AF126),1)</f>
        <v>-175</v>
      </c>
      <c r="AJ126" s="2041"/>
      <c r="AK126" s="1729">
        <f t="shared" si="22"/>
        <v>-0.114</v>
      </c>
      <c r="AL126" s="2417"/>
    </row>
    <row r="127" spans="1:38" ht="15" customHeight="1">
      <c r="A127" s="2451" t="s">
        <v>15</v>
      </c>
      <c r="B127" s="2044" t="s">
        <v>160</v>
      </c>
      <c r="C127" s="2022"/>
      <c r="D127" s="1789">
        <v>800.3</v>
      </c>
      <c r="E127" s="1443"/>
      <c r="F127" s="1789">
        <v>-203.79999999999995</v>
      </c>
      <c r="G127" s="1443"/>
      <c r="H127" s="1789">
        <v>-312.39999999999998</v>
      </c>
      <c r="I127" s="1443"/>
      <c r="J127" s="1789">
        <v>-306.10000000000002</v>
      </c>
      <c r="K127" s="1998"/>
      <c r="L127" s="1789">
        <v>-565.60000000000014</v>
      </c>
      <c r="M127" s="1998"/>
      <c r="N127" s="1789">
        <v>-229.00000000000011</v>
      </c>
      <c r="O127" s="1998"/>
      <c r="P127" s="1789">
        <v>-90.799999999999727</v>
      </c>
      <c r="Q127" s="1998"/>
      <c r="R127" s="1789">
        <v>-859.99999999999966</v>
      </c>
      <c r="S127" s="1998"/>
      <c r="T127" s="1789">
        <v>-34.199999999999818</v>
      </c>
      <c r="U127" s="1998"/>
      <c r="V127" s="1789">
        <f t="shared" si="21"/>
        <v>-431.10000000000025</v>
      </c>
      <c r="W127" s="1998"/>
      <c r="X127" s="1789"/>
      <c r="Y127" s="1998"/>
      <c r="Z127" s="1789"/>
      <c r="AA127" s="1999"/>
      <c r="AB127" s="2002"/>
      <c r="AC127" s="1805">
        <v>-2232.6999999999998</v>
      </c>
      <c r="AD127" s="2041"/>
      <c r="AE127" s="2002" t="s">
        <v>15</v>
      </c>
      <c r="AF127" s="1805">
        <v>-2317.1</v>
      </c>
      <c r="AG127" s="2006"/>
      <c r="AH127" s="2476"/>
      <c r="AI127" s="1443">
        <f>ROUND(SUM(+AC127-AF127)*-1,1)</f>
        <v>-84.4</v>
      </c>
      <c r="AJ127" s="2477"/>
      <c r="AK127" s="1479">
        <f t="shared" si="22"/>
        <v>-3.5999999999999997E-2</v>
      </c>
    </row>
    <row r="128" spans="1:38" s="2419" customFormat="1" ht="15" customHeight="1">
      <c r="A128" s="2464"/>
      <c r="B128" s="2505" t="s">
        <v>1224</v>
      </c>
      <c r="C128" s="2185"/>
      <c r="D128" s="1789">
        <v>0</v>
      </c>
      <c r="E128" s="2000"/>
      <c r="F128" s="1789">
        <v>0</v>
      </c>
      <c r="G128" s="2000"/>
      <c r="H128" s="1789">
        <v>-30.5</v>
      </c>
      <c r="I128" s="2000"/>
      <c r="J128" s="1789">
        <v>-204</v>
      </c>
      <c r="K128" s="1998"/>
      <c r="L128" s="1789">
        <v>0</v>
      </c>
      <c r="M128" s="1998"/>
      <c r="N128" s="1789">
        <v>-16.5</v>
      </c>
      <c r="O128" s="1998"/>
      <c r="P128" s="1789">
        <v>0</v>
      </c>
      <c r="Q128" s="1998"/>
      <c r="R128" s="1789">
        <v>-45.800000000000011</v>
      </c>
      <c r="S128" s="1998"/>
      <c r="T128" s="1789">
        <v>-85.5</v>
      </c>
      <c r="U128" s="1998"/>
      <c r="V128" s="1789">
        <f t="shared" si="21"/>
        <v>-50</v>
      </c>
      <c r="W128" s="1998"/>
      <c r="X128" s="1789"/>
      <c r="Y128" s="1998"/>
      <c r="Z128" s="1789"/>
      <c r="AA128" s="1999"/>
      <c r="AB128" s="2002"/>
      <c r="AC128" s="1805">
        <v>-432.3</v>
      </c>
      <c r="AD128" s="2041"/>
      <c r="AE128" s="2002" t="s">
        <v>15</v>
      </c>
      <c r="AF128" s="1805">
        <v>-1187.5</v>
      </c>
      <c r="AG128" s="1995"/>
      <c r="AH128" s="2503"/>
      <c r="AI128" s="2000">
        <f>ROUND(SUM(+AC128-AF128)*-1,1)</f>
        <v>-755.2</v>
      </c>
      <c r="AJ128" s="2041"/>
      <c r="AK128" s="1729">
        <f>ROUND(IF(AF128=0,1,AI128/ABS(AF128)),3)</f>
        <v>-0.63600000000000001</v>
      </c>
      <c r="AL128" s="2417"/>
    </row>
    <row r="129" spans="1:38" s="2419" customFormat="1" ht="15" customHeight="1">
      <c r="A129" s="2464"/>
      <c r="B129" s="2465" t="s">
        <v>161</v>
      </c>
      <c r="C129" s="2185"/>
      <c r="D129" s="1789">
        <v>-32</v>
      </c>
      <c r="E129" s="1443"/>
      <c r="F129" s="1789">
        <v>1.6999999999999993</v>
      </c>
      <c r="G129" s="1443"/>
      <c r="H129" s="1789">
        <v>-3.6999999999999993</v>
      </c>
      <c r="I129" s="1443"/>
      <c r="J129" s="1789">
        <v>-82.7</v>
      </c>
      <c r="K129" s="1998"/>
      <c r="L129" s="1789">
        <v>4</v>
      </c>
      <c r="M129" s="1998"/>
      <c r="N129" s="1789">
        <v>21.600000000000009</v>
      </c>
      <c r="O129" s="1998"/>
      <c r="P129" s="1789">
        <v>-75.599999999999994</v>
      </c>
      <c r="Q129" s="1998"/>
      <c r="R129" s="1789">
        <v>1.4000000000000057</v>
      </c>
      <c r="S129" s="1998"/>
      <c r="T129" s="1789">
        <v>11.199999999999989</v>
      </c>
      <c r="U129" s="1998"/>
      <c r="V129" s="1789">
        <f t="shared" si="21"/>
        <v>-185.10000000000002</v>
      </c>
      <c r="W129" s="1998"/>
      <c r="X129" s="1789"/>
      <c r="Y129" s="1998"/>
      <c r="Z129" s="1789"/>
      <c r="AA129" s="1999"/>
      <c r="AB129" s="2002"/>
      <c r="AC129" s="1805">
        <v>-339.2</v>
      </c>
      <c r="AD129" s="2041"/>
      <c r="AE129" s="2002" t="s">
        <v>15</v>
      </c>
      <c r="AF129" s="1805">
        <v>-554</v>
      </c>
      <c r="AG129" s="1995"/>
      <c r="AH129" s="2503"/>
      <c r="AI129" s="2000">
        <f>ROUND(SUM(+AC129-AF129)*-1,1)</f>
        <v>-214.8</v>
      </c>
      <c r="AJ129" s="2041"/>
      <c r="AK129" s="1724">
        <f>ROUND(IF(AF129=0,0,AI129/ABS(AF129)),3)</f>
        <v>-0.38800000000000001</v>
      </c>
      <c r="AL129" s="2417"/>
    </row>
    <row r="130" spans="1:38" s="2419" customFormat="1" ht="15" customHeight="1">
      <c r="A130" s="2464"/>
      <c r="B130" s="2465" t="s">
        <v>162</v>
      </c>
      <c r="C130" s="2185"/>
      <c r="D130" s="1789">
        <v>-142.79999999999995</v>
      </c>
      <c r="E130" s="2000"/>
      <c r="F130" s="1789">
        <v>-23.000000000000114</v>
      </c>
      <c r="G130" s="2000"/>
      <c r="H130" s="1789">
        <v>-970.69999999999993</v>
      </c>
      <c r="I130" s="2000"/>
      <c r="J130" s="1789">
        <v>-92.399999999999977</v>
      </c>
      <c r="K130" s="1998"/>
      <c r="L130" s="1789">
        <v>-108.79999999999973</v>
      </c>
      <c r="M130" s="1998"/>
      <c r="N130" s="1789">
        <v>-56.000000000000455</v>
      </c>
      <c r="O130" s="1998"/>
      <c r="P130" s="1789">
        <v>-253.09999999999991</v>
      </c>
      <c r="Q130" s="1998"/>
      <c r="R130" s="1789">
        <v>-81.099999999999454</v>
      </c>
      <c r="S130" s="1998"/>
      <c r="T130" s="1789">
        <v>-124.70000000000073</v>
      </c>
      <c r="U130" s="1998"/>
      <c r="V130" s="1789">
        <f t="shared" si="21"/>
        <v>-35.699999999999818</v>
      </c>
      <c r="W130" s="1998"/>
      <c r="X130" s="1789"/>
      <c r="Y130" s="1998"/>
      <c r="Z130" s="1789"/>
      <c r="AA130" s="1999"/>
      <c r="AB130" s="2002"/>
      <c r="AC130" s="1805">
        <v>-1888.3000000000002</v>
      </c>
      <c r="AD130" s="2041"/>
      <c r="AE130" s="2002" t="s">
        <v>15</v>
      </c>
      <c r="AF130" s="1805">
        <v>-2011.5000000000005</v>
      </c>
      <c r="AG130" s="1977"/>
      <c r="AH130" s="2503"/>
      <c r="AI130" s="2506">
        <f>ROUND(SUM(+AC130-AF130)*-1,1)</f>
        <v>-123.2</v>
      </c>
      <c r="AJ130" s="2041"/>
      <c r="AK130" s="1812">
        <f>ROUND(IF(AF130=0,0,AI130/ABS(AF130)),3)</f>
        <v>-6.0999999999999999E-2</v>
      </c>
      <c r="AL130" s="2417"/>
    </row>
    <row r="131" spans="1:38" ht="5.0999999999999996" customHeight="1">
      <c r="A131" s="2451"/>
      <c r="B131" s="2465"/>
      <c r="C131" s="2185"/>
      <c r="D131" s="2051"/>
      <c r="E131" s="1995"/>
      <c r="F131" s="2051"/>
      <c r="G131" s="1995"/>
      <c r="H131" s="2051" t="s">
        <v>15</v>
      </c>
      <c r="I131" s="1995"/>
      <c r="J131" s="2051"/>
      <c r="K131" s="1995"/>
      <c r="L131" s="2051"/>
      <c r="M131" s="1995"/>
      <c r="N131" s="2051"/>
      <c r="O131" s="1995"/>
      <c r="P131" s="2051"/>
      <c r="Q131" s="1995"/>
      <c r="R131" s="2051"/>
      <c r="S131" s="1995"/>
      <c r="T131" s="2051"/>
      <c r="U131" s="1995"/>
      <c r="V131" s="2051"/>
      <c r="W131" s="1995"/>
      <c r="X131" s="2051"/>
      <c r="Y131" s="1995"/>
      <c r="Z131" s="2051"/>
      <c r="AA131" s="2018"/>
      <c r="AB131" s="2047"/>
      <c r="AC131" s="3159"/>
      <c r="AD131" s="1995"/>
      <c r="AE131" s="1997"/>
      <c r="AF131" s="2051"/>
      <c r="AG131" s="1977"/>
      <c r="AH131" s="2476"/>
      <c r="AI131" s="1443"/>
      <c r="AJ131" s="2477"/>
      <c r="AK131" s="1432"/>
    </row>
    <row r="132" spans="1:38" ht="15" customHeight="1">
      <c r="A132" s="2451"/>
      <c r="B132" s="2427" t="s">
        <v>163</v>
      </c>
      <c r="C132" s="2022"/>
      <c r="D132" s="2006"/>
      <c r="E132" s="2006"/>
      <c r="F132" s="2006"/>
      <c r="G132" s="2006"/>
      <c r="H132" s="2006"/>
      <c r="I132" s="2006"/>
      <c r="J132" s="1995"/>
      <c r="K132" s="2006"/>
      <c r="L132" s="2006"/>
      <c r="M132" s="2006"/>
      <c r="N132" s="2006"/>
      <c r="O132" s="2006"/>
      <c r="P132" s="1995"/>
      <c r="Q132" s="2006"/>
      <c r="R132" s="2006"/>
      <c r="S132" s="2006"/>
      <c r="T132" s="2006"/>
      <c r="U132" s="2006"/>
      <c r="V132" s="2006"/>
      <c r="W132" s="2006"/>
      <c r="X132" s="2006"/>
      <c r="Y132" s="1463"/>
      <c r="Z132" s="1463"/>
      <c r="AA132" s="1463"/>
      <c r="AB132" s="2046"/>
      <c r="AC132" s="2000"/>
      <c r="AD132" s="1995"/>
      <c r="AE132" s="1997"/>
      <c r="AF132" s="1995"/>
      <c r="AG132" s="2006"/>
      <c r="AH132" s="2476"/>
      <c r="AI132" s="1443"/>
      <c r="AJ132" s="2477"/>
      <c r="AK132" s="1432"/>
    </row>
    <row r="133" spans="1:38" ht="15" customHeight="1">
      <c r="A133" s="2451"/>
      <c r="B133" s="2427" t="s">
        <v>164</v>
      </c>
      <c r="C133" s="2022"/>
      <c r="D133" s="1461">
        <f>ROUND(SUM(D123:D131),1)</f>
        <v>2061.6999999999998</v>
      </c>
      <c r="E133" s="1461"/>
      <c r="F133" s="1461">
        <f>ROUND(SUM(F123:F131),1)</f>
        <v>1278</v>
      </c>
      <c r="G133" s="1461"/>
      <c r="H133" s="1461">
        <f>ROUND(SUM(H123:H131),1)</f>
        <v>1542.4</v>
      </c>
      <c r="I133" s="1461"/>
      <c r="J133" s="2050">
        <f>ROUND(SUM(J123:J130),1)</f>
        <v>4235.5</v>
      </c>
      <c r="K133" s="1461"/>
      <c r="L133" s="1461">
        <f>ROUND(SUM(L123:L130),1)</f>
        <v>491</v>
      </c>
      <c r="M133" s="1461"/>
      <c r="N133" s="1461">
        <f>ROUND(SUM(N123:N130),1)</f>
        <v>2483.6999999999998</v>
      </c>
      <c r="O133" s="1461"/>
      <c r="P133" s="2050">
        <f>ROUND(SUM(P123:P130),1)</f>
        <v>793.4</v>
      </c>
      <c r="Q133" s="1461"/>
      <c r="R133" s="1461">
        <f>ROUND(SUM(R123:R130),1)</f>
        <v>176.5</v>
      </c>
      <c r="S133" s="1461"/>
      <c r="T133" s="1461">
        <f>ROUND(SUM(T123:T130),1)</f>
        <v>2710</v>
      </c>
      <c r="U133" s="1461"/>
      <c r="V133" s="1461">
        <f>ROUND(SUM(V123:V130),1)</f>
        <v>1401.9</v>
      </c>
      <c r="W133" s="1461"/>
      <c r="X133" s="1461">
        <f>ROUND(SUM(X123:X130),1)</f>
        <v>0</v>
      </c>
      <c r="Y133" s="2010"/>
      <c r="Z133" s="1461">
        <f>ROUND(SUM(Z123:Z130),1)</f>
        <v>0</v>
      </c>
      <c r="AA133" s="2053"/>
      <c r="AB133" s="2049"/>
      <c r="AC133" s="2050">
        <f>ROUND(SUM(AC123:AC130),1)</f>
        <v>17174.099999999999</v>
      </c>
      <c r="AD133" s="2050"/>
      <c r="AE133" s="3158"/>
      <c r="AF133" s="2050">
        <f>ROUND(SUM(AF123:AF130),1)</f>
        <v>23329.7</v>
      </c>
      <c r="AG133" s="1444"/>
      <c r="AH133" s="2480"/>
      <c r="AI133" s="2052">
        <f>ROUND(SUM(+AC133-AF133),1)</f>
        <v>-6155.6</v>
      </c>
      <c r="AJ133" s="1444"/>
      <c r="AK133" s="2507">
        <f>ROUND(SUM(+AI133/AF133),3)</f>
        <v>-0.26400000000000001</v>
      </c>
    </row>
    <row r="134" spans="1:38" ht="15" customHeight="1">
      <c r="A134" s="2451"/>
      <c r="B134" s="2044"/>
      <c r="C134" s="2022"/>
      <c r="D134" s="2005"/>
      <c r="E134" s="2006"/>
      <c r="F134" s="2005"/>
      <c r="G134" s="2006"/>
      <c r="H134" s="2005"/>
      <c r="I134" s="2006"/>
      <c r="J134" s="2051"/>
      <c r="K134" s="2006"/>
      <c r="L134" s="2005"/>
      <c r="M134" s="2006"/>
      <c r="N134" s="2005"/>
      <c r="O134" s="2006"/>
      <c r="P134" s="2051"/>
      <c r="Q134" s="2006"/>
      <c r="R134" s="2005"/>
      <c r="S134" s="2006"/>
      <c r="T134" s="2005"/>
      <c r="U134" s="2006"/>
      <c r="V134" s="2005"/>
      <c r="W134" s="2006"/>
      <c r="X134" s="2005"/>
      <c r="Y134" s="1463"/>
      <c r="Z134" s="1467"/>
      <c r="AA134" s="2013"/>
      <c r="AB134" s="2046"/>
      <c r="AC134" s="3159"/>
      <c r="AD134" s="1995"/>
      <c r="AE134" s="1997"/>
      <c r="AF134" s="2051"/>
      <c r="AG134" s="2007"/>
      <c r="AH134" s="2476"/>
      <c r="AI134" s="2508"/>
      <c r="AJ134" s="2509"/>
      <c r="AK134" s="1449"/>
    </row>
    <row r="135" spans="1:38" ht="15" customHeight="1">
      <c r="A135" s="2451"/>
      <c r="B135" s="2427" t="s">
        <v>165</v>
      </c>
      <c r="C135" s="2022"/>
      <c r="D135" s="2006"/>
      <c r="E135" s="2006"/>
      <c r="F135" s="2006"/>
      <c r="G135" s="2006"/>
      <c r="H135" s="2006"/>
      <c r="I135" s="2006"/>
      <c r="J135" s="1995"/>
      <c r="K135" s="2006"/>
      <c r="L135" s="2006"/>
      <c r="M135" s="2006"/>
      <c r="N135" s="2006"/>
      <c r="O135" s="2006"/>
      <c r="P135" s="1995"/>
      <c r="Q135" s="2006"/>
      <c r="R135" s="2006"/>
      <c r="S135" s="2006"/>
      <c r="T135" s="2006"/>
      <c r="U135" s="2006"/>
      <c r="V135" s="2006"/>
      <c r="W135" s="2006"/>
      <c r="X135" s="2006"/>
      <c r="Y135" s="1463"/>
      <c r="Z135" s="1463"/>
      <c r="AA135" s="1463"/>
      <c r="AB135" s="2046"/>
      <c r="AC135" s="2000"/>
      <c r="AD135" s="1995"/>
      <c r="AE135" s="1997"/>
      <c r="AF135" s="1995"/>
      <c r="AG135" s="2006"/>
      <c r="AH135" s="2476"/>
      <c r="AI135" s="2508"/>
      <c r="AJ135" s="2509"/>
      <c r="AK135" s="1449"/>
      <c r="AL135" s="2417" t="s">
        <v>15</v>
      </c>
    </row>
    <row r="136" spans="1:38" ht="15" customHeight="1">
      <c r="A136" s="2451"/>
      <c r="B136" s="2427" t="s">
        <v>166</v>
      </c>
      <c r="C136" s="2022"/>
      <c r="D136" s="2006"/>
      <c r="E136" s="2006"/>
      <c r="F136" s="2006"/>
      <c r="G136" s="2006"/>
      <c r="H136" s="2006"/>
      <c r="I136" s="2006"/>
      <c r="J136" s="1995"/>
      <c r="K136" s="2006"/>
      <c r="L136" s="2006"/>
      <c r="M136" s="2006"/>
      <c r="N136" s="2006"/>
      <c r="O136" s="2006"/>
      <c r="P136" s="1995"/>
      <c r="Q136" s="2006"/>
      <c r="R136" s="2006"/>
      <c r="S136" s="2006"/>
      <c r="T136" s="2006"/>
      <c r="U136" s="2006"/>
      <c r="V136" s="2006"/>
      <c r="W136" s="2006"/>
      <c r="X136" s="2006"/>
      <c r="Y136" s="1463"/>
      <c r="Z136" s="1463"/>
      <c r="AA136" s="1463"/>
      <c r="AB136" s="2046"/>
      <c r="AC136" s="2000"/>
      <c r="AD136" s="1995"/>
      <c r="AE136" s="1997"/>
      <c r="AF136" s="1995"/>
      <c r="AG136" s="2006"/>
      <c r="AH136" s="2476"/>
      <c r="AI136" s="2508"/>
      <c r="AJ136" s="2509"/>
      <c r="AK136" s="1449"/>
    </row>
    <row r="137" spans="1:38" ht="15" customHeight="1">
      <c r="A137" s="2451"/>
      <c r="B137" s="2427" t="s">
        <v>167</v>
      </c>
      <c r="C137" s="2022"/>
      <c r="D137" s="1461">
        <f>ROUND(SUM(D119+D133),1)</f>
        <v>1138.3</v>
      </c>
      <c r="E137" s="1461"/>
      <c r="F137" s="1461">
        <f>ROUND(SUM(F119+F133),1)</f>
        <v>-2772.3</v>
      </c>
      <c r="G137" s="1461"/>
      <c r="H137" s="1461">
        <f>ROUND(SUM(H119+H133),1)</f>
        <v>-446.6</v>
      </c>
      <c r="I137" s="1461"/>
      <c r="J137" s="2050">
        <f>ROUND(SUM(J119+J133),1)</f>
        <v>7519.4</v>
      </c>
      <c r="K137" s="1461"/>
      <c r="L137" s="1461">
        <f>ROUND(SUM(L119+L133),1)</f>
        <v>-860.3</v>
      </c>
      <c r="M137" s="1461"/>
      <c r="N137" s="1461">
        <f>ROUND(SUM(N119+N133),1)</f>
        <v>1919.1</v>
      </c>
      <c r="O137" s="1461"/>
      <c r="P137" s="2050">
        <f>ROUND(SUM(P119+P133),1)</f>
        <v>-511</v>
      </c>
      <c r="Q137" s="1461"/>
      <c r="R137" s="1461">
        <f>ROUND(SUM(R119+R133),1)</f>
        <v>-1328.1</v>
      </c>
      <c r="S137" s="2006"/>
      <c r="T137" s="1461">
        <f>ROUND(SUM(T119+T133),1)</f>
        <v>2949.7</v>
      </c>
      <c r="U137" s="2006"/>
      <c r="V137" s="1461">
        <f>ROUND(SUM(V119+V133),1)</f>
        <v>2780.3</v>
      </c>
      <c r="W137" s="2006"/>
      <c r="X137" s="1461">
        <f>ROUND(SUM(X119+X133),1)</f>
        <v>0</v>
      </c>
      <c r="Y137" s="1463"/>
      <c r="Z137" s="2052">
        <f>ROUND(SUM(Z119+Z133),1)</f>
        <v>0</v>
      </c>
      <c r="AA137" s="2013"/>
      <c r="AB137" s="2046"/>
      <c r="AC137" s="2050">
        <f>ROUND(SUM(AC119+AC133),1)</f>
        <v>10388.5</v>
      </c>
      <c r="AD137" s="2050"/>
      <c r="AE137" s="3158"/>
      <c r="AF137" s="2050">
        <f>ROUND(SUM(AF119+AF133),1)</f>
        <v>3612.3</v>
      </c>
      <c r="AG137" s="1444"/>
      <c r="AH137" s="2480"/>
      <c r="AI137" s="2052">
        <f>ROUND(SUM(+AC137-AF137),1)</f>
        <v>6776.2</v>
      </c>
      <c r="AJ137" s="2510"/>
      <c r="AK137" s="2511">
        <f>ROUND(SUM(AI137/AF137),3)</f>
        <v>1.8759999999999999</v>
      </c>
    </row>
    <row r="138" spans="1:38" ht="9" customHeight="1">
      <c r="A138" s="2451"/>
      <c r="B138" s="2044"/>
      <c r="C138" s="2022"/>
      <c r="D138" s="1467"/>
      <c r="E138" s="2044"/>
      <c r="F138" s="2449"/>
      <c r="G138" s="2044"/>
      <c r="H138" s="2448"/>
      <c r="I138" s="2044"/>
      <c r="J138" s="2051"/>
      <c r="K138" s="2044"/>
      <c r="L138" s="2448"/>
      <c r="M138" s="2044"/>
      <c r="N138" s="2448"/>
      <c r="O138" s="2044"/>
      <c r="P138" s="3054"/>
      <c r="Q138" s="2044"/>
      <c r="R138" s="2448"/>
      <c r="S138" s="2044"/>
      <c r="T138" s="2448"/>
      <c r="U138" s="2044"/>
      <c r="V138" s="2448"/>
      <c r="W138" s="2044"/>
      <c r="X138" s="2448"/>
      <c r="Y138" s="2044"/>
      <c r="Z138" s="2021"/>
      <c r="AA138" s="2021"/>
      <c r="AB138" s="2046"/>
      <c r="AC138" s="3159"/>
      <c r="AD138" s="1995"/>
      <c r="AE138" s="1997"/>
      <c r="AF138" s="2051"/>
      <c r="AG138" s="2007"/>
      <c r="AH138" s="2476"/>
      <c r="AI138" s="2493"/>
      <c r="AJ138" s="2509"/>
      <c r="AK138" s="2512"/>
    </row>
    <row r="139" spans="1:38" ht="15" customHeight="1" thickBot="1">
      <c r="A139" s="2451"/>
      <c r="B139" s="2462" t="s">
        <v>141</v>
      </c>
      <c r="C139" s="2185"/>
      <c r="D139" s="2513">
        <f>ROUND(SUM(D12+D137),1)</f>
        <v>10082.5</v>
      </c>
      <c r="E139" s="2514"/>
      <c r="F139" s="2513">
        <f>ROUND(SUM(F12+F137),1)</f>
        <v>7310.2</v>
      </c>
      <c r="G139" s="2457"/>
      <c r="H139" s="2513">
        <f>ROUND(SUM(H12+H137),1)</f>
        <v>6863.6</v>
      </c>
      <c r="I139" s="2457"/>
      <c r="J139" s="2513">
        <f>ROUND(SUM(J12+J137),1)</f>
        <v>14383</v>
      </c>
      <c r="K139" s="2457"/>
      <c r="L139" s="2513">
        <f>ROUND(SUM(L12+L137),1)</f>
        <v>13522.7</v>
      </c>
      <c r="M139" s="2457"/>
      <c r="N139" s="2513">
        <f>ROUND(SUM(N12+N137),1)</f>
        <v>15441.8</v>
      </c>
      <c r="O139" s="2457"/>
      <c r="P139" s="2513">
        <f>ROUND(SUM(P12+P137),1)</f>
        <v>14930.8</v>
      </c>
      <c r="Q139" s="2457"/>
      <c r="R139" s="2513">
        <f>ROUND(SUM(R12+R137),1)</f>
        <v>13602.7</v>
      </c>
      <c r="S139" s="2457"/>
      <c r="T139" s="2513">
        <f>ROUND(SUM(T12+T137),1)</f>
        <v>16552.400000000001</v>
      </c>
      <c r="U139" s="2457"/>
      <c r="V139" s="2513">
        <f>ROUND(SUM(V12+V137),1)</f>
        <v>19332.7</v>
      </c>
      <c r="W139" s="2457"/>
      <c r="X139" s="2513">
        <f>ROUND(SUM(X12+X137),1)</f>
        <v>0</v>
      </c>
      <c r="Y139" s="2457"/>
      <c r="Z139" s="2513">
        <f>ROUND(SUM(Z12+Z137),1)</f>
        <v>0</v>
      </c>
      <c r="AA139" s="2514"/>
      <c r="AB139" s="2515"/>
      <c r="AC139" s="2189">
        <f>ROUND(SUM(AC12+AC137),1)</f>
        <v>19332.7</v>
      </c>
      <c r="AD139" s="2050"/>
      <c r="AE139" s="3158"/>
      <c r="AF139" s="2513">
        <f>ROUND(SUM(AF12+AF137),1)</f>
        <v>10818</v>
      </c>
      <c r="AG139" s="2516"/>
      <c r="AH139" s="2458"/>
      <c r="AI139" s="2517">
        <f>ROUND(SUM(+AC139-AF139),1)</f>
        <v>8514.7000000000007</v>
      </c>
      <c r="AJ139" s="2510"/>
      <c r="AK139" s="2518">
        <f>ROUND(SUM(+AI139/AF139),3)</f>
        <v>0.78700000000000003</v>
      </c>
    </row>
    <row r="140" spans="1:38" ht="15" customHeight="1" thickTop="1">
      <c r="A140" s="2451"/>
      <c r="B140" s="2044"/>
      <c r="C140" s="2022"/>
      <c r="D140" s="2021"/>
      <c r="E140" s="2519"/>
      <c r="F140" s="2520"/>
      <c r="G140" s="2519"/>
      <c r="H140" s="2021"/>
      <c r="I140" s="2519"/>
      <c r="J140" s="1977"/>
      <c r="K140" s="2519"/>
      <c r="L140" s="2021"/>
      <c r="M140" s="2519"/>
      <c r="N140" s="2021"/>
      <c r="O140" s="2519"/>
      <c r="P140" s="2184"/>
      <c r="Q140" s="2519"/>
      <c r="R140" s="2021"/>
      <c r="S140" s="2519"/>
      <c r="T140" s="2021"/>
      <c r="U140" s="2519"/>
      <c r="V140" s="2021"/>
      <c r="W140" s="2519"/>
      <c r="X140" s="2021"/>
      <c r="Y140" s="2519"/>
      <c r="Z140" s="2021"/>
      <c r="AA140" s="2021"/>
      <c r="AB140" s="2519"/>
      <c r="AC140" s="1977"/>
      <c r="AD140" s="1977"/>
      <c r="AE140" s="1977"/>
      <c r="AF140" s="1977"/>
      <c r="AG140" s="2007"/>
      <c r="AH140" s="2521"/>
      <c r="AI140" s="2508"/>
      <c r="AJ140" s="2509"/>
      <c r="AK140" s="1449"/>
    </row>
    <row r="141" spans="1:38" ht="15" customHeight="1">
      <c r="A141" s="2451"/>
      <c r="B141" s="2044" t="s">
        <v>15</v>
      </c>
      <c r="C141" s="2022"/>
      <c r="D141" s="2021"/>
      <c r="E141" s="2044"/>
      <c r="F141" s="2520"/>
      <c r="G141" s="2044"/>
      <c r="H141" s="2021"/>
      <c r="I141" s="2044"/>
      <c r="J141" s="1977"/>
      <c r="K141" s="2044"/>
      <c r="L141" s="2021"/>
      <c r="M141" s="2044"/>
      <c r="N141" s="2021"/>
      <c r="O141" s="2044"/>
      <c r="P141" s="2184"/>
      <c r="Q141" s="2044"/>
      <c r="R141" s="2021"/>
      <c r="S141" s="2044"/>
      <c r="T141" s="2021"/>
      <c r="U141" s="2044"/>
      <c r="V141" s="2021"/>
      <c r="W141" s="2044"/>
      <c r="X141" s="2021"/>
      <c r="Y141" s="2044"/>
      <c r="Z141" s="2021"/>
      <c r="AA141" s="2021"/>
      <c r="AB141" s="2044"/>
      <c r="AC141" s="1977"/>
      <c r="AD141" s="1995"/>
      <c r="AE141" s="1995"/>
      <c r="AF141" s="1977"/>
      <c r="AG141" s="2007"/>
      <c r="AH141" s="2522"/>
      <c r="AI141" s="2508"/>
      <c r="AJ141" s="2509"/>
      <c r="AK141" s="1449"/>
    </row>
    <row r="142" spans="1:38" ht="15" customHeight="1">
      <c r="A142" s="2451"/>
      <c r="B142" s="2044"/>
      <c r="C142" s="2022"/>
      <c r="D142" s="2021"/>
      <c r="E142" s="2044"/>
      <c r="F142" s="2520"/>
      <c r="G142" s="2044"/>
      <c r="H142" s="2021"/>
      <c r="I142" s="2044"/>
      <c r="J142" s="1977"/>
      <c r="K142" s="2044"/>
      <c r="L142" s="2021"/>
      <c r="M142" s="2044"/>
      <c r="N142" s="2021"/>
      <c r="O142" s="2044"/>
      <c r="P142" s="2184"/>
      <c r="Q142" s="2044"/>
      <c r="R142" s="2021"/>
      <c r="S142" s="2044"/>
      <c r="T142" s="2021"/>
      <c r="U142" s="2044"/>
      <c r="V142" s="2021"/>
      <c r="W142" s="2044"/>
      <c r="X142" s="2021"/>
      <c r="Y142" s="2044"/>
      <c r="Z142" s="2021"/>
      <c r="AA142" s="2021"/>
      <c r="AB142" s="2044"/>
      <c r="AC142" s="22"/>
      <c r="AD142" s="1995"/>
      <c r="AE142" s="1995"/>
      <c r="AF142" s="1977"/>
      <c r="AG142" s="2007"/>
      <c r="AH142" s="2522"/>
      <c r="AI142" s="2508"/>
      <c r="AJ142" s="2509"/>
      <c r="AK142" s="1449"/>
    </row>
    <row r="143" spans="1:38" ht="15" customHeight="1">
      <c r="A143" s="2422"/>
      <c r="B143" s="2523"/>
      <c r="C143" s="2524"/>
      <c r="D143" s="2524"/>
      <c r="E143" s="2525"/>
      <c r="F143" s="2525"/>
      <c r="G143" s="2525"/>
      <c r="H143" s="2022"/>
      <c r="I143" s="2022"/>
      <c r="J143" s="1995"/>
      <c r="K143" s="2022"/>
      <c r="L143" s="2022"/>
      <c r="M143" s="2022"/>
      <c r="N143" s="2022"/>
      <c r="O143" s="2022"/>
      <c r="P143" s="2185"/>
      <c r="Q143" s="2022"/>
      <c r="R143" s="2022"/>
      <c r="S143" s="2022"/>
      <c r="T143" s="2022"/>
      <c r="U143" s="2022"/>
      <c r="V143" s="2022"/>
      <c r="W143" s="2022"/>
      <c r="X143" s="2022"/>
      <c r="Y143" s="2022"/>
      <c r="Z143" s="2022"/>
      <c r="AA143" s="2022"/>
      <c r="AB143" s="2022"/>
      <c r="AC143" s="1995"/>
      <c r="AD143" s="1995"/>
      <c r="AE143" s="1995"/>
      <c r="AF143" s="1995"/>
      <c r="AG143" s="2006"/>
      <c r="AH143" s="2526"/>
      <c r="AI143" s="1443"/>
      <c r="AJ143" s="2477"/>
      <c r="AK143" s="1432"/>
    </row>
    <row r="144" spans="1:38" ht="14.1" customHeight="1">
      <c r="A144" s="2422"/>
      <c r="B144" s="2523"/>
      <c r="C144" s="2524"/>
      <c r="D144" s="2524"/>
      <c r="E144" s="2525"/>
      <c r="F144" s="2525"/>
      <c r="G144" s="2525"/>
      <c r="H144" s="2022"/>
      <c r="I144" s="2022"/>
      <c r="J144" s="1995"/>
      <c r="K144" s="2022"/>
      <c r="L144" s="2022"/>
      <c r="M144" s="2022"/>
      <c r="N144" s="2022"/>
      <c r="O144" s="2022"/>
      <c r="P144" s="2185"/>
      <c r="Q144" s="2022"/>
      <c r="R144" s="2022"/>
      <c r="S144" s="2022"/>
      <c r="T144" s="2022"/>
      <c r="U144" s="2022"/>
      <c r="V144" s="2022"/>
      <c r="W144" s="2022"/>
      <c r="X144" s="2022"/>
      <c r="Y144" s="2022"/>
      <c r="Z144" s="2022"/>
      <c r="AA144" s="2022"/>
      <c r="AB144" s="2022"/>
      <c r="AC144" s="1995"/>
      <c r="AD144" s="1995"/>
      <c r="AE144" s="1995"/>
      <c r="AF144" s="1995"/>
      <c r="AG144" s="2006"/>
      <c r="AH144" s="2526"/>
      <c r="AI144" s="1443"/>
      <c r="AJ144" s="2477"/>
      <c r="AK144" s="1432"/>
    </row>
    <row r="145" spans="1:37" ht="15" customHeight="1">
      <c r="A145" s="2422"/>
      <c r="B145" s="2523"/>
      <c r="C145" s="2524"/>
      <c r="D145" s="2524"/>
      <c r="E145" s="2525"/>
      <c r="F145" s="2525"/>
      <c r="G145" s="2525"/>
      <c r="H145" s="2022"/>
      <c r="I145" s="2022"/>
      <c r="J145" s="1995"/>
      <c r="K145" s="2022"/>
      <c r="L145" s="2022"/>
      <c r="M145" s="2022"/>
      <c r="N145" s="2022"/>
      <c r="O145" s="2022"/>
      <c r="P145" s="2185"/>
      <c r="Q145" s="2022"/>
      <c r="R145" s="2022"/>
      <c r="S145" s="2022"/>
      <c r="T145" s="2022"/>
      <c r="U145" s="2022"/>
      <c r="V145" s="2022"/>
      <c r="W145" s="2022"/>
      <c r="X145" s="2022"/>
      <c r="Y145" s="2022"/>
      <c r="Z145" s="2022"/>
      <c r="AA145" s="2022"/>
      <c r="AB145" s="2022"/>
      <c r="AC145" s="1995"/>
      <c r="AD145" s="1995"/>
      <c r="AE145" s="1995"/>
      <c r="AF145" s="1995"/>
      <c r="AG145" s="2006"/>
      <c r="AH145" s="2526"/>
      <c r="AI145" s="1443"/>
      <c r="AJ145" s="2477"/>
      <c r="AK145" s="1432"/>
    </row>
    <row r="146" spans="1:37" ht="15.75" customHeight="1">
      <c r="A146" s="2422"/>
      <c r="B146" s="2523"/>
      <c r="C146" s="2524"/>
      <c r="D146" s="2524"/>
      <c r="E146" s="2525"/>
      <c r="F146" s="2525"/>
      <c r="G146" s="2525"/>
      <c r="H146" s="2022"/>
      <c r="I146" s="2022"/>
      <c r="J146" s="1995"/>
      <c r="K146" s="2022"/>
      <c r="L146" s="2022"/>
      <c r="M146" s="2022"/>
      <c r="N146" s="2022"/>
      <c r="O146" s="2022"/>
      <c r="P146" s="2185"/>
      <c r="Q146" s="2022"/>
      <c r="R146" s="2022"/>
      <c r="S146" s="2022"/>
      <c r="T146" s="2022"/>
      <c r="U146" s="2022"/>
      <c r="V146" s="2022"/>
      <c r="W146" s="2022"/>
      <c r="X146" s="2022"/>
      <c r="Y146" s="2022"/>
      <c r="Z146" s="2022"/>
      <c r="AA146" s="2022"/>
      <c r="AB146" s="2022"/>
      <c r="AC146" s="1995"/>
      <c r="AD146" s="1995"/>
      <c r="AE146" s="1995"/>
      <c r="AF146" s="1995"/>
      <c r="AG146" s="2006"/>
      <c r="AH146" s="2526"/>
      <c r="AI146" s="1443"/>
      <c r="AJ146" s="2477"/>
      <c r="AK146" s="1432"/>
    </row>
    <row r="147" spans="1:37" ht="14.25" customHeight="1">
      <c r="A147" s="2422"/>
      <c r="B147" s="2523"/>
      <c r="C147" s="2524"/>
      <c r="D147" s="2524"/>
      <c r="E147" s="2525"/>
      <c r="F147" s="2525"/>
      <c r="G147" s="2525"/>
      <c r="H147" s="2022"/>
      <c r="I147" s="2022"/>
      <c r="J147" s="1995"/>
      <c r="K147" s="2022"/>
      <c r="L147" s="2022"/>
      <c r="M147" s="2022"/>
      <c r="N147" s="2022"/>
      <c r="O147" s="2022"/>
      <c r="P147" s="2185"/>
      <c r="Q147" s="2022"/>
      <c r="R147" s="2022"/>
      <c r="S147" s="2022"/>
      <c r="T147" s="2022"/>
      <c r="U147" s="2022"/>
      <c r="V147" s="2022"/>
      <c r="W147" s="2022"/>
      <c r="X147" s="2022"/>
      <c r="Y147" s="2022"/>
      <c r="Z147" s="2022"/>
      <c r="AA147" s="2022"/>
      <c r="AB147" s="2022"/>
      <c r="AC147" s="1995"/>
      <c r="AD147" s="1995"/>
      <c r="AE147" s="1995"/>
      <c r="AF147" s="1995"/>
      <c r="AG147" s="2006"/>
      <c r="AH147" s="2526"/>
      <c r="AI147" s="1443"/>
      <c r="AJ147" s="2477"/>
      <c r="AK147" s="1432"/>
    </row>
    <row r="148" spans="1:37" ht="14.25" customHeight="1">
      <c r="A148" s="2422"/>
      <c r="B148" s="2523"/>
      <c r="C148" s="2524"/>
      <c r="D148" s="2524"/>
      <c r="E148" s="2525"/>
      <c r="F148" s="2525"/>
      <c r="G148" s="2525"/>
      <c r="H148" s="2022"/>
      <c r="I148" s="2022"/>
      <c r="J148" s="1995"/>
      <c r="K148" s="2022"/>
      <c r="L148" s="2022"/>
      <c r="M148" s="2022"/>
      <c r="N148" s="2022"/>
      <c r="O148" s="2022"/>
      <c r="P148" s="2185"/>
      <c r="Q148" s="2022"/>
      <c r="R148" s="2022"/>
      <c r="S148" s="2022"/>
      <c r="T148" s="2022"/>
      <c r="U148" s="2022"/>
      <c r="V148" s="2022"/>
      <c r="W148" s="2022"/>
      <c r="X148" s="2022"/>
      <c r="Y148" s="2022"/>
      <c r="Z148" s="2022"/>
      <c r="AA148" s="2022"/>
      <c r="AB148" s="2022"/>
      <c r="AC148" s="1995"/>
      <c r="AD148" s="1995"/>
      <c r="AE148" s="1995"/>
      <c r="AF148" s="1995"/>
      <c r="AG148" s="2006"/>
      <c r="AH148" s="2526"/>
      <c r="AI148" s="1443"/>
      <c r="AJ148" s="2477"/>
      <c r="AK148" s="1432"/>
    </row>
    <row r="149" spans="1:37" ht="14.25" customHeight="1">
      <c r="A149" s="2422"/>
      <c r="B149" s="2523"/>
      <c r="C149" s="2524"/>
      <c r="D149" s="2524"/>
      <c r="E149" s="2525"/>
      <c r="F149" s="2525"/>
      <c r="G149" s="2525"/>
      <c r="H149" s="2022"/>
      <c r="I149" s="2022"/>
      <c r="J149" s="1995"/>
      <c r="K149" s="2022"/>
      <c r="L149" s="2022"/>
      <c r="M149" s="2022"/>
      <c r="N149" s="2022"/>
      <c r="O149" s="2022"/>
      <c r="P149" s="2185"/>
      <c r="Q149" s="2022"/>
      <c r="R149" s="2022"/>
      <c r="S149" s="2022"/>
      <c r="T149" s="2022"/>
      <c r="U149" s="2022"/>
      <c r="V149" s="2022"/>
      <c r="W149" s="2022"/>
      <c r="X149" s="2022"/>
      <c r="Y149" s="2022"/>
      <c r="Z149" s="2022"/>
      <c r="AA149" s="2022"/>
      <c r="AB149" s="2022"/>
      <c r="AC149" s="1995"/>
      <c r="AD149" s="1995"/>
      <c r="AE149" s="1995"/>
      <c r="AF149" s="1995"/>
      <c r="AG149" s="2006"/>
      <c r="AH149" s="2526"/>
      <c r="AI149" s="1443"/>
      <c r="AJ149" s="2477"/>
      <c r="AK149" s="1432"/>
    </row>
    <row r="150" spans="1:37" ht="14.25" customHeight="1">
      <c r="A150" s="2422"/>
      <c r="B150" s="2523"/>
      <c r="C150" s="2524"/>
      <c r="D150" s="2524"/>
      <c r="E150" s="2525"/>
      <c r="F150" s="2525"/>
      <c r="G150" s="2525"/>
      <c r="H150" s="2022"/>
      <c r="I150" s="2022"/>
      <c r="J150" s="1995"/>
      <c r="K150" s="2022"/>
      <c r="L150" s="2022"/>
      <c r="M150" s="2022"/>
      <c r="N150" s="2022"/>
      <c r="O150" s="2022"/>
      <c r="P150" s="2185"/>
      <c r="Q150" s="2022"/>
      <c r="R150" s="2022"/>
      <c r="S150" s="2022"/>
      <c r="T150" s="2022"/>
      <c r="U150" s="2022"/>
      <c r="V150" s="2022"/>
      <c r="W150" s="2022"/>
      <c r="X150" s="2022"/>
      <c r="Y150" s="2022"/>
      <c r="Z150" s="2022"/>
      <c r="AA150" s="2022"/>
      <c r="AB150" s="2022"/>
      <c r="AC150" s="1995"/>
      <c r="AD150" s="1995"/>
      <c r="AE150" s="1995"/>
      <c r="AF150" s="1995"/>
      <c r="AG150" s="2006"/>
      <c r="AH150" s="2526"/>
      <c r="AI150" s="1443"/>
      <c r="AJ150" s="2477"/>
      <c r="AK150" s="1432"/>
    </row>
    <row r="151" spans="1:37" ht="14.25" customHeight="1">
      <c r="A151" s="2422"/>
      <c r="B151" s="2523"/>
      <c r="C151" s="2524"/>
      <c r="D151" s="2524"/>
      <c r="E151" s="2525"/>
      <c r="F151" s="2525"/>
      <c r="G151" s="2525"/>
      <c r="H151" s="2022"/>
      <c r="I151" s="2022"/>
      <c r="J151" s="1995"/>
      <c r="K151" s="2022"/>
      <c r="L151" s="2022"/>
      <c r="M151" s="2022"/>
      <c r="N151" s="2022"/>
      <c r="O151" s="2022"/>
      <c r="P151" s="2185"/>
      <c r="Q151" s="2022"/>
      <c r="R151" s="2022"/>
      <c r="S151" s="2022"/>
      <c r="T151" s="2022"/>
      <c r="U151" s="2022"/>
      <c r="V151" s="2022"/>
      <c r="W151" s="2022"/>
      <c r="X151" s="2022"/>
      <c r="Y151" s="2022"/>
      <c r="Z151" s="2022"/>
      <c r="AA151" s="2022"/>
      <c r="AB151" s="2022"/>
      <c r="AC151" s="1995"/>
      <c r="AD151" s="1995"/>
      <c r="AE151" s="1995"/>
      <c r="AF151" s="1995"/>
      <c r="AG151" s="2006"/>
      <c r="AH151" s="2526"/>
      <c r="AI151" s="1443"/>
      <c r="AJ151" s="2477"/>
      <c r="AK151" s="1432"/>
    </row>
    <row r="152" spans="1:37" ht="14.25" customHeight="1">
      <c r="A152" s="2422"/>
      <c r="B152" s="2523"/>
      <c r="C152" s="2524"/>
      <c r="D152" s="2524"/>
      <c r="E152" s="2525"/>
      <c r="F152" s="2525"/>
      <c r="G152" s="2525"/>
      <c r="H152" s="2022"/>
      <c r="I152" s="2022"/>
      <c r="J152" s="1995"/>
      <c r="K152" s="2022"/>
      <c r="L152" s="2022"/>
      <c r="M152" s="2022"/>
      <c r="N152" s="2022"/>
      <c r="O152" s="2022"/>
      <c r="P152" s="2185"/>
      <c r="Q152" s="2022"/>
      <c r="R152" s="2022"/>
      <c r="S152" s="2022"/>
      <c r="T152" s="2022"/>
      <c r="U152" s="2022"/>
      <c r="V152" s="2022"/>
      <c r="W152" s="2022"/>
      <c r="X152" s="2022"/>
      <c r="Y152" s="2022"/>
      <c r="Z152" s="2022"/>
      <c r="AA152" s="2022"/>
      <c r="AB152" s="2022"/>
      <c r="AC152" s="1995"/>
      <c r="AD152" s="1995"/>
      <c r="AE152" s="1995"/>
      <c r="AF152" s="1995"/>
      <c r="AG152" s="2006"/>
      <c r="AH152" s="2526"/>
      <c r="AI152" s="1443"/>
      <c r="AJ152" s="2477"/>
      <c r="AK152" s="1432"/>
    </row>
    <row r="153" spans="1:37" ht="14.25" customHeight="1">
      <c r="A153" s="2422"/>
      <c r="B153" s="2523"/>
      <c r="C153" s="2524"/>
      <c r="D153" s="2524"/>
      <c r="E153" s="2525"/>
      <c r="F153" s="2525"/>
      <c r="G153" s="2525"/>
      <c r="H153" s="2022"/>
      <c r="I153" s="2022"/>
      <c r="J153" s="1995"/>
      <c r="K153" s="2022"/>
      <c r="L153" s="2022"/>
      <c r="M153" s="2022"/>
      <c r="N153" s="2022"/>
      <c r="O153" s="2022"/>
      <c r="P153" s="2185"/>
      <c r="Q153" s="2022"/>
      <c r="R153" s="2022"/>
      <c r="S153" s="2022"/>
      <c r="T153" s="2022"/>
      <c r="U153" s="2022"/>
      <c r="V153" s="2022"/>
      <c r="W153" s="2022"/>
      <c r="X153" s="2022"/>
      <c r="Y153" s="2022"/>
      <c r="Z153" s="2022"/>
      <c r="AA153" s="2022"/>
      <c r="AB153" s="2022"/>
      <c r="AC153" s="1995"/>
      <c r="AD153" s="1995"/>
      <c r="AE153" s="1995"/>
      <c r="AF153" s="1995"/>
      <c r="AG153" s="2006"/>
      <c r="AH153" s="2526"/>
      <c r="AI153" s="1443"/>
      <c r="AJ153" s="2477"/>
      <c r="AK153" s="1432"/>
    </row>
    <row r="154" spans="1:37" ht="14.25" customHeight="1">
      <c r="A154" s="2422"/>
      <c r="B154" s="2523"/>
      <c r="C154" s="2524"/>
      <c r="D154" s="2524"/>
      <c r="E154" s="2525"/>
      <c r="F154" s="2525"/>
      <c r="G154" s="2525"/>
      <c r="H154" s="2022"/>
      <c r="I154" s="2022"/>
      <c r="J154" s="1995"/>
      <c r="K154" s="2022"/>
      <c r="L154" s="2022"/>
      <c r="M154" s="2022"/>
      <c r="N154" s="2022"/>
      <c r="O154" s="2022"/>
      <c r="P154" s="2185"/>
      <c r="Q154" s="2022"/>
      <c r="R154" s="2022"/>
      <c r="S154" s="2022"/>
      <c r="T154" s="2022"/>
      <c r="U154" s="2022"/>
      <c r="V154" s="2022"/>
      <c r="W154" s="2022"/>
      <c r="X154" s="2022"/>
      <c r="Y154" s="2022"/>
      <c r="Z154" s="2022"/>
      <c r="AA154" s="2022"/>
      <c r="AB154" s="2022"/>
      <c r="AC154" s="2185"/>
      <c r="AD154" s="2185"/>
      <c r="AE154" s="2185"/>
      <c r="AF154" s="2185"/>
      <c r="AG154" s="2022"/>
      <c r="AH154" s="2527"/>
      <c r="AI154" s="1433"/>
      <c r="AJ154" s="2528"/>
      <c r="AK154" s="1432"/>
    </row>
    <row r="155" spans="1:37" ht="14.25" customHeight="1">
      <c r="A155" s="2422"/>
      <c r="B155" s="2523"/>
      <c r="C155" s="2524"/>
      <c r="D155" s="2524"/>
      <c r="E155" s="2525"/>
      <c r="F155" s="2525"/>
      <c r="G155" s="2525"/>
      <c r="H155" s="2022"/>
      <c r="I155" s="2022"/>
      <c r="J155" s="1995"/>
      <c r="K155" s="2022"/>
      <c r="L155" s="2022"/>
      <c r="M155" s="2022"/>
      <c r="N155" s="2022"/>
      <c r="O155" s="2022"/>
      <c r="P155" s="2185"/>
      <c r="Q155" s="2022"/>
      <c r="R155" s="2022"/>
      <c r="S155" s="2022"/>
      <c r="T155" s="2022"/>
      <c r="U155" s="2022"/>
      <c r="V155" s="2022"/>
      <c r="W155" s="2022"/>
      <c r="X155" s="2022"/>
      <c r="Y155" s="2022"/>
      <c r="Z155" s="2022"/>
      <c r="AA155" s="2022"/>
      <c r="AB155" s="2022"/>
      <c r="AC155" s="2185"/>
      <c r="AD155" s="2185"/>
      <c r="AE155" s="2185"/>
      <c r="AF155" s="2185"/>
      <c r="AG155" s="2022"/>
      <c r="AH155" s="2527"/>
      <c r="AI155" s="1433"/>
      <c r="AJ155" s="2528"/>
      <c r="AK155" s="1432"/>
    </row>
    <row r="156" spans="1:37" ht="14.25" customHeight="1">
      <c r="A156" s="2422"/>
      <c r="B156" s="2523"/>
      <c r="C156" s="2524"/>
      <c r="D156" s="2524"/>
      <c r="E156" s="2525"/>
      <c r="F156" s="2525"/>
      <c r="G156" s="2525"/>
      <c r="H156" s="2022"/>
      <c r="I156" s="2022"/>
      <c r="J156" s="1995"/>
      <c r="K156" s="2022"/>
      <c r="L156" s="2022"/>
      <c r="M156" s="2022"/>
      <c r="N156" s="2022"/>
      <c r="O156" s="2022"/>
      <c r="P156" s="2185"/>
      <c r="Q156" s="2022"/>
      <c r="R156" s="2022"/>
      <c r="S156" s="2022"/>
      <c r="T156" s="2022"/>
      <c r="U156" s="2022"/>
      <c r="V156" s="2022"/>
      <c r="W156" s="2022"/>
      <c r="X156" s="2022"/>
      <c r="Y156" s="2022"/>
      <c r="Z156" s="2022"/>
      <c r="AA156" s="2022"/>
      <c r="AB156" s="2022"/>
      <c r="AC156" s="2185"/>
      <c r="AD156" s="2185"/>
      <c r="AE156" s="2185"/>
      <c r="AF156" s="2185"/>
      <c r="AG156" s="2022"/>
      <c r="AH156" s="2527"/>
      <c r="AI156" s="1433"/>
      <c r="AJ156" s="2528"/>
      <c r="AK156" s="1432"/>
    </row>
    <row r="157" spans="1:37" ht="14.25" customHeight="1">
      <c r="A157" s="2422"/>
      <c r="B157" s="2523"/>
      <c r="C157" s="2524"/>
      <c r="D157" s="2524"/>
      <c r="E157" s="2525"/>
      <c r="F157" s="2525"/>
      <c r="G157" s="2525"/>
      <c r="H157" s="2022"/>
      <c r="I157" s="2022"/>
      <c r="J157" s="1995"/>
      <c r="K157" s="2022"/>
      <c r="L157" s="2022"/>
      <c r="M157" s="2022"/>
      <c r="N157" s="2022"/>
      <c r="O157" s="2022"/>
      <c r="P157" s="2185"/>
      <c r="Q157" s="2022"/>
      <c r="R157" s="2022"/>
      <c r="S157" s="2022"/>
      <c r="T157" s="2022"/>
      <c r="U157" s="2022"/>
      <c r="V157" s="2022"/>
      <c r="W157" s="2022"/>
      <c r="X157" s="2022"/>
      <c r="Y157" s="2022"/>
      <c r="Z157" s="2022"/>
      <c r="AA157" s="2022"/>
      <c r="AB157" s="2022"/>
      <c r="AC157" s="2185"/>
      <c r="AD157" s="2185"/>
      <c r="AE157" s="2185"/>
      <c r="AF157" s="2185"/>
      <c r="AG157" s="2022"/>
      <c r="AH157" s="2527"/>
      <c r="AI157" s="1433"/>
      <c r="AJ157" s="2528"/>
      <c r="AK157" s="1432"/>
    </row>
    <row r="158" spans="1:37" ht="14.25" customHeight="1">
      <c r="A158" s="2422"/>
      <c r="B158" s="2523"/>
      <c r="C158" s="2524"/>
      <c r="D158" s="2524"/>
      <c r="E158" s="2525"/>
      <c r="F158" s="2525"/>
      <c r="G158" s="2525"/>
      <c r="H158" s="2022"/>
      <c r="I158" s="2022"/>
      <c r="J158" s="1995"/>
      <c r="K158" s="2022"/>
      <c r="L158" s="2022"/>
      <c r="M158" s="2022"/>
      <c r="N158" s="2022"/>
      <c r="O158" s="2022"/>
      <c r="P158" s="2185"/>
      <c r="Q158" s="2022"/>
      <c r="R158" s="2022"/>
      <c r="S158" s="2022"/>
      <c r="T158" s="2022"/>
      <c r="U158" s="2022"/>
      <c r="V158" s="2022"/>
      <c r="W158" s="2022"/>
      <c r="X158" s="2022"/>
      <c r="Y158" s="2022"/>
      <c r="Z158" s="2022"/>
      <c r="AA158" s="2022"/>
      <c r="AB158" s="2022"/>
      <c r="AC158" s="2185"/>
      <c r="AD158" s="2185"/>
      <c r="AE158" s="2185"/>
      <c r="AF158" s="2185"/>
      <c r="AG158" s="2022"/>
      <c r="AH158" s="2527"/>
      <c r="AI158" s="1433"/>
      <c r="AJ158" s="2528"/>
      <c r="AK158" s="1432"/>
    </row>
    <row r="159" spans="1:37" ht="14.25" customHeight="1">
      <c r="A159" s="2422"/>
      <c r="B159" s="2523"/>
      <c r="C159" s="2524"/>
      <c r="D159" s="2524"/>
      <c r="E159" s="2525"/>
      <c r="F159" s="2525"/>
      <c r="G159" s="2525"/>
      <c r="H159" s="2022"/>
      <c r="I159" s="2022"/>
      <c r="J159" s="1995"/>
      <c r="K159" s="2022"/>
      <c r="L159" s="2022"/>
      <c r="M159" s="2022"/>
      <c r="N159" s="2022"/>
      <c r="O159" s="2022"/>
      <c r="P159" s="2185"/>
      <c r="Q159" s="2022"/>
      <c r="R159" s="2022"/>
      <c r="S159" s="2022"/>
      <c r="T159" s="2022"/>
      <c r="U159" s="2022"/>
      <c r="V159" s="2022"/>
      <c r="W159" s="2022"/>
      <c r="X159" s="2022"/>
      <c r="Y159" s="2022"/>
      <c r="Z159" s="2022"/>
      <c r="AA159" s="2022"/>
      <c r="AB159" s="2022"/>
      <c r="AC159" s="2185"/>
      <c r="AD159" s="2185"/>
      <c r="AE159" s="2185"/>
      <c r="AF159" s="2185"/>
      <c r="AG159" s="2022"/>
      <c r="AH159" s="2527"/>
      <c r="AI159" s="1433"/>
      <c r="AJ159" s="2528"/>
      <c r="AK159" s="1432"/>
    </row>
    <row r="160" spans="1:37" ht="14.25" customHeight="1">
      <c r="A160" s="2422"/>
      <c r="B160" s="2523"/>
      <c r="C160" s="2524"/>
      <c r="D160" s="2524"/>
      <c r="E160" s="2525"/>
      <c r="F160" s="2525"/>
      <c r="G160" s="2525"/>
      <c r="H160" s="2022"/>
      <c r="I160" s="2022"/>
      <c r="J160" s="1995"/>
      <c r="K160" s="2022"/>
      <c r="L160" s="2022"/>
      <c r="M160" s="2022"/>
      <c r="N160" s="2022"/>
      <c r="O160" s="2022"/>
      <c r="P160" s="2185"/>
      <c r="Q160" s="2022"/>
      <c r="R160" s="2022"/>
      <c r="S160" s="2022"/>
      <c r="T160" s="2022"/>
      <c r="U160" s="2022"/>
      <c r="V160" s="2022"/>
      <c r="W160" s="2022"/>
      <c r="X160" s="2022"/>
      <c r="Y160" s="2022"/>
      <c r="Z160" s="2022"/>
      <c r="AA160" s="2022"/>
      <c r="AB160" s="2022"/>
      <c r="AC160" s="2185"/>
      <c r="AD160" s="2185"/>
      <c r="AE160" s="2185"/>
      <c r="AF160" s="2185"/>
      <c r="AG160" s="2022"/>
      <c r="AH160" s="2527"/>
      <c r="AI160" s="1433"/>
      <c r="AJ160" s="2528"/>
      <c r="AK160" s="1432"/>
    </row>
    <row r="161" spans="1:38" ht="14.25" customHeight="1">
      <c r="A161" s="2422"/>
      <c r="B161" s="2523"/>
      <c r="C161" s="2524"/>
      <c r="D161" s="2524"/>
      <c r="E161" s="2525"/>
      <c r="F161" s="2525"/>
      <c r="G161" s="2525"/>
      <c r="H161" s="2022"/>
      <c r="I161" s="2022"/>
      <c r="J161" s="1995"/>
      <c r="K161" s="2022"/>
      <c r="L161" s="2022"/>
      <c r="M161" s="2022"/>
      <c r="N161" s="2022"/>
      <c r="O161" s="2022"/>
      <c r="P161" s="2185"/>
      <c r="Q161" s="2022"/>
      <c r="R161" s="2022"/>
      <c r="S161" s="2022"/>
      <c r="T161" s="2022"/>
      <c r="U161" s="2022"/>
      <c r="V161" s="2022"/>
      <c r="W161" s="2022"/>
      <c r="X161" s="2022"/>
      <c r="Y161" s="2022"/>
      <c r="Z161" s="2022"/>
      <c r="AA161" s="2022"/>
      <c r="AB161" s="2022"/>
      <c r="AC161" s="2185"/>
      <c r="AD161" s="2185"/>
      <c r="AE161" s="2185"/>
      <c r="AF161" s="2185"/>
      <c r="AG161" s="2022"/>
      <c r="AH161" s="2527"/>
      <c r="AI161" s="1433"/>
      <c r="AJ161" s="2528"/>
      <c r="AK161" s="1432"/>
    </row>
    <row r="162" spans="1:38" ht="14.25" customHeight="1">
      <c r="A162" s="2422"/>
      <c r="B162" s="2523"/>
      <c r="C162" s="2524"/>
      <c r="D162" s="2524"/>
      <c r="E162" s="2525"/>
      <c r="F162" s="2525"/>
      <c r="G162" s="2525"/>
      <c r="H162" s="2022"/>
      <c r="I162" s="2022"/>
      <c r="J162" s="1995"/>
      <c r="K162" s="2022"/>
      <c r="L162" s="2022"/>
      <c r="M162" s="2022"/>
      <c r="N162" s="2022"/>
      <c r="O162" s="2022"/>
      <c r="P162" s="2185"/>
      <c r="Q162" s="2022"/>
      <c r="R162" s="2022"/>
      <c r="S162" s="2022"/>
      <c r="T162" s="2022"/>
      <c r="U162" s="2022"/>
      <c r="V162" s="2022"/>
      <c r="W162" s="2022"/>
      <c r="X162" s="2022"/>
      <c r="Y162" s="2022"/>
      <c r="Z162" s="2022"/>
      <c r="AA162" s="2022"/>
      <c r="AB162" s="2022"/>
      <c r="AC162" s="2185"/>
      <c r="AD162" s="2185"/>
      <c r="AE162" s="2185"/>
      <c r="AF162" s="2185"/>
      <c r="AG162" s="2022"/>
      <c r="AH162" s="2527"/>
      <c r="AI162" s="1433"/>
      <c r="AJ162" s="2528"/>
      <c r="AK162" s="1432"/>
    </row>
    <row r="163" spans="1:38" ht="20.100000000000001" customHeight="1">
      <c r="A163" s="2422"/>
      <c r="B163" s="2500"/>
      <c r="C163" s="2022"/>
      <c r="D163" s="2022"/>
      <c r="E163" s="2022"/>
      <c r="F163" s="2022"/>
      <c r="G163" s="2022"/>
      <c r="H163" s="2022"/>
      <c r="I163" s="2022"/>
      <c r="J163" s="1995"/>
      <c r="K163" s="2022"/>
      <c r="L163" s="2022"/>
      <c r="M163" s="2022"/>
      <c r="N163" s="2022"/>
      <c r="O163" s="2022"/>
      <c r="P163" s="2185"/>
      <c r="Q163" s="2022"/>
      <c r="R163" s="2022"/>
      <c r="S163" s="2022"/>
      <c r="T163" s="2022"/>
      <c r="U163" s="2022"/>
      <c r="V163" s="2022"/>
      <c r="W163" s="2022"/>
      <c r="X163" s="2022"/>
      <c r="Y163" s="2022"/>
      <c r="Z163" s="2022"/>
      <c r="AA163" s="2022"/>
      <c r="AB163" s="2022"/>
      <c r="AC163" s="2185"/>
      <c r="AD163" s="2185"/>
      <c r="AE163" s="2185"/>
      <c r="AF163" s="2185"/>
      <c r="AG163" s="2022"/>
      <c r="AH163" s="2527"/>
      <c r="AI163" s="1433"/>
      <c r="AJ163" s="2528"/>
      <c r="AK163" s="1432"/>
    </row>
    <row r="164" spans="1:38" ht="20.100000000000001" customHeight="1">
      <c r="A164" s="2422"/>
      <c r="B164" s="2500"/>
      <c r="C164" s="2022"/>
      <c r="D164" s="2022"/>
      <c r="E164" s="2022"/>
      <c r="F164" s="2022"/>
      <c r="G164" s="2022"/>
      <c r="H164" s="2022"/>
      <c r="I164" s="2022"/>
      <c r="J164" s="1995"/>
      <c r="K164" s="2022"/>
      <c r="L164" s="2022"/>
      <c r="M164" s="2022"/>
      <c r="N164" s="2022"/>
      <c r="O164" s="2022"/>
      <c r="P164" s="2185"/>
      <c r="Q164" s="2022"/>
      <c r="R164" s="2022"/>
      <c r="S164" s="2022"/>
      <c r="T164" s="2022"/>
      <c r="U164" s="2022"/>
      <c r="V164" s="2022"/>
      <c r="W164" s="2022"/>
      <c r="X164" s="2022"/>
      <c r="Y164" s="2022"/>
      <c r="Z164" s="2022"/>
      <c r="AA164" s="2022"/>
      <c r="AB164" s="2022"/>
      <c r="AC164" s="2185"/>
      <c r="AD164" s="2185"/>
      <c r="AE164" s="2185"/>
      <c r="AF164" s="2185"/>
      <c r="AG164" s="2022"/>
      <c r="AH164" s="2527"/>
      <c r="AI164" s="1433"/>
      <c r="AJ164" s="2528"/>
      <c r="AK164" s="1432"/>
      <c r="AL164" s="2022"/>
    </row>
    <row r="165" spans="1:38" ht="20.100000000000001" customHeight="1">
      <c r="A165" s="2422"/>
      <c r="B165" s="2500"/>
      <c r="C165" s="2022"/>
      <c r="D165" s="2022"/>
      <c r="E165" s="2022"/>
      <c r="F165" s="2022"/>
      <c r="G165" s="2022"/>
      <c r="H165" s="2022"/>
      <c r="I165" s="2022"/>
      <c r="J165" s="1995"/>
      <c r="K165" s="2022"/>
      <c r="L165" s="2022"/>
      <c r="M165" s="2022"/>
      <c r="N165" s="2022"/>
      <c r="O165" s="2022"/>
      <c r="P165" s="2185"/>
      <c r="Q165" s="2022"/>
      <c r="R165" s="2022"/>
      <c r="S165" s="2022"/>
      <c r="T165" s="2022"/>
      <c r="U165" s="2022"/>
      <c r="V165" s="2022"/>
      <c r="W165" s="2022"/>
      <c r="X165" s="2022"/>
      <c r="Y165" s="2022"/>
      <c r="Z165" s="2022"/>
      <c r="AA165" s="2022"/>
      <c r="AB165" s="2022"/>
      <c r="AC165" s="2185"/>
      <c r="AD165" s="2185"/>
      <c r="AE165" s="2185"/>
      <c r="AF165" s="2185"/>
      <c r="AG165" s="2022"/>
      <c r="AH165" s="2527"/>
      <c r="AI165" s="1433"/>
      <c r="AJ165" s="2528"/>
      <c r="AK165" s="1432"/>
      <c r="AL165" s="2022"/>
    </row>
    <row r="166" spans="1:38" ht="20.100000000000001" customHeight="1">
      <c r="B166" s="2500"/>
      <c r="C166" s="2022"/>
      <c r="D166" s="2022"/>
      <c r="E166" s="2022"/>
      <c r="F166" s="2022"/>
      <c r="G166" s="2022"/>
      <c r="H166" s="2022"/>
      <c r="I166" s="2022"/>
      <c r="J166" s="1995"/>
      <c r="K166" s="2022"/>
      <c r="L166" s="2022"/>
      <c r="M166" s="2022"/>
      <c r="N166" s="2022"/>
      <c r="O166" s="2022"/>
      <c r="P166" s="2185"/>
      <c r="Q166" s="2022"/>
      <c r="R166" s="2022"/>
      <c r="S166" s="2022"/>
      <c r="T166" s="2022"/>
      <c r="U166" s="2022"/>
      <c r="V166" s="2022"/>
      <c r="W166" s="2022"/>
      <c r="X166" s="2022"/>
      <c r="Y166" s="2022"/>
      <c r="Z166" s="2022"/>
      <c r="AA166" s="2022"/>
      <c r="AB166" s="2022"/>
      <c r="AC166" s="2185"/>
      <c r="AD166" s="2185"/>
      <c r="AE166" s="2185"/>
      <c r="AF166" s="2185"/>
      <c r="AG166" s="2022"/>
      <c r="AH166" s="2022"/>
      <c r="AI166" s="1433"/>
      <c r="AJ166" s="2528"/>
      <c r="AK166" s="1432"/>
      <c r="AL166" s="2022"/>
    </row>
    <row r="167" spans="1:38" ht="20.100000000000001" customHeight="1">
      <c r="B167" s="2022"/>
      <c r="C167" s="2022"/>
      <c r="D167" s="2022"/>
      <c r="E167" s="2022"/>
      <c r="F167" s="2022"/>
      <c r="G167" s="2022"/>
      <c r="H167" s="2022"/>
      <c r="I167" s="2022"/>
      <c r="J167" s="1995"/>
      <c r="K167" s="2022"/>
      <c r="L167" s="2022"/>
      <c r="M167" s="2022"/>
      <c r="N167" s="2022"/>
      <c r="O167" s="2022"/>
      <c r="P167" s="2185"/>
      <c r="Q167" s="2022"/>
      <c r="R167" s="2022"/>
      <c r="S167" s="2022"/>
      <c r="T167" s="2022"/>
      <c r="U167" s="2022"/>
      <c r="V167" s="2022"/>
      <c r="W167" s="2022"/>
      <c r="X167" s="2022"/>
      <c r="Y167" s="2022"/>
      <c r="Z167" s="2022"/>
      <c r="AA167" s="2022"/>
      <c r="AB167" s="2022"/>
      <c r="AC167" s="2185"/>
      <c r="AD167" s="2185"/>
      <c r="AE167" s="2185"/>
      <c r="AF167" s="2185"/>
      <c r="AG167" s="2022"/>
      <c r="AH167" s="2022"/>
      <c r="AI167" s="1433"/>
      <c r="AJ167" s="2528"/>
      <c r="AK167" s="1432"/>
      <c r="AL167" s="2022"/>
    </row>
    <row r="168" spans="1:38" ht="20.100000000000001" customHeight="1">
      <c r="B168" s="2529"/>
      <c r="C168" s="2022"/>
      <c r="D168" s="2022"/>
      <c r="E168" s="2022"/>
      <c r="F168" s="2022"/>
      <c r="G168" s="2022"/>
      <c r="H168" s="2022"/>
      <c r="I168" s="2022"/>
      <c r="J168" s="1995"/>
      <c r="K168" s="2022"/>
      <c r="L168" s="2022"/>
      <c r="M168" s="2022"/>
      <c r="N168" s="2022"/>
      <c r="O168" s="2022"/>
      <c r="P168" s="2185"/>
      <c r="Q168" s="2022"/>
      <c r="R168" s="2022"/>
      <c r="S168" s="2022"/>
      <c r="T168" s="2022"/>
      <c r="U168" s="2022"/>
      <c r="V168" s="2022"/>
      <c r="W168" s="2022"/>
      <c r="X168" s="2022"/>
      <c r="Y168" s="2022"/>
      <c r="Z168" s="2022"/>
      <c r="AA168" s="2022"/>
      <c r="AB168" s="2022"/>
      <c r="AC168" s="2185"/>
      <c r="AD168" s="2185"/>
      <c r="AE168" s="2185"/>
      <c r="AF168" s="2185"/>
      <c r="AG168" s="2022"/>
      <c r="AI168" s="2025"/>
      <c r="AJ168" s="2461"/>
      <c r="AK168" s="1449"/>
      <c r="AL168" s="2022"/>
    </row>
    <row r="169" spans="1:38" ht="20.100000000000001" customHeight="1">
      <c r="B169" s="2022"/>
      <c r="C169" s="2022"/>
      <c r="D169" s="2022"/>
      <c r="E169" s="2022"/>
      <c r="F169" s="2022"/>
      <c r="G169" s="2022"/>
      <c r="H169" s="2022"/>
      <c r="I169" s="2022"/>
      <c r="J169" s="1995"/>
      <c r="K169" s="2022"/>
      <c r="L169" s="2022"/>
      <c r="M169" s="2022"/>
      <c r="N169" s="2022"/>
      <c r="O169" s="2022"/>
      <c r="P169" s="2185"/>
      <c r="Q169" s="2022"/>
      <c r="R169" s="2022"/>
      <c r="S169" s="2022"/>
      <c r="T169" s="2022"/>
      <c r="U169" s="2022"/>
      <c r="V169" s="2022"/>
      <c r="W169" s="2022"/>
      <c r="X169" s="2022"/>
      <c r="Y169" s="2022"/>
      <c r="Z169" s="2022"/>
      <c r="AA169" s="2022"/>
      <c r="AB169" s="2022"/>
      <c r="AC169" s="2185"/>
      <c r="AD169" s="2185"/>
      <c r="AE169" s="2185"/>
      <c r="AF169" s="2185"/>
      <c r="AG169" s="2022"/>
      <c r="AI169" s="2025"/>
      <c r="AJ169" s="2461"/>
      <c r="AK169" s="1449"/>
      <c r="AL169" s="2022"/>
    </row>
    <row r="170" spans="1:38" ht="20.100000000000001" customHeight="1">
      <c r="B170" s="2022"/>
      <c r="C170" s="2022"/>
      <c r="D170" s="2022"/>
      <c r="E170" s="2022"/>
      <c r="F170" s="2022"/>
      <c r="G170" s="2022"/>
      <c r="H170" s="2022"/>
      <c r="I170" s="2022"/>
      <c r="J170" s="1995"/>
      <c r="K170" s="2022"/>
      <c r="L170" s="2022"/>
      <c r="M170" s="2022"/>
      <c r="N170" s="2022"/>
      <c r="O170" s="2022"/>
      <c r="P170" s="2185"/>
      <c r="Q170" s="2022"/>
      <c r="R170" s="2022"/>
      <c r="S170" s="2022"/>
      <c r="T170" s="2022"/>
      <c r="U170" s="2022"/>
      <c r="V170" s="2022"/>
      <c r="W170" s="2022"/>
      <c r="X170" s="2022"/>
      <c r="Y170" s="2022"/>
      <c r="Z170" s="2022"/>
      <c r="AA170" s="2022"/>
      <c r="AB170" s="2022"/>
      <c r="AC170" s="2185"/>
      <c r="AD170" s="2185"/>
      <c r="AE170" s="2185"/>
      <c r="AF170" s="2185"/>
      <c r="AG170" s="2022"/>
      <c r="AI170" s="2025"/>
      <c r="AJ170" s="2461"/>
      <c r="AK170" s="1449"/>
      <c r="AL170" s="2022"/>
    </row>
    <row r="171" spans="1:38" ht="20.100000000000001" customHeight="1">
      <c r="B171" s="2025"/>
      <c r="C171" s="2025"/>
      <c r="D171" s="2025"/>
      <c r="E171" s="2025"/>
      <c r="F171" s="2025"/>
      <c r="G171" s="2025"/>
      <c r="H171" s="2025"/>
      <c r="I171" s="2025"/>
      <c r="J171" s="2423"/>
      <c r="K171" s="2025"/>
      <c r="L171" s="2025"/>
      <c r="M171" s="2025"/>
      <c r="N171" s="2025"/>
      <c r="O171" s="2025"/>
      <c r="P171" s="2192"/>
      <c r="Q171" s="2025"/>
      <c r="R171" s="2025"/>
      <c r="S171" s="2025"/>
      <c r="T171" s="2025"/>
      <c r="U171" s="2025"/>
      <c r="V171" s="2025"/>
      <c r="W171" s="2025"/>
      <c r="X171" s="2025"/>
      <c r="Y171" s="2025"/>
      <c r="Z171" s="2025"/>
      <c r="AA171" s="2025"/>
      <c r="AB171" s="2025"/>
      <c r="AC171" s="2192"/>
      <c r="AD171" s="2192"/>
      <c r="AE171" s="2192"/>
      <c r="AF171" s="2192"/>
      <c r="AG171" s="2025"/>
      <c r="AI171" s="2025"/>
      <c r="AJ171" s="2461"/>
      <c r="AK171" s="1449"/>
      <c r="AL171" s="2022"/>
    </row>
    <row r="172" spans="1:38" ht="20.100000000000001" customHeight="1">
      <c r="B172" s="2025"/>
      <c r="C172" s="2025"/>
      <c r="D172" s="2025"/>
      <c r="E172" s="2025"/>
      <c r="F172" s="2025"/>
      <c r="G172" s="2025"/>
      <c r="H172" s="2025"/>
      <c r="I172" s="2025"/>
      <c r="J172" s="2423"/>
      <c r="K172" s="2025"/>
      <c r="L172" s="2025"/>
      <c r="M172" s="2025"/>
      <c r="N172" s="2025"/>
      <c r="O172" s="2025"/>
      <c r="P172" s="2192"/>
      <c r="Q172" s="2025"/>
      <c r="R172" s="2025"/>
      <c r="S172" s="2025"/>
      <c r="T172" s="2025"/>
      <c r="U172" s="2025"/>
      <c r="V172" s="2025"/>
      <c r="W172" s="2025"/>
      <c r="X172" s="2025"/>
      <c r="Y172" s="2025"/>
      <c r="Z172" s="2025"/>
      <c r="AA172" s="2025"/>
      <c r="AB172" s="2025"/>
      <c r="AC172" s="2192"/>
      <c r="AD172" s="2192"/>
      <c r="AE172" s="2192"/>
      <c r="AF172" s="2192"/>
      <c r="AG172" s="2025"/>
    </row>
    <row r="173" spans="1:38" ht="20.100000000000001" customHeight="1">
      <c r="B173" s="2025"/>
      <c r="C173" s="2025"/>
      <c r="D173" s="2025"/>
      <c r="E173" s="2025"/>
      <c r="F173" s="2025"/>
      <c r="G173" s="2025"/>
      <c r="H173" s="2025"/>
      <c r="I173" s="2025"/>
      <c r="J173" s="2423"/>
      <c r="K173" s="2025"/>
      <c r="L173" s="2025"/>
      <c r="M173" s="2025"/>
      <c r="N173" s="2025"/>
      <c r="O173" s="2025"/>
      <c r="P173" s="2192"/>
      <c r="Q173" s="2025"/>
      <c r="R173" s="2025"/>
      <c r="S173" s="2025"/>
      <c r="T173" s="2025"/>
      <c r="U173" s="2025"/>
      <c r="V173" s="2025"/>
      <c r="W173" s="2025"/>
      <c r="X173" s="2025"/>
      <c r="Y173" s="2025"/>
      <c r="Z173" s="2025"/>
      <c r="AA173" s="2025"/>
      <c r="AB173" s="2025"/>
      <c r="AC173" s="2192"/>
      <c r="AD173" s="2192"/>
      <c r="AE173" s="2192"/>
      <c r="AF173" s="2192"/>
      <c r="AG173" s="2025"/>
    </row>
    <row r="174" spans="1:38" ht="20.100000000000001" customHeight="1">
      <c r="B174" s="2025"/>
      <c r="C174" s="2025"/>
      <c r="D174" s="2025"/>
      <c r="E174" s="2025"/>
      <c r="F174" s="2025"/>
      <c r="G174" s="2025"/>
      <c r="H174" s="2025"/>
      <c r="I174" s="2025"/>
      <c r="J174" s="2423"/>
      <c r="K174" s="2025"/>
      <c r="L174" s="2025"/>
      <c r="M174" s="2025"/>
      <c r="N174" s="2025"/>
      <c r="O174" s="2025"/>
      <c r="P174" s="2192"/>
      <c r="Q174" s="2025"/>
      <c r="R174" s="2025"/>
      <c r="S174" s="2025"/>
      <c r="T174" s="2025"/>
      <c r="U174" s="2025"/>
      <c r="V174" s="2025"/>
      <c r="W174" s="2025"/>
      <c r="X174" s="2025"/>
      <c r="Y174" s="2025"/>
      <c r="Z174" s="2025"/>
      <c r="AA174" s="2025"/>
      <c r="AB174" s="2025"/>
      <c r="AC174" s="2192"/>
      <c r="AD174" s="2192"/>
      <c r="AE174" s="2192"/>
      <c r="AF174" s="2192"/>
      <c r="AG174" s="2025"/>
    </row>
    <row r="175" spans="1:38" ht="20.100000000000001" customHeight="1">
      <c r="B175" s="2025"/>
      <c r="C175" s="2025"/>
      <c r="D175" s="2025"/>
      <c r="E175" s="2025"/>
      <c r="F175" s="2025"/>
      <c r="G175" s="2025"/>
      <c r="H175" s="2025"/>
      <c r="I175" s="2025"/>
      <c r="J175" s="2423"/>
      <c r="K175" s="2025"/>
      <c r="L175" s="2025"/>
      <c r="M175" s="2025"/>
      <c r="N175" s="2025"/>
      <c r="O175" s="2025"/>
      <c r="P175" s="2192"/>
      <c r="Q175" s="2025"/>
      <c r="R175" s="2025"/>
      <c r="S175" s="2025"/>
      <c r="T175" s="2025"/>
      <c r="U175" s="2025"/>
      <c r="V175" s="2025"/>
      <c r="W175" s="2025"/>
      <c r="X175" s="2025"/>
      <c r="Y175" s="2025"/>
      <c r="Z175" s="2025"/>
      <c r="AA175" s="2025"/>
      <c r="AB175" s="2025"/>
      <c r="AC175" s="2192"/>
      <c r="AD175" s="2192"/>
      <c r="AE175" s="2192"/>
      <c r="AF175" s="2192"/>
      <c r="AG175" s="2025"/>
    </row>
    <row r="176" spans="1:38">
      <c r="B176" s="2025"/>
      <c r="C176" s="2025"/>
      <c r="D176" s="2025"/>
      <c r="E176" s="2025"/>
      <c r="F176" s="2025"/>
      <c r="G176" s="2025"/>
      <c r="H176" s="2025"/>
      <c r="I176" s="2025"/>
      <c r="J176" s="2423"/>
      <c r="K176" s="2025"/>
      <c r="L176" s="2025"/>
      <c r="M176" s="2025"/>
      <c r="N176" s="2025"/>
      <c r="O176" s="2025"/>
      <c r="P176" s="2192"/>
      <c r="Q176" s="2025"/>
      <c r="R176" s="2025"/>
      <c r="S176" s="2025"/>
      <c r="T176" s="2025"/>
      <c r="U176" s="2025"/>
      <c r="V176" s="2025"/>
      <c r="W176" s="2025"/>
      <c r="X176" s="2025"/>
      <c r="Y176" s="2025"/>
      <c r="Z176" s="2025"/>
      <c r="AA176" s="2025"/>
      <c r="AB176" s="2025"/>
      <c r="AC176" s="2192"/>
      <c r="AD176" s="2192"/>
      <c r="AE176" s="2192"/>
      <c r="AF176" s="2192"/>
      <c r="AG176" s="2025"/>
    </row>
    <row r="177" spans="2:33">
      <c r="B177" s="2025"/>
      <c r="C177" s="2025"/>
      <c r="D177" s="2025"/>
      <c r="E177" s="2025"/>
      <c r="F177" s="2025"/>
      <c r="G177" s="2025"/>
      <c r="H177" s="2025"/>
      <c r="I177" s="2025"/>
      <c r="J177" s="2423"/>
      <c r="K177" s="2025"/>
      <c r="L177" s="2025"/>
      <c r="M177" s="2025"/>
      <c r="N177" s="2025"/>
      <c r="O177" s="2025"/>
      <c r="P177" s="2192"/>
      <c r="Q177" s="2025"/>
      <c r="R177" s="2025"/>
      <c r="S177" s="2025"/>
      <c r="T177" s="2025"/>
      <c r="U177" s="2025"/>
      <c r="V177" s="2025"/>
      <c r="W177" s="2025"/>
      <c r="X177" s="2025"/>
      <c r="Y177" s="2025"/>
      <c r="Z177" s="2025"/>
      <c r="AA177" s="2025"/>
      <c r="AB177" s="2025"/>
      <c r="AC177" s="2192"/>
      <c r="AD177" s="2192"/>
      <c r="AE177" s="2192"/>
      <c r="AF177" s="2192"/>
      <c r="AG177" s="2025"/>
    </row>
    <row r="178" spans="2:33">
      <c r="B178" s="2025"/>
      <c r="C178" s="2025"/>
      <c r="D178" s="2025"/>
      <c r="E178" s="2025"/>
      <c r="F178" s="2025"/>
      <c r="G178" s="2025"/>
      <c r="H178" s="2025"/>
      <c r="I178" s="2025"/>
      <c r="J178" s="2423"/>
      <c r="K178" s="2025"/>
      <c r="L178" s="2025"/>
      <c r="M178" s="2025"/>
      <c r="N178" s="2025"/>
      <c r="O178" s="2025"/>
      <c r="P178" s="2192"/>
      <c r="Q178" s="2025"/>
      <c r="R178" s="2025"/>
      <c r="S178" s="2025"/>
      <c r="T178" s="2025"/>
      <c r="U178" s="2025"/>
      <c r="V178" s="2025"/>
      <c r="W178" s="2025"/>
      <c r="X178" s="2025"/>
      <c r="Y178" s="2025"/>
      <c r="Z178" s="2025"/>
      <c r="AA178" s="2025"/>
      <c r="AB178" s="2025"/>
      <c r="AC178" s="2192"/>
      <c r="AD178" s="2192"/>
      <c r="AE178" s="2192"/>
      <c r="AF178" s="2192"/>
      <c r="AG178" s="2025"/>
    </row>
    <row r="179" spans="2:33">
      <c r="B179" s="2025"/>
      <c r="C179" s="2025"/>
      <c r="D179" s="2025"/>
      <c r="E179" s="2025"/>
      <c r="F179" s="2025"/>
      <c r="G179" s="2025"/>
      <c r="H179" s="2025"/>
      <c r="I179" s="2025"/>
      <c r="J179" s="2423"/>
      <c r="K179" s="2025"/>
      <c r="L179" s="2025"/>
      <c r="M179" s="2025"/>
      <c r="N179" s="2025"/>
      <c r="O179" s="2025"/>
      <c r="P179" s="2192"/>
      <c r="Q179" s="2025"/>
      <c r="R179" s="2025"/>
      <c r="S179" s="2025"/>
      <c r="T179" s="2025"/>
      <c r="U179" s="2025"/>
      <c r="V179" s="2025"/>
      <c r="W179" s="2025"/>
      <c r="X179" s="2025"/>
      <c r="Y179" s="2025"/>
      <c r="Z179" s="2025"/>
      <c r="AA179" s="2025"/>
      <c r="AB179" s="2025"/>
      <c r="AC179" s="2192"/>
      <c r="AD179" s="2192"/>
      <c r="AE179" s="2192"/>
      <c r="AF179" s="2192"/>
      <c r="AG179" s="2025"/>
    </row>
    <row r="180" spans="2:33">
      <c r="B180" s="2025"/>
      <c r="C180" s="2025"/>
      <c r="D180" s="2025"/>
      <c r="E180" s="2025"/>
      <c r="F180" s="2025"/>
      <c r="G180" s="2025"/>
      <c r="H180" s="2025"/>
      <c r="I180" s="2025"/>
      <c r="J180" s="2423"/>
      <c r="K180" s="2025"/>
      <c r="L180" s="2025"/>
      <c r="M180" s="2025"/>
      <c r="N180" s="2025"/>
      <c r="O180" s="2025"/>
      <c r="P180" s="2192"/>
      <c r="Q180" s="2025"/>
      <c r="R180" s="2025"/>
      <c r="S180" s="2025"/>
      <c r="T180" s="2025"/>
      <c r="U180" s="2025"/>
      <c r="V180" s="2025"/>
      <c r="W180" s="2025"/>
      <c r="X180" s="2025"/>
      <c r="Y180" s="2025"/>
      <c r="Z180" s="2025"/>
      <c r="AA180" s="2025"/>
      <c r="AB180" s="2025"/>
      <c r="AC180" s="2192"/>
      <c r="AD180" s="2192"/>
      <c r="AE180" s="2192"/>
      <c r="AF180" s="2192"/>
      <c r="AG180" s="2025"/>
    </row>
    <row r="181" spans="2:33">
      <c r="B181" s="2025"/>
      <c r="C181" s="2025"/>
      <c r="D181" s="2025"/>
      <c r="E181" s="2025"/>
      <c r="F181" s="2025"/>
      <c r="G181" s="2025"/>
      <c r="H181" s="2025"/>
      <c r="I181" s="2025"/>
      <c r="J181" s="2423"/>
      <c r="K181" s="2025"/>
      <c r="L181" s="2025"/>
      <c r="M181" s="2025"/>
      <c r="N181" s="2025"/>
      <c r="O181" s="2025"/>
      <c r="P181" s="2192"/>
      <c r="Q181" s="2025"/>
      <c r="R181" s="2025"/>
      <c r="S181" s="2025"/>
      <c r="T181" s="2025"/>
      <c r="U181" s="2025"/>
      <c r="V181" s="2025"/>
      <c r="W181" s="2025"/>
      <c r="X181" s="2025"/>
      <c r="Y181" s="2025"/>
      <c r="Z181" s="2025"/>
      <c r="AA181" s="2025"/>
      <c r="AB181" s="2025"/>
      <c r="AC181" s="2192"/>
      <c r="AD181" s="2192"/>
      <c r="AE181" s="2192"/>
      <c r="AF181" s="2192"/>
      <c r="AG181" s="2025"/>
    </row>
    <row r="182" spans="2:33">
      <c r="B182" s="2025"/>
      <c r="C182" s="2025"/>
      <c r="D182" s="2025"/>
      <c r="E182" s="2025"/>
      <c r="F182" s="2025"/>
      <c r="G182" s="2025"/>
      <c r="H182" s="2025"/>
      <c r="I182" s="2025"/>
      <c r="J182" s="2423"/>
      <c r="K182" s="2025"/>
      <c r="L182" s="2025"/>
      <c r="M182" s="2025"/>
      <c r="N182" s="2025"/>
      <c r="O182" s="2025"/>
      <c r="P182" s="2192"/>
      <c r="Q182" s="2025"/>
      <c r="R182" s="2025"/>
      <c r="S182" s="2025"/>
      <c r="T182" s="2025"/>
      <c r="U182" s="2025"/>
      <c r="V182" s="2025"/>
      <c r="W182" s="2025"/>
      <c r="X182" s="2025"/>
      <c r="Y182" s="2025"/>
      <c r="Z182" s="2025"/>
      <c r="AA182" s="2025"/>
      <c r="AB182" s="2025"/>
      <c r="AC182" s="2192"/>
      <c r="AD182" s="2192"/>
      <c r="AE182" s="2192"/>
      <c r="AF182" s="2192"/>
      <c r="AG182" s="2025"/>
    </row>
    <row r="183" spans="2:33">
      <c r="B183" s="2025"/>
      <c r="C183" s="2025"/>
      <c r="D183" s="2025"/>
      <c r="E183" s="2025"/>
      <c r="F183" s="2025"/>
      <c r="G183" s="2025"/>
      <c r="H183" s="2025"/>
      <c r="I183" s="2025"/>
      <c r="J183" s="2423"/>
      <c r="K183" s="2025"/>
      <c r="L183" s="2025"/>
      <c r="M183" s="2025"/>
      <c r="N183" s="2025"/>
      <c r="O183" s="2025"/>
      <c r="P183" s="2192"/>
      <c r="Q183" s="2025"/>
      <c r="R183" s="2025"/>
      <c r="S183" s="2025"/>
      <c r="T183" s="2025"/>
      <c r="U183" s="2025"/>
      <c r="V183" s="2025"/>
      <c r="W183" s="2025"/>
      <c r="X183" s="2025"/>
      <c r="Y183" s="2025"/>
      <c r="Z183" s="2025"/>
      <c r="AA183" s="2025"/>
      <c r="AB183" s="2025"/>
      <c r="AC183" s="2192"/>
      <c r="AD183" s="2192"/>
      <c r="AE183" s="2192"/>
      <c r="AF183" s="2192"/>
      <c r="AG183" s="2025"/>
    </row>
    <row r="184" spans="2:33">
      <c r="B184" s="2025"/>
      <c r="C184" s="2025"/>
      <c r="D184" s="2025"/>
      <c r="E184" s="2025"/>
      <c r="F184" s="2025"/>
      <c r="G184" s="2025"/>
      <c r="H184" s="2025"/>
      <c r="I184" s="2025"/>
      <c r="J184" s="2423"/>
      <c r="K184" s="2025"/>
      <c r="L184" s="2025"/>
      <c r="M184" s="2025"/>
      <c r="N184" s="2025"/>
      <c r="O184" s="2025"/>
      <c r="P184" s="2192"/>
      <c r="Q184" s="2025"/>
      <c r="R184" s="2025"/>
      <c r="S184" s="2025"/>
      <c r="T184" s="2025"/>
      <c r="U184" s="2025"/>
      <c r="V184" s="2025"/>
      <c r="W184" s="2025"/>
      <c r="X184" s="2025"/>
      <c r="Y184" s="2025"/>
      <c r="Z184" s="2025"/>
      <c r="AA184" s="2025"/>
      <c r="AB184" s="2025"/>
      <c r="AC184" s="2192"/>
      <c r="AD184" s="2192"/>
      <c r="AE184" s="2192"/>
      <c r="AF184" s="2192"/>
      <c r="AG184" s="2025"/>
    </row>
    <row r="185" spans="2:33">
      <c r="B185" s="2025"/>
      <c r="C185" s="2025"/>
      <c r="D185" s="2025"/>
      <c r="E185" s="2025"/>
      <c r="F185" s="2025"/>
      <c r="G185" s="2025"/>
      <c r="H185" s="2025"/>
      <c r="I185" s="2025"/>
      <c r="J185" s="2423"/>
      <c r="K185" s="2025"/>
      <c r="L185" s="2025"/>
      <c r="M185" s="2025"/>
      <c r="N185" s="2025"/>
      <c r="O185" s="2025"/>
      <c r="P185" s="2192"/>
      <c r="Q185" s="2025"/>
      <c r="R185" s="2025"/>
      <c r="S185" s="2025"/>
      <c r="T185" s="2025"/>
      <c r="U185" s="2025"/>
      <c r="V185" s="2025"/>
      <c r="W185" s="2025"/>
      <c r="X185" s="2025"/>
      <c r="Y185" s="2025"/>
      <c r="Z185" s="2025"/>
      <c r="AA185" s="2025"/>
      <c r="AB185" s="2025"/>
      <c r="AC185" s="2192"/>
      <c r="AD185" s="2192"/>
      <c r="AE185" s="2192"/>
      <c r="AF185" s="2192"/>
      <c r="AG185" s="2025"/>
    </row>
    <row r="186" spans="2:33">
      <c r="B186" s="2025"/>
      <c r="C186" s="2025"/>
      <c r="D186" s="2025"/>
      <c r="E186" s="2025"/>
      <c r="F186" s="2025"/>
      <c r="G186" s="2025"/>
      <c r="H186" s="2025"/>
      <c r="I186" s="2025"/>
      <c r="J186" s="2423"/>
      <c r="K186" s="2025"/>
      <c r="L186" s="2025"/>
      <c r="M186" s="2025"/>
      <c r="N186" s="2025"/>
      <c r="O186" s="2025"/>
      <c r="P186" s="2192"/>
      <c r="Q186" s="2025"/>
      <c r="R186" s="2025"/>
      <c r="S186" s="2025"/>
      <c r="T186" s="2025"/>
      <c r="U186" s="2025"/>
      <c r="V186" s="2025"/>
      <c r="W186" s="2025"/>
      <c r="X186" s="2025"/>
      <c r="Y186" s="2025"/>
      <c r="Z186" s="2025"/>
      <c r="AA186" s="2025"/>
      <c r="AB186" s="2025"/>
      <c r="AC186" s="2192"/>
      <c r="AD186" s="2192"/>
      <c r="AE186" s="2192"/>
      <c r="AF186" s="2192"/>
      <c r="AG186" s="2025"/>
    </row>
    <row r="187" spans="2:33">
      <c r="B187" s="2025"/>
      <c r="C187" s="2025"/>
      <c r="D187" s="2025"/>
      <c r="E187" s="2025"/>
      <c r="F187" s="2025"/>
      <c r="G187" s="2025"/>
      <c r="H187" s="2025"/>
      <c r="I187" s="2025"/>
      <c r="J187" s="2423"/>
      <c r="K187" s="2025"/>
      <c r="L187" s="2025"/>
      <c r="M187" s="2025"/>
      <c r="N187" s="2025"/>
      <c r="O187" s="2025"/>
      <c r="P187" s="2192"/>
      <c r="Q187" s="2025"/>
      <c r="R187" s="2025"/>
      <c r="S187" s="2025"/>
      <c r="T187" s="2025"/>
      <c r="U187" s="2025"/>
      <c r="V187" s="2025"/>
      <c r="W187" s="2025"/>
      <c r="X187" s="2025"/>
      <c r="Y187" s="2025"/>
      <c r="Z187" s="2025"/>
      <c r="AA187" s="2025"/>
      <c r="AB187" s="2025"/>
      <c r="AC187" s="2192"/>
      <c r="AD187" s="2192"/>
      <c r="AE187" s="2192"/>
      <c r="AF187" s="2192"/>
      <c r="AG187" s="2025"/>
    </row>
    <row r="188" spans="2:33">
      <c r="B188" s="2025"/>
      <c r="C188" s="2025"/>
      <c r="D188" s="2025"/>
      <c r="E188" s="2025"/>
      <c r="F188" s="2025"/>
      <c r="G188" s="2025"/>
      <c r="H188" s="2025"/>
      <c r="I188" s="2025"/>
      <c r="J188" s="2423"/>
      <c r="K188" s="2025"/>
      <c r="L188" s="2025"/>
      <c r="M188" s="2025"/>
      <c r="N188" s="2025"/>
      <c r="O188" s="2025"/>
      <c r="P188" s="2192"/>
      <c r="Q188" s="2025"/>
      <c r="R188" s="2025"/>
      <c r="S188" s="2025"/>
      <c r="T188" s="2025"/>
      <c r="U188" s="2025"/>
      <c r="V188" s="2025"/>
      <c r="W188" s="2025"/>
      <c r="X188" s="2025"/>
      <c r="Y188" s="2025"/>
      <c r="Z188" s="2025"/>
      <c r="AA188" s="2025"/>
      <c r="AB188" s="2025"/>
      <c r="AC188" s="2192"/>
      <c r="AD188" s="2192"/>
      <c r="AE188" s="2192"/>
      <c r="AF188" s="2192"/>
      <c r="AG188" s="2025"/>
    </row>
    <row r="189" spans="2:33">
      <c r="B189" s="2025"/>
      <c r="C189" s="2025"/>
      <c r="D189" s="2025"/>
      <c r="E189" s="2025"/>
      <c r="F189" s="2025"/>
      <c r="G189" s="2025"/>
      <c r="H189" s="2025"/>
      <c r="I189" s="2025"/>
      <c r="J189" s="2423"/>
      <c r="K189" s="2025"/>
      <c r="L189" s="2025"/>
      <c r="M189" s="2025"/>
      <c r="N189" s="2025"/>
      <c r="O189" s="2025"/>
      <c r="P189" s="2192"/>
      <c r="Q189" s="2025"/>
      <c r="R189" s="2025"/>
      <c r="S189" s="2025"/>
      <c r="T189" s="2025"/>
      <c r="U189" s="2025"/>
      <c r="V189" s="2025"/>
      <c r="W189" s="2025"/>
      <c r="X189" s="2025"/>
      <c r="Y189" s="2025"/>
      <c r="Z189" s="2025"/>
      <c r="AA189" s="2025"/>
      <c r="AB189" s="2025"/>
      <c r="AC189" s="2192"/>
      <c r="AD189" s="2192"/>
      <c r="AE189" s="2192"/>
      <c r="AF189" s="2192"/>
      <c r="AG189" s="2025"/>
    </row>
    <row r="190" spans="2:33">
      <c r="B190" s="2025"/>
      <c r="C190" s="2025"/>
      <c r="D190" s="2025"/>
      <c r="E190" s="2025"/>
      <c r="F190" s="2025"/>
      <c r="G190" s="2025"/>
      <c r="H190" s="2025"/>
      <c r="I190" s="2025"/>
      <c r="J190" s="2423"/>
      <c r="K190" s="2025"/>
      <c r="L190" s="2025"/>
      <c r="M190" s="2025"/>
      <c r="N190" s="2025"/>
      <c r="O190" s="2025"/>
      <c r="P190" s="2192"/>
      <c r="Q190" s="2025"/>
      <c r="R190" s="2025"/>
      <c r="S190" s="2025"/>
      <c r="T190" s="2025"/>
      <c r="U190" s="2025"/>
      <c r="V190" s="2025"/>
      <c r="W190" s="2025"/>
      <c r="X190" s="2025"/>
      <c r="Y190" s="2025"/>
      <c r="Z190" s="2025"/>
      <c r="AA190" s="2025"/>
      <c r="AB190" s="2025"/>
      <c r="AC190" s="2192"/>
      <c r="AD190" s="2192"/>
      <c r="AE190" s="2192"/>
      <c r="AF190" s="2192"/>
      <c r="AG190" s="2025"/>
    </row>
    <row r="191" spans="2:33">
      <c r="B191" s="2025"/>
      <c r="C191" s="2025"/>
      <c r="D191" s="2025"/>
      <c r="E191" s="2025"/>
      <c r="F191" s="2025"/>
      <c r="G191" s="2025"/>
      <c r="H191" s="2025"/>
      <c r="I191" s="2025"/>
      <c r="J191" s="2423"/>
      <c r="K191" s="2025"/>
      <c r="L191" s="2025"/>
      <c r="M191" s="2025"/>
      <c r="N191" s="2025"/>
      <c r="O191" s="2025"/>
      <c r="P191" s="2192"/>
      <c r="Q191" s="2025"/>
      <c r="R191" s="2025"/>
      <c r="S191" s="2025"/>
      <c r="T191" s="2025"/>
      <c r="U191" s="2025"/>
      <c r="V191" s="2025"/>
      <c r="W191" s="2025"/>
      <c r="X191" s="2025"/>
      <c r="Y191" s="2025"/>
      <c r="Z191" s="2025"/>
      <c r="AA191" s="2025"/>
      <c r="AB191" s="2025"/>
      <c r="AC191" s="2192"/>
      <c r="AD191" s="2192"/>
      <c r="AE191" s="2192"/>
      <c r="AF191" s="2192"/>
      <c r="AG191" s="2025"/>
    </row>
    <row r="192" spans="2:33">
      <c r="B192" s="2025"/>
      <c r="C192" s="2025"/>
      <c r="D192" s="2025"/>
      <c r="E192" s="2025"/>
      <c r="F192" s="2025"/>
      <c r="G192" s="2025"/>
      <c r="H192" s="2025"/>
      <c r="I192" s="2025"/>
      <c r="J192" s="2423"/>
      <c r="K192" s="2025"/>
      <c r="L192" s="2025"/>
      <c r="M192" s="2025"/>
      <c r="N192" s="2025"/>
      <c r="O192" s="2025"/>
      <c r="P192" s="2192"/>
      <c r="Q192" s="2025"/>
      <c r="R192" s="2025"/>
      <c r="S192" s="2025"/>
      <c r="T192" s="2025"/>
      <c r="U192" s="2025"/>
      <c r="V192" s="2025"/>
      <c r="W192" s="2025"/>
      <c r="X192" s="2025"/>
      <c r="Y192" s="2025"/>
      <c r="Z192" s="2025"/>
      <c r="AA192" s="2025"/>
      <c r="AB192" s="2025"/>
      <c r="AC192" s="2192"/>
      <c r="AD192" s="2192"/>
      <c r="AE192" s="2192"/>
      <c r="AF192" s="2192"/>
      <c r="AG192" s="2025"/>
    </row>
    <row r="193" spans="2:33">
      <c r="B193" s="2025"/>
      <c r="C193" s="2025"/>
      <c r="D193" s="2025"/>
      <c r="E193" s="2025"/>
      <c r="F193" s="2025"/>
      <c r="G193" s="2025"/>
      <c r="H193" s="2025"/>
      <c r="I193" s="2025"/>
      <c r="J193" s="2423"/>
      <c r="K193" s="2025"/>
      <c r="L193" s="2025"/>
      <c r="M193" s="2025"/>
      <c r="N193" s="2025"/>
      <c r="O193" s="2025"/>
      <c r="P193" s="2192"/>
      <c r="Q193" s="2025"/>
      <c r="R193" s="2025"/>
      <c r="S193" s="2025"/>
      <c r="T193" s="2025"/>
      <c r="U193" s="2025"/>
      <c r="V193" s="2025"/>
      <c r="W193" s="2025"/>
      <c r="X193" s="2025"/>
      <c r="Y193" s="2025"/>
      <c r="Z193" s="2025"/>
      <c r="AA193" s="2025"/>
      <c r="AB193" s="2025"/>
      <c r="AC193" s="2192"/>
      <c r="AD193" s="2192"/>
      <c r="AE193" s="2192"/>
      <c r="AF193" s="2192"/>
      <c r="AG193" s="2025"/>
    </row>
    <row r="194" spans="2:33">
      <c r="B194" s="2025"/>
      <c r="C194" s="2025"/>
      <c r="D194" s="2025"/>
      <c r="E194" s="2025"/>
      <c r="F194" s="2025"/>
      <c r="G194" s="2025"/>
      <c r="H194" s="2025"/>
      <c r="I194" s="2025"/>
      <c r="J194" s="2423"/>
      <c r="K194" s="2025"/>
      <c r="L194" s="2025"/>
      <c r="M194" s="2025"/>
      <c r="N194" s="2025"/>
      <c r="O194" s="2025"/>
      <c r="P194" s="2192"/>
      <c r="Q194" s="2025"/>
      <c r="R194" s="2025"/>
      <c r="S194" s="2025"/>
      <c r="T194" s="2025"/>
      <c r="U194" s="2025"/>
      <c r="V194" s="2025"/>
      <c r="W194" s="2025"/>
      <c r="X194" s="2025"/>
      <c r="Y194" s="2025"/>
      <c r="Z194" s="2025"/>
      <c r="AA194" s="2025"/>
      <c r="AB194" s="2025"/>
      <c r="AC194" s="2192"/>
      <c r="AD194" s="2192"/>
      <c r="AE194" s="2192"/>
      <c r="AF194" s="2192"/>
      <c r="AG194" s="2025"/>
    </row>
    <row r="195" spans="2:33">
      <c r="B195" s="2025"/>
      <c r="C195" s="2025"/>
      <c r="D195" s="2025"/>
      <c r="E195" s="2025"/>
      <c r="F195" s="2025"/>
      <c r="G195" s="2025"/>
      <c r="H195" s="2025"/>
      <c r="I195" s="2025"/>
      <c r="J195" s="2423"/>
      <c r="K195" s="2025"/>
      <c r="L195" s="2025"/>
      <c r="M195" s="2025"/>
      <c r="N195" s="2025"/>
      <c r="O195" s="2025"/>
      <c r="P195" s="2192"/>
      <c r="Q195" s="2025"/>
      <c r="R195" s="2025"/>
      <c r="S195" s="2025"/>
      <c r="T195" s="2025"/>
      <c r="U195" s="2025"/>
      <c r="V195" s="2025"/>
      <c r="W195" s="2025"/>
      <c r="X195" s="2025"/>
      <c r="Y195" s="2025"/>
      <c r="Z195" s="2025"/>
      <c r="AA195" s="2025"/>
      <c r="AB195" s="2025"/>
      <c r="AC195" s="2192"/>
      <c r="AD195" s="2192"/>
      <c r="AE195" s="2192"/>
      <c r="AF195" s="2192"/>
      <c r="AG195" s="2025"/>
    </row>
    <row r="196" spans="2:33">
      <c r="B196" s="2025"/>
      <c r="C196" s="2025"/>
      <c r="D196" s="2025"/>
      <c r="E196" s="2025"/>
      <c r="F196" s="2025"/>
      <c r="G196" s="2025"/>
      <c r="H196" s="2025"/>
      <c r="I196" s="2025"/>
      <c r="J196" s="2423"/>
      <c r="K196" s="2025"/>
      <c r="L196" s="2025"/>
      <c r="M196" s="2025"/>
      <c r="N196" s="2025"/>
      <c r="O196" s="2025"/>
      <c r="P196" s="2192"/>
      <c r="Q196" s="2025"/>
      <c r="R196" s="2025"/>
      <c r="S196" s="2025"/>
      <c r="T196" s="2025"/>
      <c r="U196" s="2025"/>
      <c r="V196" s="2025"/>
      <c r="W196" s="2025"/>
      <c r="X196" s="2025"/>
      <c r="Y196" s="2025"/>
      <c r="Z196" s="2025"/>
      <c r="AA196" s="2025"/>
      <c r="AB196" s="2025"/>
      <c r="AC196" s="2192"/>
      <c r="AD196" s="2192"/>
      <c r="AE196" s="2192"/>
      <c r="AF196" s="2192"/>
      <c r="AG196" s="2025"/>
    </row>
    <row r="197" spans="2:33">
      <c r="B197" s="2025"/>
      <c r="C197" s="2025"/>
      <c r="D197" s="2025"/>
      <c r="E197" s="2025"/>
      <c r="F197" s="2025"/>
      <c r="G197" s="2025"/>
      <c r="H197" s="2025"/>
      <c r="I197" s="2025"/>
      <c r="J197" s="2423"/>
      <c r="K197" s="2025"/>
      <c r="L197" s="2025"/>
      <c r="M197" s="2025"/>
      <c r="N197" s="2025"/>
      <c r="O197" s="2025"/>
      <c r="P197" s="2192"/>
      <c r="Q197" s="2025"/>
      <c r="R197" s="2025"/>
      <c r="S197" s="2025"/>
      <c r="T197" s="2025"/>
      <c r="U197" s="2025"/>
      <c r="V197" s="2025"/>
      <c r="W197" s="2025"/>
      <c r="X197" s="2025"/>
      <c r="Y197" s="2025"/>
      <c r="Z197" s="2025"/>
      <c r="AA197" s="2025"/>
      <c r="AB197" s="2025"/>
      <c r="AC197" s="2192"/>
      <c r="AD197" s="2192"/>
      <c r="AE197" s="2192"/>
      <c r="AF197" s="2192"/>
      <c r="AG197" s="2025"/>
    </row>
    <row r="198" spans="2:33">
      <c r="B198" s="2025"/>
      <c r="C198" s="2025"/>
      <c r="D198" s="2025"/>
      <c r="E198" s="2025"/>
      <c r="F198" s="2025"/>
      <c r="G198" s="2025"/>
      <c r="H198" s="2025"/>
      <c r="I198" s="2025"/>
      <c r="J198" s="2423"/>
      <c r="K198" s="2025"/>
      <c r="L198" s="2025"/>
      <c r="M198" s="2025"/>
      <c r="N198" s="2025"/>
      <c r="O198" s="2025"/>
      <c r="P198" s="2192"/>
      <c r="Q198" s="2025"/>
      <c r="R198" s="2025"/>
      <c r="S198" s="2025"/>
      <c r="T198" s="2025"/>
      <c r="U198" s="2025"/>
      <c r="V198" s="2025"/>
      <c r="W198" s="2025"/>
      <c r="X198" s="2025"/>
      <c r="Y198" s="2025"/>
      <c r="Z198" s="2025"/>
      <c r="AA198" s="2025"/>
      <c r="AB198" s="2025"/>
      <c r="AC198" s="2192"/>
      <c r="AD198" s="2192"/>
      <c r="AE198" s="2192"/>
      <c r="AF198" s="2192"/>
      <c r="AG198" s="2025"/>
    </row>
    <row r="199" spans="2:33">
      <c r="B199" s="2025"/>
      <c r="C199" s="2025"/>
      <c r="D199" s="2025"/>
      <c r="E199" s="2025"/>
      <c r="F199" s="2025"/>
      <c r="G199" s="2025"/>
      <c r="H199" s="2025"/>
      <c r="I199" s="2025"/>
      <c r="J199" s="2423"/>
      <c r="K199" s="2025"/>
      <c r="L199" s="2025"/>
      <c r="M199" s="2025"/>
      <c r="N199" s="2025"/>
      <c r="O199" s="2025"/>
      <c r="P199" s="2192"/>
      <c r="Q199" s="2025"/>
      <c r="R199" s="2025"/>
      <c r="S199" s="2025"/>
      <c r="T199" s="2025"/>
      <c r="U199" s="2025"/>
      <c r="V199" s="2025"/>
      <c r="W199" s="2025"/>
      <c r="X199" s="2025"/>
      <c r="Y199" s="2025"/>
      <c r="Z199" s="2025"/>
      <c r="AA199" s="2025"/>
      <c r="AB199" s="2025"/>
      <c r="AC199" s="2192"/>
      <c r="AD199" s="2192"/>
      <c r="AE199" s="2192"/>
      <c r="AF199" s="2192"/>
      <c r="AG199" s="2025"/>
    </row>
    <row r="200" spans="2:33">
      <c r="B200" s="2025"/>
      <c r="C200" s="2025"/>
      <c r="D200" s="2025"/>
      <c r="E200" s="2025"/>
      <c r="F200" s="2025"/>
      <c r="G200" s="2025"/>
      <c r="H200" s="2025"/>
      <c r="I200" s="2025"/>
      <c r="J200" s="2423"/>
      <c r="K200" s="2025"/>
      <c r="L200" s="2025"/>
      <c r="M200" s="2025"/>
      <c r="N200" s="2025"/>
      <c r="O200" s="2025"/>
      <c r="P200" s="2192"/>
      <c r="Q200" s="2025"/>
      <c r="R200" s="2025"/>
      <c r="S200" s="2025"/>
      <c r="T200" s="2025"/>
      <c r="U200" s="2025"/>
      <c r="V200" s="2025"/>
      <c r="W200" s="2025"/>
      <c r="X200" s="2025"/>
      <c r="Y200" s="2025"/>
      <c r="Z200" s="2025"/>
      <c r="AA200" s="2025"/>
      <c r="AB200" s="2025"/>
      <c r="AC200" s="2192"/>
      <c r="AD200" s="2192"/>
      <c r="AE200" s="2192"/>
      <c r="AF200" s="2192"/>
      <c r="AG200" s="2025"/>
    </row>
    <row r="201" spans="2:33">
      <c r="B201" s="2025"/>
      <c r="C201" s="2025"/>
      <c r="D201" s="2025"/>
      <c r="E201" s="2025"/>
      <c r="F201" s="2025"/>
      <c r="G201" s="2025"/>
      <c r="H201" s="2025"/>
      <c r="I201" s="2025"/>
      <c r="J201" s="2423"/>
      <c r="K201" s="2025"/>
      <c r="L201" s="2025"/>
      <c r="M201" s="2025"/>
      <c r="N201" s="2025"/>
      <c r="O201" s="2025"/>
      <c r="P201" s="2192"/>
      <c r="Q201" s="2025"/>
      <c r="R201" s="2025"/>
      <c r="S201" s="2025"/>
      <c r="T201" s="2025"/>
      <c r="U201" s="2025"/>
      <c r="V201" s="2025"/>
      <c r="W201" s="2025"/>
      <c r="X201" s="2025"/>
      <c r="Y201" s="2025"/>
      <c r="Z201" s="2025"/>
      <c r="AA201" s="2025"/>
      <c r="AB201" s="2025"/>
      <c r="AC201" s="2192"/>
      <c r="AD201" s="2192"/>
      <c r="AE201" s="2192"/>
      <c r="AF201" s="2192"/>
      <c r="AG201" s="2025"/>
    </row>
    <row r="202" spans="2:33">
      <c r="B202" s="2025"/>
      <c r="C202" s="2025"/>
      <c r="D202" s="2025"/>
      <c r="E202" s="2025"/>
      <c r="F202" s="2025"/>
      <c r="G202" s="2025"/>
      <c r="H202" s="2025"/>
      <c r="I202" s="2025"/>
      <c r="J202" s="2423"/>
      <c r="K202" s="2025"/>
      <c r="L202" s="2025"/>
      <c r="M202" s="2025"/>
      <c r="N202" s="2025"/>
      <c r="O202" s="2025"/>
      <c r="P202" s="2192"/>
      <c r="Q202" s="2025"/>
      <c r="R202" s="2025"/>
      <c r="S202" s="2025"/>
      <c r="T202" s="2025"/>
      <c r="U202" s="2025"/>
      <c r="V202" s="2025"/>
      <c r="W202" s="2025"/>
      <c r="X202" s="2025"/>
      <c r="Y202" s="2025"/>
      <c r="Z202" s="2025"/>
      <c r="AA202" s="2025"/>
      <c r="AB202" s="2025"/>
      <c r="AC202" s="2192"/>
      <c r="AD202" s="2192"/>
      <c r="AE202" s="2192"/>
      <c r="AF202" s="2192"/>
      <c r="AG202" s="2025"/>
    </row>
    <row r="203" spans="2:33">
      <c r="B203" s="2025"/>
      <c r="C203" s="2025"/>
      <c r="D203" s="2025"/>
      <c r="E203" s="2025"/>
      <c r="F203" s="2025"/>
      <c r="G203" s="2025"/>
      <c r="H203" s="2025"/>
      <c r="I203" s="2025"/>
      <c r="J203" s="2423"/>
      <c r="K203" s="2025"/>
      <c r="L203" s="2025"/>
      <c r="M203" s="2025"/>
      <c r="N203" s="2025"/>
      <c r="O203" s="2025"/>
      <c r="P203" s="2192"/>
      <c r="Q203" s="2025"/>
      <c r="R203" s="2025"/>
      <c r="S203" s="2025"/>
      <c r="T203" s="2025"/>
      <c r="U203" s="2025"/>
      <c r="V203" s="2025"/>
      <c r="W203" s="2025"/>
      <c r="X203" s="2025"/>
      <c r="Y203" s="2025"/>
      <c r="Z203" s="2025"/>
      <c r="AA203" s="2025"/>
      <c r="AB203" s="2025"/>
      <c r="AC203" s="2192"/>
      <c r="AD203" s="2192"/>
      <c r="AE203" s="2192"/>
      <c r="AF203" s="2192"/>
      <c r="AG203" s="2025"/>
    </row>
    <row r="204" spans="2:33">
      <c r="B204" s="2025"/>
      <c r="C204" s="2025"/>
      <c r="D204" s="2025"/>
      <c r="E204" s="2025"/>
      <c r="F204" s="2025"/>
      <c r="G204" s="2025"/>
      <c r="H204" s="2025"/>
      <c r="I204" s="2025"/>
      <c r="J204" s="2423"/>
      <c r="K204" s="2025"/>
      <c r="L204" s="2025"/>
      <c r="M204" s="2025"/>
      <c r="N204" s="2025"/>
      <c r="O204" s="2025"/>
      <c r="P204" s="2192"/>
      <c r="Q204" s="2025"/>
      <c r="R204" s="2025"/>
      <c r="S204" s="2025"/>
      <c r="T204" s="2025"/>
      <c r="U204" s="2025"/>
      <c r="V204" s="2025"/>
      <c r="W204" s="2025"/>
      <c r="X204" s="2025"/>
      <c r="Y204" s="2025"/>
      <c r="Z204" s="2025"/>
      <c r="AA204" s="2025"/>
      <c r="AB204" s="2025"/>
      <c r="AC204" s="2192"/>
      <c r="AD204" s="2192"/>
      <c r="AE204" s="2192"/>
      <c r="AF204" s="2192"/>
      <c r="AG204" s="2025"/>
    </row>
    <row r="205" spans="2:33">
      <c r="B205" s="2025"/>
      <c r="C205" s="2025"/>
      <c r="D205" s="2025"/>
      <c r="E205" s="2025"/>
      <c r="F205" s="2025"/>
      <c r="G205" s="2025"/>
      <c r="H205" s="2025"/>
      <c r="I205" s="2025"/>
      <c r="J205" s="2423"/>
      <c r="K205" s="2025"/>
      <c r="L205" s="2025"/>
      <c r="M205" s="2025"/>
      <c r="N205" s="2025"/>
      <c r="O205" s="2025"/>
      <c r="P205" s="2192"/>
      <c r="Q205" s="2025"/>
      <c r="R205" s="2025"/>
      <c r="S205" s="2025"/>
      <c r="T205" s="2025"/>
      <c r="U205" s="2025"/>
      <c r="V205" s="2025"/>
      <c r="W205" s="2025"/>
      <c r="X205" s="2025"/>
      <c r="Y205" s="2025"/>
      <c r="Z205" s="2025"/>
      <c r="AA205" s="2025"/>
      <c r="AB205" s="2025"/>
      <c r="AC205" s="2192"/>
      <c r="AD205" s="2192"/>
      <c r="AE205" s="2192"/>
      <c r="AF205" s="2192"/>
      <c r="AG205" s="2025"/>
    </row>
    <row r="206" spans="2:33">
      <c r="B206" s="2025"/>
      <c r="C206" s="2025"/>
      <c r="D206" s="2025"/>
      <c r="E206" s="2025"/>
      <c r="F206" s="2025"/>
      <c r="G206" s="2025"/>
      <c r="H206" s="2025"/>
      <c r="I206" s="2025"/>
      <c r="J206" s="2423"/>
      <c r="K206" s="2025"/>
      <c r="L206" s="2025"/>
      <c r="M206" s="2025"/>
      <c r="N206" s="2025"/>
      <c r="O206" s="2025"/>
      <c r="P206" s="2192"/>
      <c r="Q206" s="2025"/>
      <c r="R206" s="2025"/>
      <c r="S206" s="2025"/>
      <c r="T206" s="2025"/>
      <c r="U206" s="2025"/>
      <c r="V206" s="2025"/>
      <c r="W206" s="2025"/>
      <c r="X206" s="2025"/>
      <c r="Y206" s="2025"/>
      <c r="Z206" s="2025"/>
      <c r="AA206" s="2025"/>
      <c r="AB206" s="2025"/>
      <c r="AC206" s="2192"/>
      <c r="AD206" s="2192"/>
      <c r="AE206" s="2192"/>
      <c r="AF206" s="2192"/>
      <c r="AG206" s="2025"/>
    </row>
    <row r="207" spans="2:33">
      <c r="B207" s="2025"/>
      <c r="C207" s="2025"/>
      <c r="D207" s="2025"/>
      <c r="E207" s="2025"/>
      <c r="F207" s="2025"/>
      <c r="G207" s="2025"/>
      <c r="H207" s="2025"/>
      <c r="I207" s="2025"/>
      <c r="J207" s="2423"/>
      <c r="K207" s="2025"/>
      <c r="L207" s="2025"/>
      <c r="M207" s="2025"/>
      <c r="N207" s="2025"/>
      <c r="O207" s="2025"/>
      <c r="P207" s="2192"/>
      <c r="Q207" s="2025"/>
      <c r="R207" s="2025"/>
      <c r="S207" s="2025"/>
      <c r="T207" s="2025"/>
      <c r="U207" s="2025"/>
      <c r="V207" s="2025"/>
      <c r="W207" s="2025"/>
      <c r="X207" s="2025"/>
      <c r="Y207" s="2025"/>
      <c r="Z207" s="2025"/>
      <c r="AA207" s="2025"/>
      <c r="AB207" s="2025"/>
      <c r="AC207" s="2192"/>
      <c r="AD207" s="2192"/>
      <c r="AE207" s="2192"/>
      <c r="AF207" s="2192"/>
      <c r="AG207" s="2025"/>
    </row>
    <row r="208" spans="2:33">
      <c r="B208" s="2025"/>
      <c r="C208" s="2025"/>
      <c r="D208" s="2025"/>
      <c r="E208" s="2025"/>
      <c r="F208" s="2025"/>
      <c r="G208" s="2025"/>
      <c r="H208" s="2025"/>
      <c r="I208" s="2025"/>
      <c r="J208" s="2423"/>
      <c r="K208" s="2025"/>
      <c r="L208" s="2025"/>
      <c r="M208" s="2025"/>
      <c r="N208" s="2025"/>
      <c r="O208" s="2025"/>
      <c r="P208" s="2192"/>
      <c r="Q208" s="2025"/>
      <c r="R208" s="2025"/>
      <c r="S208" s="2025"/>
      <c r="T208" s="2025"/>
      <c r="U208" s="2025"/>
      <c r="V208" s="2025"/>
      <c r="W208" s="2025"/>
      <c r="X208" s="2025"/>
      <c r="Y208" s="2025"/>
      <c r="Z208" s="2025"/>
      <c r="AA208" s="2025"/>
      <c r="AB208" s="2025"/>
      <c r="AC208" s="2192"/>
      <c r="AD208" s="2192"/>
      <c r="AE208" s="2192"/>
      <c r="AF208" s="2192"/>
      <c r="AG208" s="2025"/>
    </row>
    <row r="209" spans="2:33">
      <c r="B209" s="2025"/>
      <c r="C209" s="2025"/>
      <c r="D209" s="2025"/>
      <c r="E209" s="2025"/>
      <c r="F209" s="2025"/>
      <c r="G209" s="2025"/>
      <c r="H209" s="2025"/>
      <c r="I209" s="2025"/>
      <c r="J209" s="2423"/>
      <c r="K209" s="2025"/>
      <c r="L209" s="2025"/>
      <c r="M209" s="2025"/>
      <c r="N209" s="2025"/>
      <c r="O209" s="2025"/>
      <c r="P209" s="2192"/>
      <c r="Q209" s="2025"/>
      <c r="R209" s="2025"/>
      <c r="S209" s="2025"/>
      <c r="T209" s="2025"/>
      <c r="U209" s="2025"/>
      <c r="V209" s="2025"/>
      <c r="W209" s="2025"/>
      <c r="X209" s="2025"/>
      <c r="Y209" s="2025"/>
      <c r="Z209" s="2025"/>
      <c r="AA209" s="2025"/>
      <c r="AB209" s="2025"/>
      <c r="AC209" s="2192"/>
      <c r="AD209" s="2192"/>
      <c r="AE209" s="2192"/>
      <c r="AF209" s="2192"/>
      <c r="AG209" s="2025"/>
    </row>
    <row r="210" spans="2:33">
      <c r="B210" s="2025"/>
      <c r="C210" s="2025"/>
      <c r="D210" s="2025"/>
      <c r="E210" s="2025"/>
      <c r="F210" s="2025"/>
      <c r="G210" s="2025"/>
      <c r="H210" s="2025"/>
      <c r="I210" s="2025"/>
      <c r="J210" s="2423"/>
      <c r="K210" s="2025"/>
      <c r="L210" s="2025"/>
      <c r="M210" s="2025"/>
      <c r="N210" s="2025"/>
      <c r="O210" s="2025"/>
      <c r="P210" s="2192"/>
      <c r="Q210" s="2025"/>
      <c r="R210" s="2025"/>
      <c r="S210" s="2025"/>
      <c r="T210" s="2025"/>
      <c r="U210" s="2025"/>
      <c r="V210" s="2025"/>
      <c r="W210" s="2025"/>
      <c r="X210" s="2025"/>
      <c r="Y210" s="2025"/>
      <c r="Z210" s="2025"/>
      <c r="AA210" s="2025"/>
      <c r="AB210" s="2025"/>
      <c r="AC210" s="2192"/>
      <c r="AD210" s="2192"/>
      <c r="AE210" s="2192"/>
      <c r="AF210" s="2192"/>
      <c r="AG210" s="2025"/>
    </row>
    <row r="211" spans="2:33">
      <c r="B211" s="2025"/>
      <c r="C211" s="2025"/>
      <c r="D211" s="2025"/>
      <c r="E211" s="2025"/>
      <c r="F211" s="2025"/>
      <c r="G211" s="2025"/>
      <c r="H211" s="2025"/>
      <c r="I211" s="2025"/>
      <c r="J211" s="2423"/>
      <c r="K211" s="2025"/>
      <c r="L211" s="2025"/>
      <c r="M211" s="2025"/>
      <c r="N211" s="2025"/>
      <c r="O211" s="2025"/>
      <c r="P211" s="2192"/>
      <c r="Q211" s="2025"/>
      <c r="R211" s="2025"/>
      <c r="S211" s="2025"/>
      <c r="T211" s="2025"/>
      <c r="U211" s="2025"/>
      <c r="V211" s="2025"/>
      <c r="W211" s="2025"/>
      <c r="X211" s="2025"/>
      <c r="Y211" s="2025"/>
      <c r="Z211" s="2025"/>
      <c r="AA211" s="2025"/>
      <c r="AB211" s="2025"/>
      <c r="AC211" s="2192"/>
      <c r="AD211" s="2192"/>
      <c r="AE211" s="2192"/>
      <c r="AF211" s="2192"/>
      <c r="AG211" s="2025"/>
    </row>
    <row r="212" spans="2:33">
      <c r="B212" s="2025"/>
      <c r="C212" s="2025"/>
      <c r="D212" s="2025"/>
      <c r="E212" s="2025"/>
      <c r="F212" s="2025"/>
      <c r="G212" s="2025"/>
      <c r="H212" s="2025"/>
      <c r="I212" s="2025"/>
      <c r="J212" s="2423"/>
      <c r="K212" s="2025"/>
      <c r="L212" s="2025"/>
      <c r="M212" s="2025"/>
      <c r="N212" s="2025"/>
      <c r="O212" s="2025"/>
      <c r="P212" s="2192"/>
      <c r="Q212" s="2025"/>
      <c r="R212" s="2025"/>
      <c r="S212" s="2025"/>
      <c r="T212" s="2025"/>
      <c r="U212" s="2025"/>
      <c r="V212" s="2025"/>
      <c r="W212" s="2025"/>
      <c r="X212" s="2025"/>
      <c r="Y212" s="2025"/>
      <c r="Z212" s="2025"/>
      <c r="AA212" s="2025"/>
      <c r="AB212" s="2025"/>
      <c r="AC212" s="2192"/>
      <c r="AD212" s="2192"/>
      <c r="AE212" s="2192"/>
      <c r="AF212" s="2192"/>
      <c r="AG212" s="2025"/>
    </row>
    <row r="213" spans="2:33">
      <c r="B213" s="2025"/>
      <c r="C213" s="2025"/>
      <c r="D213" s="2025"/>
      <c r="E213" s="2025"/>
      <c r="F213" s="2025"/>
      <c r="G213" s="2025"/>
      <c r="H213" s="2025"/>
      <c r="I213" s="2025"/>
      <c r="J213" s="2423"/>
      <c r="K213" s="2025"/>
      <c r="L213" s="2025"/>
      <c r="M213" s="2025"/>
      <c r="N213" s="2025"/>
      <c r="O213" s="2025"/>
      <c r="P213" s="2192"/>
      <c r="Q213" s="2025"/>
      <c r="R213" s="2025"/>
      <c r="S213" s="2025"/>
      <c r="T213" s="2025"/>
      <c r="U213" s="2025"/>
      <c r="V213" s="2025"/>
      <c r="W213" s="2025"/>
      <c r="X213" s="2025"/>
      <c r="Y213" s="2025"/>
      <c r="Z213" s="2025"/>
      <c r="AA213" s="2025"/>
      <c r="AB213" s="2025"/>
      <c r="AC213" s="2192"/>
      <c r="AD213" s="2192"/>
      <c r="AE213" s="2192"/>
      <c r="AF213" s="2192"/>
      <c r="AG213" s="2025"/>
    </row>
  </sheetData>
  <mergeCells count="1">
    <mergeCell ref="AB8:AK8"/>
  </mergeCells>
  <pageMargins left="0.25" right="0.25" top="0.5" bottom="0.25" header="0.3" footer="0.3"/>
  <pageSetup scale="40" firstPageNumber="20" fitToHeight="2" orientation="landscape" useFirstPageNumber="1" r:id="rId1"/>
  <headerFooter scaleWithDoc="0" alignWithMargins="0">
    <oddFooter>&amp;C&amp;8&amp;P</oddFooter>
  </headerFooter>
  <rowBreaks count="1" manualBreakCount="1">
    <brk id="88" min="1" max="36" man="1"/>
  </rowBreaks>
  <ignoredErrors>
    <ignoredError sqref="AK85 AK129:AK130 AK117:AK118 AK120:AK127 AK17:AK21 AK88:AK90 AK102:AK108 AK67:AK69 AK80:AK81 AK92:AK93 AK52:AK56 AK58:AK60 AK32:AK33 AK36:AK41 AK64:AK65 AK110:AK115 AK24:AK30 AK95:AK100 AK43:AK48 AK62" unlockedFormula="1"/>
    <ignoredError sqref="AI20 AK79 AK49 D22 AK84 AK61" formula="1"/>
    <ignoredError sqref="AK70:AK74 AK128 AK101"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W174"/>
  <sheetViews>
    <sheetView showGridLines="0" zoomScale="80" zoomScaleNormal="80" workbookViewId="0"/>
  </sheetViews>
  <sheetFormatPr defaultColWidth="8.6640625" defaultRowHeight="15"/>
  <cols>
    <col min="1" max="1" width="1.6640625" style="2022" customWidth="1"/>
    <col min="2" max="2" width="45.44140625" style="2022" customWidth="1"/>
    <col min="3" max="3" width="1.6640625" style="2022" customWidth="1"/>
    <col min="4" max="4" width="12.44140625" style="2022" bestFit="1" customWidth="1"/>
    <col min="5" max="5" width="1.6640625" style="2530" customWidth="1"/>
    <col min="6" max="6" width="12.109375" style="2022" bestFit="1" customWidth="1"/>
    <col min="7" max="7" width="1.6640625" style="2530" customWidth="1"/>
    <col min="8" max="8" width="15" style="2022" customWidth="1"/>
    <col min="9" max="9" width="1.6640625" style="2530" customWidth="1"/>
    <col min="10" max="10" width="16.109375" style="2022" customWidth="1"/>
    <col min="11" max="11" width="1.6640625" style="2530" customWidth="1"/>
    <col min="12" max="12" width="13.44140625" style="2022" customWidth="1"/>
    <col min="13" max="13" width="1.6640625" style="2530" customWidth="1"/>
    <col min="14" max="14" width="14.109375" style="2022" customWidth="1"/>
    <col min="15" max="15" width="1.6640625" style="2530" customWidth="1"/>
    <col min="16" max="16" width="14.109375" style="2022" customWidth="1"/>
    <col min="17" max="17" width="1.6640625" style="2530" customWidth="1"/>
    <col min="18" max="18" width="14.109375" style="2022" customWidth="1"/>
    <col min="19" max="19" width="1.6640625" style="2530" customWidth="1"/>
    <col min="20" max="20" width="14.109375" style="2185" customWidth="1"/>
    <col min="21" max="21" width="1.6640625" style="2530" customWidth="1"/>
    <col min="22" max="22" width="14.109375" style="2022" customWidth="1"/>
    <col min="23" max="23" width="1.6640625" style="2530" customWidth="1"/>
    <col min="24" max="24" width="14.109375" style="2022" customWidth="1"/>
    <col min="25" max="25" width="1.6640625" style="2530" customWidth="1"/>
    <col min="26" max="26" width="14.109375" style="2022" customWidth="1"/>
    <col min="27" max="27" width="1.6640625" style="2022" customWidth="1"/>
    <col min="28" max="28" width="14.109375" style="2022" bestFit="1" customWidth="1"/>
    <col min="29" max="29" width="1.6640625" style="2022" customWidth="1"/>
    <col min="30" max="30" width="12.5546875" style="2185" bestFit="1" customWidth="1"/>
    <col min="31" max="31" width="1.44140625" style="2185" customWidth="1"/>
    <col min="32" max="32" width="1.109375" style="2185" customWidth="1"/>
    <col min="33" max="33" width="12.5546875" style="2185" bestFit="1" customWidth="1"/>
    <col min="34" max="34" width="0.6640625" style="2185" customWidth="1"/>
    <col min="35" max="35" width="0.6640625" style="2022" customWidth="1"/>
    <col min="36" max="36" width="12.6640625" style="2022" customWidth="1"/>
    <col min="37" max="37" width="0.6640625" style="2022" customWidth="1"/>
    <col min="38" max="38" width="10.6640625" style="1433" customWidth="1"/>
    <col min="39" max="16384" width="8.6640625" style="2022"/>
  </cols>
  <sheetData>
    <row r="1" spans="1:43">
      <c r="B1" s="2234" t="s">
        <v>963</v>
      </c>
    </row>
    <row r="2" spans="1:43" ht="15.75">
      <c r="A2" s="2527"/>
      <c r="N2" s="2427"/>
    </row>
    <row r="3" spans="1:43" s="2185" customFormat="1" ht="18">
      <c r="A3" s="3107"/>
      <c r="B3" s="3108" t="s">
        <v>0</v>
      </c>
      <c r="E3" s="2542"/>
      <c r="G3" s="2542"/>
      <c r="I3" s="2542"/>
      <c r="K3" s="2542"/>
      <c r="M3" s="2542"/>
      <c r="N3" s="2553"/>
      <c r="O3" s="2542"/>
      <c r="Q3" s="2542"/>
      <c r="S3" s="2542"/>
      <c r="U3" s="2542"/>
      <c r="W3" s="2542"/>
      <c r="Y3" s="2542"/>
      <c r="AE3" s="3109"/>
      <c r="AF3" s="3109"/>
      <c r="AG3" s="3109"/>
      <c r="AH3" s="3109"/>
      <c r="AI3" s="3109"/>
      <c r="AJ3" s="3109"/>
      <c r="AK3" s="3109"/>
      <c r="AL3" s="3110" t="s">
        <v>168</v>
      </c>
    </row>
    <row r="4" spans="1:43" s="2185" customFormat="1" ht="18">
      <c r="A4" s="3107"/>
      <c r="B4" s="3108" t="s">
        <v>1166</v>
      </c>
      <c r="E4" s="2542"/>
      <c r="G4" s="2542"/>
      <c r="I4" s="2542"/>
      <c r="K4" s="2542"/>
      <c r="L4" s="2553"/>
      <c r="M4" s="2542"/>
      <c r="O4" s="2542"/>
      <c r="Q4" s="2542"/>
      <c r="S4" s="2542"/>
      <c r="U4" s="2542"/>
      <c r="W4" s="2542"/>
      <c r="Y4" s="2542"/>
      <c r="AL4" s="3111"/>
    </row>
    <row r="5" spans="1:43" s="2185" customFormat="1" ht="18">
      <c r="A5" s="3107"/>
      <c r="B5" s="1474" t="s">
        <v>148</v>
      </c>
      <c r="E5" s="2542"/>
      <c r="G5" s="2542"/>
      <c r="I5" s="2542"/>
      <c r="K5" s="2542"/>
      <c r="L5" s="2465"/>
      <c r="M5" s="2542"/>
      <c r="O5" s="2542"/>
      <c r="Q5" s="2542"/>
      <c r="S5" s="2542"/>
      <c r="U5" s="2542"/>
      <c r="W5" s="2542"/>
      <c r="X5" s="2191"/>
      <c r="Y5" s="2542"/>
      <c r="AL5" s="3111"/>
    </row>
    <row r="6" spans="1:43" s="2185" customFormat="1" ht="20.25">
      <c r="A6" s="3107"/>
      <c r="B6" s="1474" t="str">
        <f>'Cashflow Governmental'!A6</f>
        <v xml:space="preserve">FISCAL YEAR 2020-2021   </v>
      </c>
      <c r="E6" s="2542"/>
      <c r="G6" s="2542"/>
      <c r="I6" s="2542"/>
      <c r="K6" s="2542"/>
      <c r="L6" s="2465"/>
      <c r="M6" s="2542"/>
      <c r="O6" s="2542"/>
      <c r="Q6" s="2542"/>
      <c r="S6" s="2542"/>
      <c r="U6" s="2542"/>
      <c r="W6" s="2542"/>
      <c r="Y6" s="2542"/>
      <c r="AL6" s="3112"/>
    </row>
    <row r="7" spans="1:43" s="2185" customFormat="1" ht="18">
      <c r="A7" s="3107"/>
      <c r="B7" s="3108" t="s">
        <v>1365</v>
      </c>
      <c r="E7" s="2542"/>
      <c r="G7" s="2542"/>
      <c r="I7" s="2542"/>
      <c r="K7" s="2542"/>
      <c r="M7" s="2542"/>
      <c r="O7" s="2542"/>
      <c r="Q7" s="2542"/>
      <c r="S7" s="2542"/>
      <c r="U7" s="2542"/>
      <c r="W7" s="2542"/>
      <c r="Y7" s="2542"/>
      <c r="AI7" s="2465"/>
      <c r="AJ7" s="2465"/>
      <c r="AK7" s="2465"/>
      <c r="AL7" s="2505"/>
    </row>
    <row r="8" spans="1:43">
      <c r="A8" s="2527"/>
      <c r="L8" s="2044"/>
      <c r="N8" s="2044"/>
      <c r="AC8" s="2044"/>
      <c r="AD8" s="2465"/>
      <c r="AE8" s="2465"/>
      <c r="AF8" s="2465"/>
      <c r="AG8" s="2465"/>
      <c r="AH8" s="2465"/>
      <c r="AI8" s="2044"/>
      <c r="AJ8" s="2044"/>
      <c r="AK8" s="2044"/>
      <c r="AL8" s="2469"/>
    </row>
    <row r="9" spans="1:43" s="2025" customFormat="1" ht="19.5" customHeight="1">
      <c r="A9" s="2422"/>
      <c r="E9" s="2530"/>
      <c r="G9" s="2530"/>
      <c r="I9" s="2530"/>
      <c r="K9" s="2530"/>
      <c r="L9" s="2531"/>
      <c r="M9" s="2530"/>
      <c r="N9" s="2531"/>
      <c r="O9" s="2530"/>
      <c r="Q9" s="2530"/>
      <c r="S9" s="2530"/>
      <c r="T9" s="2192"/>
      <c r="U9" s="2530"/>
      <c r="W9" s="2530"/>
      <c r="Y9" s="2530"/>
      <c r="AB9" s="2441" t="s">
        <v>1259</v>
      </c>
      <c r="AC9" s="3954" t="s">
        <v>1558</v>
      </c>
      <c r="AD9" s="3954"/>
      <c r="AE9" s="3954"/>
      <c r="AF9" s="3954"/>
      <c r="AG9" s="3954"/>
      <c r="AH9" s="3954"/>
      <c r="AI9" s="3954"/>
      <c r="AJ9" s="3954"/>
      <c r="AK9" s="3954"/>
      <c r="AL9" s="3954"/>
    </row>
    <row r="10" spans="1:43" ht="15.75">
      <c r="A10" s="2527"/>
      <c r="D10" s="2532" t="str">
        <f>'Cashflow Governmental'!C13</f>
        <v>2020</v>
      </c>
      <c r="F10" s="2427"/>
      <c r="H10" s="2427"/>
      <c r="J10" s="2427"/>
      <c r="L10" s="2427"/>
      <c r="N10" s="2427"/>
      <c r="P10" s="2427"/>
      <c r="R10" s="2427"/>
      <c r="T10" s="2553"/>
      <c r="V10" s="2532">
        <f>'Cashflow Governmental'!U13</f>
        <v>2021</v>
      </c>
      <c r="X10" s="2427"/>
      <c r="Z10" s="2427"/>
      <c r="AA10" s="2427"/>
      <c r="AB10" s="2441" t="s">
        <v>1260</v>
      </c>
      <c r="AC10" s="2427"/>
      <c r="AD10" s="2437"/>
      <c r="AE10" s="2437"/>
      <c r="AF10" s="2437"/>
      <c r="AG10" s="2437"/>
      <c r="AH10" s="2437"/>
      <c r="AI10" s="2428"/>
      <c r="AJ10" s="2439" t="s">
        <v>8</v>
      </c>
      <c r="AK10" s="2435"/>
      <c r="AL10" s="2440" t="s">
        <v>9</v>
      </c>
      <c r="AM10" s="2428"/>
      <c r="AN10" s="2428"/>
      <c r="AO10" s="2428"/>
      <c r="AP10" s="2428"/>
      <c r="AQ10" s="2428"/>
    </row>
    <row r="11" spans="1:43" ht="15.75">
      <c r="A11" s="2527"/>
      <c r="D11" s="2441" t="s">
        <v>124</v>
      </c>
      <c r="F11" s="2441" t="s">
        <v>125</v>
      </c>
      <c r="H11" s="2441" t="s">
        <v>126</v>
      </c>
      <c r="J11" s="2441" t="s">
        <v>127</v>
      </c>
      <c r="L11" s="2533" t="s">
        <v>128</v>
      </c>
      <c r="N11" s="2441" t="s">
        <v>143</v>
      </c>
      <c r="P11" s="2441" t="s">
        <v>144</v>
      </c>
      <c r="R11" s="2441" t="s">
        <v>131</v>
      </c>
      <c r="T11" s="3384" t="s">
        <v>132</v>
      </c>
      <c r="V11" s="2441" t="s">
        <v>133</v>
      </c>
      <c r="X11" s="2441" t="s">
        <v>134</v>
      </c>
      <c r="Z11" s="2441" t="s">
        <v>185</v>
      </c>
      <c r="AA11" s="2441"/>
      <c r="AB11" s="2533" t="s">
        <v>1261</v>
      </c>
      <c r="AC11" s="2427"/>
      <c r="AD11" s="2586">
        <f>'Cashflow Governmental'!AB14</f>
        <v>2021</v>
      </c>
      <c r="AE11" s="2553" t="s">
        <v>15</v>
      </c>
      <c r="AF11" s="2556"/>
      <c r="AG11" s="2586">
        <f>'Cashflow Governmental'!AE14</f>
        <v>2020</v>
      </c>
      <c r="AH11" s="3477"/>
      <c r="AI11" s="2428"/>
      <c r="AJ11" s="2446" t="s">
        <v>12</v>
      </c>
      <c r="AK11" s="2428"/>
      <c r="AL11" s="2446" t="s">
        <v>13</v>
      </c>
      <c r="AM11" s="2428"/>
      <c r="AN11" s="2428"/>
      <c r="AO11" s="2428"/>
      <c r="AP11" s="2428"/>
      <c r="AQ11" s="2428"/>
    </row>
    <row r="12" spans="1:43" ht="5.25" customHeight="1">
      <c r="A12" s="2527"/>
      <c r="D12" s="2448"/>
      <c r="F12" s="2448"/>
      <c r="H12" s="2448"/>
      <c r="J12" s="2448"/>
      <c r="L12" s="2448"/>
      <c r="N12" s="2534"/>
      <c r="P12" s="2448"/>
      <c r="R12" s="2448"/>
      <c r="T12" s="3054"/>
      <c r="V12" s="2448"/>
      <c r="X12" s="2448"/>
      <c r="Z12" s="2448"/>
      <c r="AA12" s="2021"/>
      <c r="AD12" s="3054"/>
      <c r="AG12" s="3054"/>
      <c r="AH12" s="2184"/>
      <c r="AI12" s="2535"/>
    </row>
    <row r="13" spans="1:43" ht="15" customHeight="1">
      <c r="A13" s="2044"/>
      <c r="B13" s="2536" t="s">
        <v>1220</v>
      </c>
      <c r="C13" s="2044"/>
      <c r="D13" s="2029">
        <f>'Exhibit G State'!D13+'Exhibit G Federal'!D13</f>
        <v>6312.0999999999995</v>
      </c>
      <c r="F13" s="2455">
        <f>D122</f>
        <v>11224</v>
      </c>
      <c r="H13" s="2455">
        <f>F122</f>
        <v>11140.2</v>
      </c>
      <c r="J13" s="2455">
        <f>H122</f>
        <v>14472.7</v>
      </c>
      <c r="L13" s="2455">
        <f>J122</f>
        <v>13232.7</v>
      </c>
      <c r="N13" s="2455">
        <f>L122</f>
        <v>12870.2</v>
      </c>
      <c r="P13" s="2000">
        <f>N122</f>
        <v>9510.2999999999993</v>
      </c>
      <c r="R13" s="2455">
        <f>P122</f>
        <v>12183.8</v>
      </c>
      <c r="T13" s="2029">
        <f>R122</f>
        <v>11260.9</v>
      </c>
      <c r="V13" s="2455">
        <f>T122</f>
        <v>10778.6</v>
      </c>
      <c r="X13" s="2455"/>
      <c r="Z13" s="2455"/>
      <c r="AA13" s="2455"/>
      <c r="AB13" s="2455">
        <v>0</v>
      </c>
      <c r="AC13" s="2537"/>
      <c r="AD13" s="2029">
        <f>D13</f>
        <v>6312.0999999999995</v>
      </c>
      <c r="AE13" s="2029"/>
      <c r="AF13" s="3453"/>
      <c r="AG13" s="2453">
        <f>'Exhibit G State'!AG13+'Exhibit G Federal'!AG13</f>
        <v>3842.4000000000005</v>
      </c>
      <c r="AH13" s="3478"/>
      <c r="AI13" s="2019"/>
      <c r="AJ13" s="2538">
        <f>AD13-AG13</f>
        <v>2469.6999999999989</v>
      </c>
      <c r="AK13" s="2539"/>
      <c r="AL13" s="2490">
        <f>(AD13-AG13)/AG13</f>
        <v>0.64274932333957902</v>
      </c>
      <c r="AM13" s="2024"/>
      <c r="AN13" s="2024"/>
      <c r="AO13" s="2024"/>
      <c r="AP13" s="2024"/>
      <c r="AQ13" s="2024"/>
    </row>
    <row r="14" spans="1:43" ht="15" customHeight="1">
      <c r="A14" s="2044"/>
      <c r="B14" s="2044"/>
      <c r="C14" s="2044"/>
      <c r="AC14" s="2540"/>
      <c r="AF14" s="3454"/>
      <c r="AH14" s="3479"/>
      <c r="AI14" s="2021"/>
      <c r="AL14" s="1432"/>
    </row>
    <row r="15" spans="1:43" ht="15" customHeight="1">
      <c r="A15" s="2044"/>
      <c r="B15" s="2427" t="s">
        <v>14</v>
      </c>
      <c r="C15" s="2044"/>
      <c r="D15" s="2006"/>
      <c r="F15" s="2006"/>
      <c r="H15" s="2006"/>
      <c r="J15" s="2006"/>
      <c r="L15" s="2006"/>
      <c r="N15" s="2006"/>
      <c r="P15" s="2006"/>
      <c r="R15" s="2006"/>
      <c r="T15" s="1995"/>
      <c r="V15" s="2006"/>
      <c r="X15" s="2006"/>
      <c r="Z15" s="2006"/>
      <c r="AA15" s="2006"/>
      <c r="AB15" s="2006"/>
      <c r="AC15" s="2037"/>
      <c r="AD15" s="1995"/>
      <c r="AE15" s="1995"/>
      <c r="AF15" s="2039"/>
      <c r="AG15" s="1995"/>
      <c r="AH15" s="3480"/>
      <c r="AI15" s="2007"/>
      <c r="AJ15" s="2006"/>
      <c r="AL15" s="1432"/>
    </row>
    <row r="16" spans="1:43" ht="15" customHeight="1">
      <c r="A16" s="2044"/>
      <c r="B16" s="2462" t="s">
        <v>1078</v>
      </c>
      <c r="C16" s="2044"/>
      <c r="D16" s="2006"/>
      <c r="F16" s="2006"/>
      <c r="H16" s="2006"/>
      <c r="J16" s="2006"/>
      <c r="L16" s="2006"/>
      <c r="N16" s="2006"/>
      <c r="P16" s="2006"/>
      <c r="R16" s="2006"/>
      <c r="T16" s="1995"/>
      <c r="V16" s="2006"/>
      <c r="X16" s="2006"/>
      <c r="Z16" s="2006"/>
      <c r="AA16" s="2006"/>
      <c r="AB16" s="2006"/>
      <c r="AC16" s="2037"/>
      <c r="AD16" s="1995"/>
      <c r="AE16" s="1995"/>
      <c r="AF16" s="2039"/>
      <c r="AG16" s="1995"/>
      <c r="AH16" s="3480"/>
      <c r="AI16" s="2007"/>
      <c r="AJ16" s="2006"/>
      <c r="AL16" s="1432"/>
    </row>
    <row r="17" spans="1:38" s="2428" customFormat="1" ht="15" customHeight="1">
      <c r="A17" s="2427"/>
      <c r="B17" s="2541" t="s">
        <v>1081</v>
      </c>
      <c r="C17" s="2427"/>
      <c r="D17" s="2000">
        <f>'Exhibit G State'!D17</f>
        <v>0</v>
      </c>
      <c r="E17" s="1443"/>
      <c r="F17" s="2000">
        <f>'Exhibit G State'!F17</f>
        <v>0</v>
      </c>
      <c r="G17" s="1443"/>
      <c r="H17" s="2000">
        <f>'Exhibit G State'!H17</f>
        <v>0</v>
      </c>
      <c r="I17" s="2530"/>
      <c r="J17" s="2000">
        <f>'Exhibit G State'!J17</f>
        <v>0</v>
      </c>
      <c r="K17" s="2542"/>
      <c r="L17" s="2000">
        <f>'Exhibit G State'!L17</f>
        <v>0</v>
      </c>
      <c r="M17" s="2542"/>
      <c r="N17" s="2000">
        <f>'Exhibit G State'!N17</f>
        <v>0.1</v>
      </c>
      <c r="O17" s="2542"/>
      <c r="P17" s="2000">
        <f>'Exhibit G State'!P17</f>
        <v>0.1</v>
      </c>
      <c r="Q17" s="2542"/>
      <c r="R17" s="2000">
        <f>'Exhibit G State'!R17</f>
        <v>1.4</v>
      </c>
      <c r="S17" s="2542"/>
      <c r="T17" s="2000">
        <f>'Exhibit G State'!T17</f>
        <v>35</v>
      </c>
      <c r="U17" s="2542"/>
      <c r="V17" s="2000">
        <f>'Exhibit G State'!V17</f>
        <v>1972</v>
      </c>
      <c r="W17" s="2542"/>
      <c r="X17" s="2000"/>
      <c r="Y17" s="2542"/>
      <c r="Z17" s="2000"/>
      <c r="AA17" s="2000"/>
      <c r="AB17" s="1443">
        <v>0</v>
      </c>
      <c r="AC17" s="2537"/>
      <c r="AD17" s="2000">
        <f>ROUND(SUM(D17:Z17),1)</f>
        <v>2008.6</v>
      </c>
      <c r="AE17" s="2000"/>
      <c r="AF17" s="2001"/>
      <c r="AG17" s="2032">
        <f>'Exhibit G State'!AG17</f>
        <v>2149.1</v>
      </c>
      <c r="AH17" s="3481"/>
      <c r="AI17" s="2477"/>
      <c r="AJ17" s="1443">
        <f>ROUND(SUM(+AD17-AG17),1)</f>
        <v>-140.5</v>
      </c>
      <c r="AK17" s="2543"/>
      <c r="AL17" s="1438">
        <f>ROUND(IF(AG17=0,1,AJ17/ABS(AG17)),3)</f>
        <v>-6.5000000000000002E-2</v>
      </c>
    </row>
    <row r="18" spans="1:38" s="2428" customFormat="1" ht="6" customHeight="1">
      <c r="A18" s="2427"/>
      <c r="B18" s="2541"/>
      <c r="C18" s="2427"/>
      <c r="D18" s="2544"/>
      <c r="E18" s="2530"/>
      <c r="F18" s="2544"/>
      <c r="G18" s="2530"/>
      <c r="H18" s="2544"/>
      <c r="I18" s="2530"/>
      <c r="J18" s="2544"/>
      <c r="K18" s="2542"/>
      <c r="L18" s="2544"/>
      <c r="M18" s="2542"/>
      <c r="N18" s="2544">
        <f>'Exhibit G State'!N18</f>
        <v>0</v>
      </c>
      <c r="O18" s="2542"/>
      <c r="P18" s="2544">
        <f>'Exhibit G State'!P18</f>
        <v>0</v>
      </c>
      <c r="Q18" s="2542"/>
      <c r="R18" s="2544"/>
      <c r="S18" s="2542"/>
      <c r="T18" s="2544"/>
      <c r="U18" s="2542"/>
      <c r="V18" s="2544"/>
      <c r="W18" s="2542"/>
      <c r="X18" s="2544"/>
      <c r="Y18" s="2542"/>
      <c r="Z18" s="2544"/>
      <c r="AA18" s="2544"/>
      <c r="AB18" s="2455"/>
      <c r="AC18" s="2537"/>
      <c r="AD18" s="2026"/>
      <c r="AE18" s="2026"/>
      <c r="AF18" s="3455"/>
      <c r="AG18" s="2028"/>
      <c r="AH18" s="3482"/>
      <c r="AI18" s="2546"/>
      <c r="AJ18" s="2545"/>
      <c r="AK18" s="2543"/>
      <c r="AL18" s="1438"/>
    </row>
    <row r="19" spans="1:38" ht="15" customHeight="1">
      <c r="A19" s="2044"/>
      <c r="B19" s="2541" t="s">
        <v>1140</v>
      </c>
      <c r="C19" s="2044"/>
      <c r="D19" s="1995"/>
      <c r="F19" s="1995"/>
      <c r="H19" s="1995"/>
      <c r="J19" s="1995"/>
      <c r="K19" s="2542"/>
      <c r="L19" s="1995"/>
      <c r="M19" s="2542"/>
      <c r="N19" s="2000" t="s">
        <v>15</v>
      </c>
      <c r="O19" s="2542"/>
      <c r="P19" s="2000" t="s">
        <v>15</v>
      </c>
      <c r="Q19" s="2542"/>
      <c r="R19" s="2000" t="s">
        <v>15</v>
      </c>
      <c r="S19" s="2542"/>
      <c r="T19" s="2000" t="s">
        <v>15</v>
      </c>
      <c r="U19" s="2542"/>
      <c r="V19" s="1995"/>
      <c r="W19" s="2542"/>
      <c r="X19" s="1995"/>
      <c r="Y19" s="2542"/>
      <c r="Z19" s="1995"/>
      <c r="AA19" s="1995"/>
      <c r="AB19" s="2006"/>
      <c r="AC19" s="2037"/>
      <c r="AD19" s="2050"/>
      <c r="AE19" s="2050"/>
      <c r="AF19" s="2554"/>
      <c r="AG19" s="2050"/>
      <c r="AH19" s="3483"/>
      <c r="AI19" s="1444"/>
      <c r="AJ19" s="1461"/>
      <c r="AK19" s="2428"/>
      <c r="AL19" s="2490"/>
    </row>
    <row r="20" spans="1:38" ht="15" customHeight="1">
      <c r="A20" s="2044"/>
      <c r="B20" s="2547" t="s">
        <v>1093</v>
      </c>
      <c r="C20" s="2044"/>
      <c r="D20" s="2000">
        <f>'Exhibit G State'!D20</f>
        <v>80.3</v>
      </c>
      <c r="E20" s="1443"/>
      <c r="F20" s="2000">
        <f>'Exhibit G State'!F20</f>
        <v>51.2</v>
      </c>
      <c r="G20" s="1443"/>
      <c r="H20" s="2000">
        <f>'Exhibit G State'!H20</f>
        <v>65.599999999999994</v>
      </c>
      <c r="J20" s="2000">
        <f>'Exhibit G State'!J20</f>
        <v>72.700000000000017</v>
      </c>
      <c r="K20" s="2542"/>
      <c r="L20" s="2000">
        <f>'Exhibit G State'!L20</f>
        <v>73.599999999999966</v>
      </c>
      <c r="M20" s="2542"/>
      <c r="N20" s="2000">
        <f>'Exhibit G State'!N20</f>
        <v>83.300000000000011</v>
      </c>
      <c r="O20" s="2542"/>
      <c r="P20" s="2000">
        <f>'Exhibit G State'!P20</f>
        <v>79.19999999999996</v>
      </c>
      <c r="Q20" s="2542"/>
      <c r="R20" s="2000">
        <f>'Exhibit G State'!R20</f>
        <v>76.399999999999949</v>
      </c>
      <c r="S20" s="2542"/>
      <c r="T20" s="2000">
        <f>'Exhibit G State'!T20</f>
        <v>86.300000000000068</v>
      </c>
      <c r="U20" s="2542"/>
      <c r="V20" s="2000">
        <f>'Exhibit G State'!V20</f>
        <v>84.600000000000023</v>
      </c>
      <c r="W20" s="2542"/>
      <c r="X20" s="2000"/>
      <c r="Y20" s="2542"/>
      <c r="Z20" s="2000"/>
      <c r="AA20" s="2000"/>
      <c r="AB20" s="2006">
        <v>0</v>
      </c>
      <c r="AC20" s="2037"/>
      <c r="AD20" s="1995">
        <f>ROUND(SUM(D20:Z20),1)</f>
        <v>753.2</v>
      </c>
      <c r="AE20" s="1995"/>
      <c r="AF20" s="2039"/>
      <c r="AG20" s="2032">
        <f>'Exhibit G State'!AG20</f>
        <v>923.9</v>
      </c>
      <c r="AH20" s="3480"/>
      <c r="AI20" s="2007"/>
      <c r="AJ20" s="1443">
        <f t="shared" ref="AJ20:AJ26" si="0">ROUND(SUM(+AD20-AG20),1)</f>
        <v>-170.7</v>
      </c>
      <c r="AK20" s="2543"/>
      <c r="AL20" s="1438">
        <f t="shared" ref="AL20:AL25" si="1">ROUND(IF(AG20=0,0,AJ20/ABS(AG20)),3)</f>
        <v>-0.185</v>
      </c>
    </row>
    <row r="21" spans="1:38" ht="15" customHeight="1">
      <c r="A21" s="2044"/>
      <c r="B21" s="2547" t="s">
        <v>1094</v>
      </c>
      <c r="C21" s="2044"/>
      <c r="D21" s="2000">
        <f>'Exhibit G State'!D21</f>
        <v>-0.1</v>
      </c>
      <c r="E21" s="1443"/>
      <c r="F21" s="2000">
        <f>'Exhibit G State'!F21</f>
        <v>-1.4999999999999998</v>
      </c>
      <c r="G21" s="1443"/>
      <c r="H21" s="2000">
        <f>'Exhibit G State'!H21</f>
        <v>3.4</v>
      </c>
      <c r="J21" s="2000">
        <f>'Exhibit G State'!J21</f>
        <v>2.1</v>
      </c>
      <c r="K21" s="2542"/>
      <c r="L21" s="2000">
        <f>'Exhibit G State'!L21</f>
        <v>2.0999999999999992</v>
      </c>
      <c r="M21" s="2542"/>
      <c r="N21" s="2000">
        <f>'Exhibit G State'!N21</f>
        <v>-1.0999999999999992</v>
      </c>
      <c r="O21" s="2542"/>
      <c r="P21" s="2000">
        <f>'Exhibit G State'!P21</f>
        <v>0</v>
      </c>
      <c r="Q21" s="2542"/>
      <c r="R21" s="2000">
        <f>'Exhibit G State'!R21</f>
        <v>0</v>
      </c>
      <c r="S21" s="2542"/>
      <c r="T21" s="2000">
        <f>'Exhibit G State'!T21</f>
        <v>3.7999999999999989</v>
      </c>
      <c r="U21" s="2542"/>
      <c r="V21" s="2000">
        <f>'Exhibit G State'!V21</f>
        <v>0</v>
      </c>
      <c r="W21" s="2542"/>
      <c r="X21" s="2000"/>
      <c r="Y21" s="2542"/>
      <c r="Z21" s="2000"/>
      <c r="AA21" s="2000"/>
      <c r="AB21" s="2006">
        <v>0</v>
      </c>
      <c r="AC21" s="2037"/>
      <c r="AD21" s="1995">
        <f>ROUND(SUM(D21:Z21),1)</f>
        <v>8.6999999999999993</v>
      </c>
      <c r="AE21" s="1995"/>
      <c r="AF21" s="2039"/>
      <c r="AG21" s="2032">
        <f>'Exhibit G State'!AG21</f>
        <v>12.9</v>
      </c>
      <c r="AH21" s="3480"/>
      <c r="AI21" s="2007"/>
      <c r="AJ21" s="1443">
        <f t="shared" si="0"/>
        <v>-4.2</v>
      </c>
      <c r="AK21" s="2543"/>
      <c r="AL21" s="1438">
        <f>ROUND(IF(AG21=0,1,AJ21/ABS(AG21)),3)</f>
        <v>-0.32600000000000001</v>
      </c>
    </row>
    <row r="22" spans="1:38" ht="15" customHeight="1">
      <c r="A22" s="2044"/>
      <c r="B22" s="2547" t="s">
        <v>1095</v>
      </c>
      <c r="C22" s="2044"/>
      <c r="D22" s="2000">
        <f>'Exhibit G State'!D22</f>
        <v>68.8</v>
      </c>
      <c r="E22" s="1443"/>
      <c r="F22" s="2000">
        <f>'Exhibit G State'!F22</f>
        <v>51.3</v>
      </c>
      <c r="G22" s="1443"/>
      <c r="H22" s="2000">
        <f>'Exhibit G State'!H22</f>
        <v>60.200000000000017</v>
      </c>
      <c r="J22" s="2000">
        <f>'Exhibit G State'!J22</f>
        <v>68.799999999999983</v>
      </c>
      <c r="K22" s="2542"/>
      <c r="L22" s="2000">
        <f>'Exhibit G State'!L22</f>
        <v>60.399999999999977</v>
      </c>
      <c r="M22" s="2542"/>
      <c r="N22" s="2000">
        <f>'Exhibit G State'!N22</f>
        <v>71</v>
      </c>
      <c r="O22" s="2542"/>
      <c r="P22" s="2000">
        <f>'Exhibit G State'!P22</f>
        <v>55.699999999999989</v>
      </c>
      <c r="Q22" s="2542"/>
      <c r="R22" s="2000">
        <f>'Exhibit G State'!R22</f>
        <v>59.100000000000051</v>
      </c>
      <c r="S22" s="2542"/>
      <c r="T22" s="2000">
        <f>'Exhibit G State'!T22</f>
        <v>60.999999999999915</v>
      </c>
      <c r="U22" s="2542"/>
      <c r="V22" s="2000">
        <f>'Exhibit G State'!V22</f>
        <v>61.300000000000182</v>
      </c>
      <c r="W22" s="2542"/>
      <c r="X22" s="2000"/>
      <c r="Y22" s="2542"/>
      <c r="Z22" s="2000"/>
      <c r="AA22" s="2000"/>
      <c r="AB22" s="2006">
        <v>0</v>
      </c>
      <c r="AC22" s="2037"/>
      <c r="AD22" s="1995">
        <f t="shared" ref="AD22:AD26" si="2">ROUND(SUM(D22:Z22),1)</f>
        <v>617.6</v>
      </c>
      <c r="AE22" s="1995"/>
      <c r="AF22" s="2039"/>
      <c r="AG22" s="2032">
        <f>'Exhibit G State'!AG22</f>
        <v>626.1</v>
      </c>
      <c r="AH22" s="3480"/>
      <c r="AI22" s="2007"/>
      <c r="AJ22" s="1443">
        <f t="shared" si="0"/>
        <v>-8.5</v>
      </c>
      <c r="AK22" s="2543"/>
      <c r="AL22" s="1438">
        <f t="shared" si="1"/>
        <v>-1.4E-2</v>
      </c>
    </row>
    <row r="23" spans="1:38" ht="15" customHeight="1">
      <c r="A23" s="2044"/>
      <c r="B23" s="2234" t="s">
        <v>1237</v>
      </c>
      <c r="C23" s="2044"/>
      <c r="D23" s="2000">
        <f>'Exhibit G State'!D23</f>
        <v>0.5</v>
      </c>
      <c r="E23" s="1443"/>
      <c r="F23" s="2000">
        <f>'Exhibit G State'!F23</f>
        <v>0.60000000000000009</v>
      </c>
      <c r="G23" s="1443"/>
      <c r="H23" s="2000">
        <f>'Exhibit G State'!H23</f>
        <v>0.7</v>
      </c>
      <c r="J23" s="2000">
        <f>'Exhibit G State'!J23</f>
        <v>0.59999999999999987</v>
      </c>
      <c r="K23" s="2542"/>
      <c r="L23" s="2000">
        <f>'Exhibit G State'!L23</f>
        <v>0.80000000000000027</v>
      </c>
      <c r="M23" s="2542"/>
      <c r="N23" s="2000">
        <f>'Exhibit G State'!N23</f>
        <v>0.69999999999999951</v>
      </c>
      <c r="O23" s="2542"/>
      <c r="P23" s="2000">
        <f>'Exhibit G State'!P23</f>
        <v>0.80000000000000093</v>
      </c>
      <c r="Q23" s="2542"/>
      <c r="R23" s="2000">
        <f>'Exhibit G State'!R23</f>
        <v>0.70000000000000018</v>
      </c>
      <c r="S23" s="2542"/>
      <c r="T23" s="2000">
        <f>'Exhibit G State'!T23</f>
        <v>0.79999999999999871</v>
      </c>
      <c r="U23" s="2542"/>
      <c r="V23" s="2000">
        <f>'Exhibit G State'!V23</f>
        <v>1.0000000000000002</v>
      </c>
      <c r="W23" s="2542"/>
      <c r="X23" s="2000"/>
      <c r="Y23" s="2542"/>
      <c r="Z23" s="2000"/>
      <c r="AA23" s="2000"/>
      <c r="AB23" s="2006">
        <v>0</v>
      </c>
      <c r="AC23" s="2037"/>
      <c r="AD23" s="1995">
        <f t="shared" si="2"/>
        <v>7.2</v>
      </c>
      <c r="AE23" s="1995"/>
      <c r="AF23" s="2039"/>
      <c r="AG23" s="2032">
        <f>'Exhibit G State'!AG23</f>
        <v>4.8</v>
      </c>
      <c r="AH23" s="3480"/>
      <c r="AI23" s="2007"/>
      <c r="AJ23" s="1443">
        <f>ROUND(SUM(+AD23-AG23),1)</f>
        <v>2.4</v>
      </c>
      <c r="AK23" s="2543"/>
      <c r="AL23" s="1438">
        <f>ROUND(IF(AG23=0,1,AJ23/ABS(AG23)),3)</f>
        <v>0.5</v>
      </c>
    </row>
    <row r="24" spans="1:38" ht="15" customHeight="1">
      <c r="A24" s="2044"/>
      <c r="B24" s="2547" t="s">
        <v>1096</v>
      </c>
      <c r="C24" s="2044"/>
      <c r="D24" s="2000">
        <f>'Exhibit G State'!D24</f>
        <v>6.5</v>
      </c>
      <c r="E24" s="1443"/>
      <c r="F24" s="2000">
        <f>'Exhibit G State'!F24</f>
        <v>4.6999999999999993</v>
      </c>
      <c r="G24" s="1443"/>
      <c r="H24" s="2000">
        <f>'Exhibit G State'!H24</f>
        <v>6.5999999999999979</v>
      </c>
      <c r="J24" s="2000">
        <f>'Exhibit G State'!J24</f>
        <v>8.5000000000000036</v>
      </c>
      <c r="K24" s="2542"/>
      <c r="L24" s="2000">
        <f>'Exhibit G State'!L24</f>
        <v>9.0999999999999979</v>
      </c>
      <c r="M24" s="2542"/>
      <c r="N24" s="2000">
        <f>'Exhibit G State'!N24</f>
        <v>8.899999999999995</v>
      </c>
      <c r="O24" s="2542"/>
      <c r="P24" s="2000">
        <f>'Exhibit G State'!P24</f>
        <v>8.3000000000000149</v>
      </c>
      <c r="Q24" s="2542"/>
      <c r="R24" s="2000">
        <f>'Exhibit G State'!R24</f>
        <v>8.5999999999999979</v>
      </c>
      <c r="S24" s="2542"/>
      <c r="T24" s="2000">
        <f>'Exhibit G State'!T24</f>
        <v>8.7000000000000064</v>
      </c>
      <c r="U24" s="2542"/>
      <c r="V24" s="2000">
        <f>'Exhibit G State'!V24</f>
        <v>6.5000000000000036</v>
      </c>
      <c r="W24" s="2542"/>
      <c r="X24" s="2000"/>
      <c r="Y24" s="2542"/>
      <c r="Z24" s="2000"/>
      <c r="AA24" s="2000"/>
      <c r="AB24" s="2006">
        <v>0</v>
      </c>
      <c r="AC24" s="2037"/>
      <c r="AD24" s="1995">
        <f t="shared" si="2"/>
        <v>76.400000000000006</v>
      </c>
      <c r="AE24" s="1995"/>
      <c r="AF24" s="2039"/>
      <c r="AG24" s="2032">
        <f>'Exhibit G State'!AG24</f>
        <v>92.5</v>
      </c>
      <c r="AH24" s="3480"/>
      <c r="AI24" s="2007"/>
      <c r="AJ24" s="1443">
        <f t="shared" si="0"/>
        <v>-16.100000000000001</v>
      </c>
      <c r="AK24" s="2543"/>
      <c r="AL24" s="1438">
        <f t="shared" si="1"/>
        <v>-0.17399999999999999</v>
      </c>
    </row>
    <row r="25" spans="1:38" ht="15" customHeight="1">
      <c r="A25" s="2044"/>
      <c r="B25" s="2547" t="s">
        <v>1097</v>
      </c>
      <c r="C25" s="2044"/>
      <c r="D25" s="2000">
        <f>'Exhibit G State'!D25</f>
        <v>0</v>
      </c>
      <c r="E25" s="1443"/>
      <c r="F25" s="2000">
        <f>'Exhibit G State'!F25</f>
        <v>0</v>
      </c>
      <c r="G25" s="1443"/>
      <c r="H25" s="2000">
        <f>'Exhibit G State'!H25</f>
        <v>0</v>
      </c>
      <c r="J25" s="2000">
        <f>'Exhibit G State'!J25</f>
        <v>0</v>
      </c>
      <c r="K25" s="2542"/>
      <c r="L25" s="2000">
        <f>'Exhibit G State'!L25</f>
        <v>0</v>
      </c>
      <c r="M25" s="2542"/>
      <c r="N25" s="2000">
        <f>'Exhibit G State'!N25</f>
        <v>0</v>
      </c>
      <c r="O25" s="2542"/>
      <c r="P25" s="2000">
        <f>'Exhibit G State'!P25</f>
        <v>0</v>
      </c>
      <c r="Q25" s="2542"/>
      <c r="R25" s="2000">
        <f>'Exhibit G State'!R25</f>
        <v>0</v>
      </c>
      <c r="S25" s="2542"/>
      <c r="T25" s="2000">
        <f>'Exhibit G State'!T25</f>
        <v>0</v>
      </c>
      <c r="U25" s="2542"/>
      <c r="V25" s="2000">
        <f>'Exhibit G State'!V25</f>
        <v>0</v>
      </c>
      <c r="W25" s="2542"/>
      <c r="X25" s="2000"/>
      <c r="Y25" s="2542"/>
      <c r="Z25" s="2000"/>
      <c r="AA25" s="2000"/>
      <c r="AB25" s="2006">
        <v>0</v>
      </c>
      <c r="AC25" s="2037"/>
      <c r="AD25" s="1995">
        <f t="shared" si="2"/>
        <v>0</v>
      </c>
      <c r="AE25" s="1995"/>
      <c r="AF25" s="2039"/>
      <c r="AG25" s="2032">
        <f>'Exhibit G State'!AG25</f>
        <v>0</v>
      </c>
      <c r="AH25" s="3480"/>
      <c r="AI25" s="2007"/>
      <c r="AJ25" s="1443">
        <f t="shared" si="0"/>
        <v>0</v>
      </c>
      <c r="AK25" s="2543"/>
      <c r="AL25" s="1438">
        <f t="shared" si="1"/>
        <v>0</v>
      </c>
    </row>
    <row r="26" spans="1:38" ht="15" customHeight="1">
      <c r="A26" s="2044"/>
      <c r="B26" s="2547" t="s">
        <v>1098</v>
      </c>
      <c r="C26" s="2044"/>
      <c r="D26" s="2000">
        <f>'Exhibit G State'!D26</f>
        <v>0</v>
      </c>
      <c r="E26" s="1443"/>
      <c r="F26" s="2000">
        <f>'Exhibit G State'!F26</f>
        <v>0.1</v>
      </c>
      <c r="G26" s="1443"/>
      <c r="H26" s="2000">
        <f>'Exhibit G State'!H26</f>
        <v>0</v>
      </c>
      <c r="J26" s="2000">
        <f>'Exhibit G State'!J26</f>
        <v>0</v>
      </c>
      <c r="K26" s="2542"/>
      <c r="L26" s="2000">
        <f>'Exhibit G State'!L26</f>
        <v>0.1</v>
      </c>
      <c r="M26" s="2542"/>
      <c r="N26" s="2000">
        <f>'Exhibit G State'!N26</f>
        <v>0</v>
      </c>
      <c r="O26" s="2542"/>
      <c r="P26" s="2000">
        <f>'Exhibit G State'!P26</f>
        <v>0</v>
      </c>
      <c r="Q26" s="2542"/>
      <c r="R26" s="2000">
        <f>'Exhibit G State'!R26</f>
        <v>9.9999999999999978E-2</v>
      </c>
      <c r="S26" s="2542"/>
      <c r="T26" s="2000">
        <f>'Exhibit G State'!T26</f>
        <v>0.10000000000000006</v>
      </c>
      <c r="U26" s="2542"/>
      <c r="V26" s="2000">
        <f>'Exhibit G State'!V26</f>
        <v>0</v>
      </c>
      <c r="W26" s="2542"/>
      <c r="X26" s="2000"/>
      <c r="Y26" s="2542"/>
      <c r="Z26" s="2000"/>
      <c r="AA26" s="2000"/>
      <c r="AB26" s="2006">
        <v>0</v>
      </c>
      <c r="AC26" s="2037"/>
      <c r="AD26" s="1995">
        <f t="shared" si="2"/>
        <v>0.4</v>
      </c>
      <c r="AE26" s="1995"/>
      <c r="AF26" s="2039"/>
      <c r="AG26" s="2032">
        <f>'Exhibit G State'!AG26</f>
        <v>0.4</v>
      </c>
      <c r="AH26" s="3480"/>
      <c r="AI26" s="2007"/>
      <c r="AJ26" s="1443">
        <f t="shared" si="0"/>
        <v>0</v>
      </c>
      <c r="AK26" s="2543"/>
      <c r="AL26" s="1479">
        <f>ROUND(IF(AG26=0,0,AJ26/ABS(AG26)),3)</f>
        <v>0</v>
      </c>
    </row>
    <row r="27" spans="1:38" ht="15" customHeight="1">
      <c r="A27" s="2044"/>
      <c r="B27" s="2234" t="s">
        <v>1437</v>
      </c>
      <c r="C27" s="2044"/>
      <c r="D27" s="2000">
        <f>'Exhibit G State'!D27</f>
        <v>0</v>
      </c>
      <c r="E27" s="1443"/>
      <c r="F27" s="2000">
        <f>'Exhibit G State'!F27</f>
        <v>0.1</v>
      </c>
      <c r="G27" s="1443"/>
      <c r="H27" s="2000">
        <f>'Exhibit G State'!H27</f>
        <v>11.700000000000001</v>
      </c>
      <c r="J27" s="2000">
        <f>'Exhibit G State'!J27</f>
        <v>-0.40000000000000036</v>
      </c>
      <c r="K27" s="2542"/>
      <c r="L27" s="2000">
        <f>'Exhibit G State'!L27</f>
        <v>-9.9999999999999645E-2</v>
      </c>
      <c r="M27" s="2542"/>
      <c r="N27" s="2000">
        <f>'Exhibit G State'!N27</f>
        <v>7.3999999999999968</v>
      </c>
      <c r="O27" s="2542"/>
      <c r="P27" s="2000">
        <f>'Exhibit G State'!P27</f>
        <v>0</v>
      </c>
      <c r="Q27" s="2542"/>
      <c r="R27" s="2000">
        <f>'Exhibit G State'!R27</f>
        <v>0</v>
      </c>
      <c r="S27" s="2542"/>
      <c r="T27" s="2000">
        <f>'Exhibit G State'!T27</f>
        <v>6.8000000000000007</v>
      </c>
      <c r="U27" s="2542"/>
      <c r="V27" s="2000">
        <f>'Exhibit G State'!V27</f>
        <v>0</v>
      </c>
      <c r="W27" s="2542"/>
      <c r="X27" s="2000"/>
      <c r="Y27" s="2542"/>
      <c r="Z27" s="2000"/>
      <c r="AA27" s="2000"/>
      <c r="AB27" s="2006">
        <v>0</v>
      </c>
      <c r="AC27" s="2037"/>
      <c r="AD27" s="1995">
        <f t="shared" ref="AD27" si="3">ROUND(SUM(D27:Z27),1)</f>
        <v>25.5</v>
      </c>
      <c r="AE27" s="1995"/>
      <c r="AF27" s="2039"/>
      <c r="AG27" s="2032">
        <f>'Exhibit G State'!AG27</f>
        <v>0</v>
      </c>
      <c r="AH27" s="3480"/>
      <c r="AI27" s="2007"/>
      <c r="AJ27" s="1443">
        <f t="shared" ref="AJ27" si="4">ROUND(SUM(+AD27-AG27),1)</f>
        <v>25.5</v>
      </c>
      <c r="AK27" s="2543"/>
      <c r="AL27" s="1479">
        <f>ROUND(IF(AG27=0,1,AJ27/ABS(AG27)),3)</f>
        <v>1</v>
      </c>
    </row>
    <row r="28" spans="1:38" s="2428" customFormat="1" ht="15" customHeight="1">
      <c r="A28" s="2427"/>
      <c r="B28" s="2548" t="s">
        <v>1208</v>
      </c>
      <c r="C28" s="2427"/>
      <c r="D28" s="2033">
        <f>ROUND(SUM(D20:D27),1)</f>
        <v>156</v>
      </c>
      <c r="E28" s="2530"/>
      <c r="F28" s="2033">
        <f>ROUND(SUM(F20:F27),1)</f>
        <v>106.5</v>
      </c>
      <c r="G28" s="2530"/>
      <c r="H28" s="2474">
        <f>ROUND(SUM(H20:H27),1)</f>
        <v>148.19999999999999</v>
      </c>
      <c r="I28" s="2530"/>
      <c r="J28" s="2474">
        <f>ROUND(SUM(J20:J27),1)</f>
        <v>152.30000000000001</v>
      </c>
      <c r="K28" s="2530"/>
      <c r="L28" s="2033">
        <f>ROUND(SUM(L20:L27),1)</f>
        <v>146</v>
      </c>
      <c r="M28" s="2530"/>
      <c r="N28" s="2033">
        <f>ROUND(SUM(N20:N27),1)</f>
        <v>170.2</v>
      </c>
      <c r="O28" s="2530"/>
      <c r="P28" s="2033">
        <f>ROUND(SUM(P20:P27),1)</f>
        <v>144</v>
      </c>
      <c r="Q28" s="2530"/>
      <c r="R28" s="2033">
        <f>ROUND(SUM(R20:R27),1)</f>
        <v>144.9</v>
      </c>
      <c r="S28" s="2530"/>
      <c r="T28" s="2017">
        <f>ROUND(SUM(T20:T27),1)</f>
        <v>167.5</v>
      </c>
      <c r="U28" s="2530"/>
      <c r="V28" s="2033">
        <f>ROUND(SUM(V20:V27),1)</f>
        <v>153.4</v>
      </c>
      <c r="W28" s="2530"/>
      <c r="X28" s="2033">
        <f>ROUND(SUM(X20:X27),1)</f>
        <v>0</v>
      </c>
      <c r="Y28" s="2530"/>
      <c r="Z28" s="2033">
        <f>ROUND(SUM(Z20:Z27),1)</f>
        <v>0</v>
      </c>
      <c r="AA28" s="1444"/>
      <c r="AB28" s="2033">
        <f>ROUND(SUM(AB20:AB27),1)</f>
        <v>0</v>
      </c>
      <c r="AC28" s="2040"/>
      <c r="AD28" s="2017">
        <f>ROUND(SUM(AD20:AD27),1)</f>
        <v>1489</v>
      </c>
      <c r="AE28" s="2050"/>
      <c r="AF28" s="2554"/>
      <c r="AG28" s="2017">
        <f>ROUND(SUM(AG20:AG27),1)</f>
        <v>1660.6</v>
      </c>
      <c r="AH28" s="3483"/>
      <c r="AI28" s="1444"/>
      <c r="AJ28" s="2033">
        <f>ROUND(SUM(AJ20:AJ27),1)</f>
        <v>-171.6</v>
      </c>
      <c r="AL28" s="2549">
        <f>ROUND(SUM(+AJ28/AG28),3)</f>
        <v>-0.10299999999999999</v>
      </c>
    </row>
    <row r="29" spans="1:38" ht="15" customHeight="1">
      <c r="A29" s="2044"/>
      <c r="B29" s="2541" t="s">
        <v>1141</v>
      </c>
      <c r="C29" s="2044"/>
      <c r="D29" s="2006"/>
      <c r="F29" s="2006"/>
      <c r="H29" s="1443"/>
      <c r="J29" s="1443"/>
      <c r="L29" s="2006"/>
      <c r="N29" s="2006"/>
      <c r="P29" s="2006"/>
      <c r="R29" s="2006"/>
      <c r="T29" s="1995"/>
      <c r="V29" s="2006"/>
      <c r="X29" s="2006"/>
      <c r="Z29" s="2006"/>
      <c r="AA29" s="2006"/>
      <c r="AB29" s="2006"/>
      <c r="AC29" s="2037"/>
      <c r="AD29" s="1995"/>
      <c r="AE29" s="1995"/>
      <c r="AF29" s="2039"/>
      <c r="AG29" s="1995"/>
      <c r="AH29" s="3480"/>
      <c r="AI29" s="2007"/>
      <c r="AJ29" s="1443"/>
      <c r="AL29" s="1432"/>
    </row>
    <row r="30" spans="1:38" s="2185" customFormat="1" ht="15" customHeight="1">
      <c r="A30" s="2465"/>
      <c r="B30" s="2547" t="s">
        <v>1100</v>
      </c>
      <c r="C30" s="2465"/>
      <c r="D30" s="1995">
        <f>'Exhibit G State'!D30</f>
        <v>57</v>
      </c>
      <c r="E30" s="1443"/>
      <c r="F30" s="1995">
        <f>'Exhibit G State'!F30</f>
        <v>-3.1999999999999957</v>
      </c>
      <c r="G30" s="1443"/>
      <c r="H30" s="1995">
        <f>'Exhibit G State'!H30</f>
        <v>110.1</v>
      </c>
      <c r="I30" s="2530"/>
      <c r="J30" s="1995">
        <f>'Exhibit G State'!J30</f>
        <v>113.99999999999997</v>
      </c>
      <c r="K30" s="2542"/>
      <c r="L30" s="1995">
        <f>'Exhibit G State'!L30</f>
        <v>11.700000000000045</v>
      </c>
      <c r="M30" s="2542"/>
      <c r="N30" s="1995">
        <f>'Exhibit G State'!N30</f>
        <v>165.69999999999996</v>
      </c>
      <c r="O30" s="2542"/>
      <c r="P30" s="1995">
        <f>'Exhibit G State'!P30</f>
        <v>40.700000000000045</v>
      </c>
      <c r="Q30" s="2542"/>
      <c r="R30" s="1995">
        <f>'Exhibit G State'!R30</f>
        <v>24.5</v>
      </c>
      <c r="S30" s="2542"/>
      <c r="T30" s="1995">
        <f>'Exhibit G State'!T30</f>
        <v>170.99999999999997</v>
      </c>
      <c r="U30" s="2542"/>
      <c r="V30" s="1995">
        <f>'Exhibit G State'!V30</f>
        <v>67.900000000000006</v>
      </c>
      <c r="W30" s="2542"/>
      <c r="X30" s="1995"/>
      <c r="Y30" s="2542"/>
      <c r="Z30" s="1995"/>
      <c r="AA30" s="1995"/>
      <c r="AB30" s="1995">
        <v>0</v>
      </c>
      <c r="AC30" s="2039"/>
      <c r="AD30" s="1995">
        <f>ROUND(SUM(D30:Z30),1)</f>
        <v>759.4</v>
      </c>
      <c r="AE30" s="1995"/>
      <c r="AF30" s="2039"/>
      <c r="AG30" s="1995">
        <f>'Exhibit G State'!AG30</f>
        <v>764.8</v>
      </c>
      <c r="AH30" s="3480"/>
      <c r="AI30" s="1977"/>
      <c r="AJ30" s="2000">
        <f>ROUND(SUM(+AD30-AG30),1)</f>
        <v>-5.4</v>
      </c>
      <c r="AK30" s="2550"/>
      <c r="AL30" s="1724">
        <f>ROUND(IF(AG30=0,0,AJ30/ABS(AG30)),3)</f>
        <v>-7.0000000000000001E-3</v>
      </c>
    </row>
    <row r="31" spans="1:38" s="2185" customFormat="1" ht="15" customHeight="1">
      <c r="A31" s="2465"/>
      <c r="B31" s="2547" t="s">
        <v>1101</v>
      </c>
      <c r="C31" s="2465"/>
      <c r="D31" s="1995">
        <f>'Exhibit G State'!D31</f>
        <v>2.2000000000000002</v>
      </c>
      <c r="E31" s="1443"/>
      <c r="F31" s="1995">
        <f>'Exhibit G State'!F31</f>
        <v>-6.9</v>
      </c>
      <c r="G31" s="1443"/>
      <c r="H31" s="1995">
        <f>'Exhibit G State'!H31</f>
        <v>20.5</v>
      </c>
      <c r="I31" s="2530"/>
      <c r="J31" s="1995">
        <f>'Exhibit G State'!J31</f>
        <v>17</v>
      </c>
      <c r="K31" s="2542"/>
      <c r="L31" s="1995">
        <f>'Exhibit G State'!L31</f>
        <v>-1.3999999999999986</v>
      </c>
      <c r="M31" s="2542"/>
      <c r="N31" s="1995">
        <f>'Exhibit G State'!N31</f>
        <v>24.399999999999991</v>
      </c>
      <c r="O31" s="2542"/>
      <c r="P31" s="1995">
        <f>'Exhibit G State'!P31</f>
        <v>4.1000000000000014</v>
      </c>
      <c r="Q31" s="2542"/>
      <c r="R31" s="1995">
        <f>'Exhibit G State'!R31</f>
        <v>0.10000000000000853</v>
      </c>
      <c r="S31" s="2542"/>
      <c r="T31" s="1995">
        <f>'Exhibit G State'!T31</f>
        <v>24.900000000000006</v>
      </c>
      <c r="U31" s="2542"/>
      <c r="V31" s="1995">
        <f>'Exhibit G State'!V31</f>
        <v>4.8999999999999915</v>
      </c>
      <c r="W31" s="2542"/>
      <c r="X31" s="1995"/>
      <c r="Y31" s="2542"/>
      <c r="Z31" s="1995"/>
      <c r="AA31" s="1995"/>
      <c r="AB31" s="1995">
        <v>0</v>
      </c>
      <c r="AC31" s="2039"/>
      <c r="AD31" s="1995">
        <f>ROUND(SUM(D31:Z31),1)</f>
        <v>89.8</v>
      </c>
      <c r="AE31" s="1995"/>
      <c r="AF31" s="2039"/>
      <c r="AG31" s="1995">
        <f>'Exhibit G State'!AG31</f>
        <v>109.4</v>
      </c>
      <c r="AH31" s="3480"/>
      <c r="AI31" s="1977"/>
      <c r="AJ31" s="2000">
        <f>ROUND(SUM(+AD31-AG31),1)</f>
        <v>-19.600000000000001</v>
      </c>
      <c r="AK31" s="2550"/>
      <c r="AL31" s="1724">
        <f>ROUND(IF(AG31=0,0,AJ31/ABS(AG31)),3)</f>
        <v>-0.17899999999999999</v>
      </c>
    </row>
    <row r="32" spans="1:38" s="2185" customFormat="1" ht="15" customHeight="1">
      <c r="A32" s="2465"/>
      <c r="B32" s="2547" t="s">
        <v>1102</v>
      </c>
      <c r="C32" s="2465"/>
      <c r="D32" s="1995">
        <f>'Exhibit G State'!D32</f>
        <v>7.2</v>
      </c>
      <c r="E32" s="1443"/>
      <c r="F32" s="1995">
        <f>'Exhibit G State'!F32</f>
        <v>-0.39999999999999947</v>
      </c>
      <c r="G32" s="1443"/>
      <c r="H32" s="1995">
        <f>'Exhibit G State'!H32</f>
        <v>38.599999999999994</v>
      </c>
      <c r="I32" s="2530"/>
      <c r="J32" s="1995">
        <f>'Exhibit G State'!J32</f>
        <v>4.4000000000000057</v>
      </c>
      <c r="K32" s="2542"/>
      <c r="L32" s="1995">
        <f>'Exhibit G State'!L32</f>
        <v>0.39999999999999858</v>
      </c>
      <c r="M32" s="2542"/>
      <c r="N32" s="1995">
        <f>'Exhibit G State'!N32</f>
        <v>43.300000000000004</v>
      </c>
      <c r="O32" s="2542"/>
      <c r="P32" s="1995">
        <f>'Exhibit G State'!P32</f>
        <v>1.2000000000000028</v>
      </c>
      <c r="Q32" s="2542"/>
      <c r="R32" s="1995">
        <f>'Exhibit G State'!R32</f>
        <v>0.29999999999999716</v>
      </c>
      <c r="S32" s="2542"/>
      <c r="T32" s="1995">
        <f>'Exhibit G State'!T32</f>
        <v>42.1</v>
      </c>
      <c r="U32" s="2542"/>
      <c r="V32" s="1995">
        <f>'Exhibit G State'!V32</f>
        <v>-0.5</v>
      </c>
      <c r="W32" s="2542"/>
      <c r="X32" s="1995"/>
      <c r="Y32" s="2542"/>
      <c r="Z32" s="1995"/>
      <c r="AA32" s="1995"/>
      <c r="AB32" s="1995">
        <v>0</v>
      </c>
      <c r="AC32" s="2039"/>
      <c r="AD32" s="1995">
        <f>ROUND(SUM(D32:Z32),1)</f>
        <v>136.6</v>
      </c>
      <c r="AE32" s="1995"/>
      <c r="AF32" s="2039"/>
      <c r="AG32" s="1995">
        <f>'Exhibit G State'!AG32</f>
        <v>182.8</v>
      </c>
      <c r="AH32" s="3480"/>
      <c r="AI32" s="1977"/>
      <c r="AJ32" s="2000">
        <f>ROUND(SUM(+AD32-AG32),1)</f>
        <v>-46.2</v>
      </c>
      <c r="AK32" s="2550"/>
      <c r="AL32" s="1729">
        <f>ROUND(IF(AG32=0,0,AJ32/ABS(AG32)),3)</f>
        <v>-0.253</v>
      </c>
    </row>
    <row r="33" spans="1:38" s="2185" customFormat="1" ht="15" customHeight="1">
      <c r="A33" s="2465"/>
      <c r="B33" s="2547" t="s">
        <v>1103</v>
      </c>
      <c r="C33" s="2465"/>
      <c r="D33" s="1995">
        <f>'Exhibit G State'!D33</f>
        <v>1.3</v>
      </c>
      <c r="E33" s="1443"/>
      <c r="F33" s="1995">
        <f>'Exhibit G State'!F33</f>
        <v>0.59999999999999987</v>
      </c>
      <c r="G33" s="1443"/>
      <c r="H33" s="1995">
        <f>'Exhibit G State'!H33</f>
        <v>12.9</v>
      </c>
      <c r="I33" s="2530"/>
      <c r="J33" s="1995">
        <f>'Exhibit G State'!J33</f>
        <v>0</v>
      </c>
      <c r="K33" s="2542"/>
      <c r="L33" s="1995">
        <f>'Exhibit G State'!L33</f>
        <v>6.0999999999999961</v>
      </c>
      <c r="M33" s="2542"/>
      <c r="N33" s="1995">
        <f>'Exhibit G State'!N33</f>
        <v>-3.0999999999999961</v>
      </c>
      <c r="O33" s="2542"/>
      <c r="P33" s="1995">
        <f>'Exhibit G State'!P33</f>
        <v>0.49999999999999822</v>
      </c>
      <c r="Q33" s="2542"/>
      <c r="R33" s="1995">
        <f>'Exhibit G State'!R33</f>
        <v>-0.19999999999999929</v>
      </c>
      <c r="S33" s="2542"/>
      <c r="T33" s="1995">
        <f>'Exhibit G State'!T33</f>
        <v>0.5</v>
      </c>
      <c r="U33" s="2542"/>
      <c r="V33" s="1995">
        <f>'Exhibit G State'!V33</f>
        <v>-1.7999999999999989</v>
      </c>
      <c r="W33" s="2542"/>
      <c r="X33" s="1995"/>
      <c r="Y33" s="2542"/>
      <c r="Z33" s="1995"/>
      <c r="AA33" s="1995"/>
      <c r="AB33" s="1995">
        <v>0</v>
      </c>
      <c r="AC33" s="2039"/>
      <c r="AD33" s="1995">
        <f>ROUND(SUM(D33:Z33),1)</f>
        <v>16.8</v>
      </c>
      <c r="AE33" s="1995"/>
      <c r="AF33" s="2039"/>
      <c r="AG33" s="1995">
        <f>'Exhibit G State'!AG33</f>
        <v>-1.9</v>
      </c>
      <c r="AH33" s="3480"/>
      <c r="AI33" s="1977"/>
      <c r="AJ33" s="2000">
        <f>ROUND(SUM(+AD33-AG33),1)</f>
        <v>18.7</v>
      </c>
      <c r="AK33" s="2550"/>
      <c r="AL33" s="1729">
        <f>ROUND(IF(AG33=0,0,AJ33/ABS(AG33)),3)</f>
        <v>9.8420000000000005</v>
      </c>
    </row>
    <row r="34" spans="1:38" s="2185" customFormat="1" ht="15" customHeight="1">
      <c r="A34" s="2465"/>
      <c r="B34" s="2547" t="s">
        <v>1104</v>
      </c>
      <c r="C34" s="2465"/>
      <c r="D34" s="1995">
        <f>'Exhibit G State'!D34</f>
        <v>30.3</v>
      </c>
      <c r="E34" s="1443"/>
      <c r="F34" s="1995">
        <f>'Exhibit G State'!F34</f>
        <v>17.599999999999998</v>
      </c>
      <c r="G34" s="1443"/>
      <c r="H34" s="1995">
        <f>'Exhibit G State'!H34</f>
        <v>37.700000000000003</v>
      </c>
      <c r="I34" s="2530"/>
      <c r="J34" s="1995">
        <f>'Exhibit G State'!J34</f>
        <v>38.800000000000011</v>
      </c>
      <c r="K34" s="2542"/>
      <c r="L34" s="1995">
        <f>'Exhibit G State'!L34</f>
        <v>38.699999999999974</v>
      </c>
      <c r="M34" s="2542"/>
      <c r="N34" s="1995">
        <f>'Exhibit G State'!N34</f>
        <v>43.200000000000017</v>
      </c>
      <c r="O34" s="2542"/>
      <c r="P34" s="1995">
        <f>'Exhibit G State'!P34</f>
        <v>39.600000000000009</v>
      </c>
      <c r="Q34" s="2542"/>
      <c r="R34" s="1995">
        <f>'Exhibit G State'!R34</f>
        <v>36.499999999999943</v>
      </c>
      <c r="S34" s="2542"/>
      <c r="T34" s="1995">
        <f>'Exhibit G State'!T34</f>
        <v>36.40000000000002</v>
      </c>
      <c r="U34" s="2542"/>
      <c r="V34" s="1995">
        <f>'Exhibit G State'!V34</f>
        <v>33.699999999999989</v>
      </c>
      <c r="W34" s="2542"/>
      <c r="X34" s="1995"/>
      <c r="Y34" s="2542"/>
      <c r="Z34" s="1995"/>
      <c r="AA34" s="1995"/>
      <c r="AB34" s="1995">
        <v>0</v>
      </c>
      <c r="AC34" s="2039"/>
      <c r="AD34" s="1995">
        <f>ROUND(SUM(D34:Z34),1)</f>
        <v>352.5</v>
      </c>
      <c r="AE34" s="1995"/>
      <c r="AF34" s="2039"/>
      <c r="AG34" s="1995">
        <f>'Exhibit G State'!AG34</f>
        <v>436.5</v>
      </c>
      <c r="AH34" s="3480"/>
      <c r="AI34" s="1977"/>
      <c r="AJ34" s="2000">
        <f>ROUND(SUM(+AD34-AG34),1)</f>
        <v>-84</v>
      </c>
      <c r="AK34" s="2550"/>
      <c r="AL34" s="1724">
        <f>ROUND(IF(AG34=0,0,AJ34/ABS(AG34)),3)</f>
        <v>-0.192</v>
      </c>
    </row>
    <row r="35" spans="1:38" s="2428" customFormat="1" ht="15" customHeight="1">
      <c r="A35" s="2427"/>
      <c r="B35" s="2548" t="s">
        <v>1209</v>
      </c>
      <c r="C35" s="2427"/>
      <c r="D35" s="2033">
        <f t="shared" ref="D35:F35" si="5">ROUND(SUM(D30:D34),1)</f>
        <v>98</v>
      </c>
      <c r="E35" s="2530"/>
      <c r="F35" s="2033">
        <f t="shared" si="5"/>
        <v>7.7</v>
      </c>
      <c r="G35" s="2530"/>
      <c r="H35" s="2474">
        <f>ROUND(SUM(H30:H34),1)</f>
        <v>219.8</v>
      </c>
      <c r="I35" s="2530"/>
      <c r="J35" s="2474">
        <f>ROUND(SUM(J30:J34),1)</f>
        <v>174.2</v>
      </c>
      <c r="K35" s="2530"/>
      <c r="L35" s="2033">
        <f t="shared" ref="L35:V35" si="6">ROUND(SUM(L30:L34),1)</f>
        <v>55.5</v>
      </c>
      <c r="M35" s="2530"/>
      <c r="N35" s="2033">
        <f t="shared" ref="N35:P35" si="7">ROUND(SUM(N30:N34),1)</f>
        <v>273.5</v>
      </c>
      <c r="O35" s="2530"/>
      <c r="P35" s="2033">
        <f t="shared" si="7"/>
        <v>86.1</v>
      </c>
      <c r="Q35" s="2530"/>
      <c r="R35" s="2033">
        <f t="shared" ref="R35" si="8">ROUND(SUM(R30:R34),1)</f>
        <v>61.2</v>
      </c>
      <c r="S35" s="2530"/>
      <c r="T35" s="2017">
        <f t="shared" si="6"/>
        <v>274.89999999999998</v>
      </c>
      <c r="U35" s="2530"/>
      <c r="V35" s="2033">
        <f t="shared" si="6"/>
        <v>104.2</v>
      </c>
      <c r="W35" s="2530"/>
      <c r="X35" s="2033">
        <f t="shared" ref="X35:Z35" si="9">ROUND(SUM(X30:X34),1)</f>
        <v>0</v>
      </c>
      <c r="Y35" s="2530"/>
      <c r="Z35" s="2033">
        <f t="shared" si="9"/>
        <v>0</v>
      </c>
      <c r="AA35" s="1444"/>
      <c r="AB35" s="2033">
        <f>SUM(AB30:AB34)</f>
        <v>0</v>
      </c>
      <c r="AC35" s="2040"/>
      <c r="AD35" s="2017">
        <f>ROUND(SUM(AD30:AD34),1)</f>
        <v>1355.1</v>
      </c>
      <c r="AE35" s="2050"/>
      <c r="AF35" s="2554"/>
      <c r="AG35" s="2017">
        <f>ROUND(SUM(AG30:AG34),1)</f>
        <v>1491.6</v>
      </c>
      <c r="AH35" s="3483"/>
      <c r="AI35" s="1444"/>
      <c r="AJ35" s="2033">
        <f>ROUND(SUM(AJ30:AJ34),1)</f>
        <v>-136.5</v>
      </c>
      <c r="AL35" s="1434">
        <f>ROUND(SUM(+AJ35/AG35),3)</f>
        <v>-9.1999999999999998E-2</v>
      </c>
    </row>
    <row r="36" spans="1:38" ht="15" customHeight="1">
      <c r="A36" s="2044"/>
      <c r="B36" s="2551"/>
      <c r="C36" s="2044"/>
      <c r="D36" s="2007"/>
      <c r="F36" s="2007"/>
      <c r="H36" s="2477"/>
      <c r="J36" s="2477"/>
      <c r="L36" s="2007"/>
      <c r="N36" s="2007"/>
      <c r="P36" s="2007"/>
      <c r="R36" s="2007"/>
      <c r="T36" s="1977"/>
      <c r="V36" s="2007"/>
      <c r="X36" s="2007"/>
      <c r="Z36" s="2007"/>
      <c r="AA36" s="2007"/>
      <c r="AB36" s="2006"/>
      <c r="AC36" s="2037"/>
      <c r="AD36" s="1977"/>
      <c r="AE36" s="1995"/>
      <c r="AF36" s="2039"/>
      <c r="AG36" s="1977"/>
      <c r="AH36" s="3480"/>
      <c r="AI36" s="2007"/>
      <c r="AJ36" s="2477"/>
      <c r="AK36" s="2021"/>
      <c r="AL36" s="1447"/>
    </row>
    <row r="37" spans="1:38" ht="15" customHeight="1">
      <c r="A37" s="2044"/>
      <c r="B37" s="2548" t="s">
        <v>1210</v>
      </c>
      <c r="C37" s="2044"/>
      <c r="D37" s="2052">
        <f>ROUND(SUM(D17+D28+D35),1)</f>
        <v>254</v>
      </c>
      <c r="F37" s="2052">
        <f>ROUND(SUM(F17+F28+F35),1)</f>
        <v>114.2</v>
      </c>
      <c r="H37" s="2052">
        <f>ROUND(SUM(H17+H28+H35),1)</f>
        <v>368</v>
      </c>
      <c r="J37" s="2052">
        <f>ROUND(SUM(J17+J28+J35),1)</f>
        <v>326.5</v>
      </c>
      <c r="L37" s="2052">
        <f>ROUND(SUM(L17+L28+L35),1)</f>
        <v>201.5</v>
      </c>
      <c r="N37" s="2052">
        <f>ROUND(SUM(N17+N28+N35),1)</f>
        <v>443.8</v>
      </c>
      <c r="P37" s="2052">
        <f>ROUND(SUM(P17+P28+P35),1)</f>
        <v>230.2</v>
      </c>
      <c r="R37" s="2052">
        <f>ROUND(SUM(R17+R28+R35),1)</f>
        <v>207.5</v>
      </c>
      <c r="T37" s="2052">
        <f>ROUND(SUM(T17+T28+T35),1)</f>
        <v>477.4</v>
      </c>
      <c r="V37" s="2052">
        <f>ROUND(SUM(V17+V28+V35),1)</f>
        <v>2229.6</v>
      </c>
      <c r="X37" s="2052">
        <f>ROUND(SUM(X17+X28+X35),1)</f>
        <v>0</v>
      </c>
      <c r="Z37" s="2052">
        <f>ROUND(SUM(Z17+Z28+Z35),1)</f>
        <v>0</v>
      </c>
      <c r="AA37" s="1444"/>
      <c r="AB37" s="2052">
        <f>ROUND(SUM(AB17+AB28+AB35),1)</f>
        <v>0</v>
      </c>
      <c r="AC37" s="2037"/>
      <c r="AD37" s="2054">
        <f>ROUND(SUM(AD17+AD28+AD35),1)</f>
        <v>4852.7</v>
      </c>
      <c r="AE37" s="1995"/>
      <c r="AF37" s="2039"/>
      <c r="AG37" s="2054">
        <f>ROUND(SUM(AG17+AG28+AG35),1)</f>
        <v>5301.3</v>
      </c>
      <c r="AH37" s="3480"/>
      <c r="AI37" s="2007"/>
      <c r="AJ37" s="2052">
        <f>ROUND(SUM(AJ17+AJ28+AJ35),1)</f>
        <v>-448.6</v>
      </c>
      <c r="AL37" s="1435">
        <f>ROUND(SUM(+AJ37/AG37),3)</f>
        <v>-8.5000000000000006E-2</v>
      </c>
    </row>
    <row r="38" spans="1:38" ht="15" customHeight="1">
      <c r="A38" s="2044"/>
      <c r="B38" s="2044"/>
      <c r="C38" s="2044"/>
      <c r="D38" s="2550"/>
      <c r="F38" s="2550"/>
      <c r="H38" s="2552"/>
      <c r="J38" s="2552"/>
      <c r="L38" s="2552"/>
      <c r="N38" s="2552"/>
      <c r="P38" s="2552"/>
      <c r="R38" s="2552"/>
      <c r="T38" s="1994"/>
      <c r="V38" s="2015"/>
      <c r="X38" s="2015"/>
      <c r="Z38" s="2015"/>
      <c r="AA38" s="2550"/>
      <c r="AB38" s="2006"/>
      <c r="AC38" s="2037"/>
      <c r="AD38" s="1995"/>
      <c r="AE38" s="1995"/>
      <c r="AF38" s="2039"/>
      <c r="AG38" s="2120"/>
      <c r="AH38" s="3484"/>
      <c r="AI38" s="2007"/>
      <c r="AJ38" s="1443"/>
      <c r="AK38" s="2543"/>
      <c r="AL38" s="1432"/>
    </row>
    <row r="39" spans="1:38" ht="15" customHeight="1">
      <c r="A39" s="2044"/>
      <c r="B39" s="2462" t="s">
        <v>1014</v>
      </c>
      <c r="C39" s="2044"/>
      <c r="D39" s="2550"/>
      <c r="F39" s="2550"/>
      <c r="H39" s="2552"/>
      <c r="J39" s="2552"/>
      <c r="L39" s="2552"/>
      <c r="N39" s="2552"/>
      <c r="P39" s="2552"/>
      <c r="R39" s="2552"/>
      <c r="T39" s="1994"/>
      <c r="V39" s="2015"/>
      <c r="X39" s="2015"/>
      <c r="Z39" s="2015"/>
      <c r="AA39" s="2550"/>
      <c r="AB39" s="2006"/>
      <c r="AC39" s="2037"/>
      <c r="AD39" s="1995"/>
      <c r="AE39" s="1995"/>
      <c r="AF39" s="2039"/>
      <c r="AG39" s="2120"/>
      <c r="AH39" s="3484"/>
      <c r="AI39" s="2007"/>
      <c r="AJ39" s="1443"/>
      <c r="AK39" s="2543"/>
      <c r="AL39" s="1432"/>
    </row>
    <row r="40" spans="1:38" ht="15" customHeight="1">
      <c r="A40" s="2044"/>
      <c r="B40" s="2485" t="s">
        <v>1133</v>
      </c>
      <c r="C40" s="2044"/>
      <c r="D40" s="2550"/>
      <c r="F40" s="2550"/>
      <c r="H40" s="2552"/>
      <c r="J40" s="2552"/>
      <c r="L40" s="2552"/>
      <c r="N40" s="2552"/>
      <c r="P40" s="2552"/>
      <c r="R40" s="2552"/>
      <c r="T40" s="1994"/>
      <c r="V40" s="2015"/>
      <c r="X40" s="2015"/>
      <c r="Z40" s="2015"/>
      <c r="AA40" s="2550"/>
      <c r="AB40" s="2006"/>
      <c r="AC40" s="2037"/>
      <c r="AD40" s="1995"/>
      <c r="AE40" s="1995"/>
      <c r="AF40" s="2039"/>
      <c r="AG40" s="2120"/>
      <c r="AH40" s="3484"/>
      <c r="AI40" s="2007"/>
      <c r="AJ40" s="1443"/>
      <c r="AK40" s="2543"/>
      <c r="AL40" s="1432"/>
    </row>
    <row r="41" spans="1:38" s="2185" customFormat="1" ht="15" customHeight="1">
      <c r="A41" s="2465"/>
      <c r="B41" s="2485" t="s">
        <v>1047</v>
      </c>
      <c r="C41" s="2465"/>
      <c r="D41" s="2032">
        <f>'Exhibit G State'!D41+'Exhibit G Federal'!D19</f>
        <v>1.2000000000000002</v>
      </c>
      <c r="E41" s="2552"/>
      <c r="F41" s="2032">
        <f>'Exhibit G State'!F41+'Exhibit G Federal'!F19</f>
        <v>0.69999999999999973</v>
      </c>
      <c r="G41" s="2552"/>
      <c r="H41" s="2032">
        <f>'Exhibit G State'!H41+'Exhibit G Federal'!H19</f>
        <v>0.80000000000000027</v>
      </c>
      <c r="I41" s="2530"/>
      <c r="J41" s="2032">
        <f>'Exhibit G State'!J41+'Exhibit G Federal'!J19</f>
        <v>0.89999999999999991</v>
      </c>
      <c r="K41" s="2542"/>
      <c r="L41" s="2032">
        <f>'Exhibit G State'!L41+'Exhibit G Federal'!L19</f>
        <v>0.80000000000000027</v>
      </c>
      <c r="M41" s="2542"/>
      <c r="N41" s="2032">
        <f>'Exhibit G State'!N41+'Exhibit G Federal'!N19</f>
        <v>1.1999999999999993</v>
      </c>
      <c r="O41" s="2542"/>
      <c r="P41" s="2032">
        <f>'Exhibit G State'!P41+'Exhibit G Federal'!P19</f>
        <v>0.80000000000000027</v>
      </c>
      <c r="Q41" s="2542"/>
      <c r="R41" s="2032">
        <f>'Exhibit G State'!R41+'Exhibit G Federal'!R19</f>
        <v>0.89999999999999991</v>
      </c>
      <c r="S41" s="2542"/>
      <c r="T41" s="2032">
        <f>'Exhibit G State'!T41+'Exhibit G Federal'!T19</f>
        <v>1.299999999999998</v>
      </c>
      <c r="U41" s="2542"/>
      <c r="V41" s="2032">
        <f>'Exhibit G State'!V41+'Exhibit G Federal'!V19</f>
        <v>0.90000000000000213</v>
      </c>
      <c r="W41" s="2542"/>
      <c r="X41" s="2032"/>
      <c r="Y41" s="2542"/>
      <c r="Z41" s="2032"/>
      <c r="AA41" s="2032"/>
      <c r="AB41" s="1995">
        <v>0</v>
      </c>
      <c r="AC41" s="2039"/>
      <c r="AD41" s="1995">
        <f t="shared" ref="AD41:AD82" si="10">ROUND(SUM(D41:Z41),1)</f>
        <v>9.5</v>
      </c>
      <c r="AE41" s="1995"/>
      <c r="AF41" s="2039"/>
      <c r="AG41" s="2032">
        <f>'Exhibit G State'!AG41+'Exhibit G Federal'!AG19</f>
        <v>9.6999999999999993</v>
      </c>
      <c r="AH41" s="3484"/>
      <c r="AI41" s="1977"/>
      <c r="AJ41" s="2000">
        <f>ROUND(SUM(+AD41-AG41),1)</f>
        <v>-0.2</v>
      </c>
      <c r="AK41" s="2550"/>
      <c r="AL41" s="1724">
        <f>ROUND(IF(AG41=0,0,AJ41/ABS(AG41)),3)</f>
        <v>-2.1000000000000001E-2</v>
      </c>
    </row>
    <row r="42" spans="1:38" s="2185" customFormat="1" ht="15" customHeight="1">
      <c r="A42" s="2465"/>
      <c r="B42" s="2485" t="s">
        <v>1134</v>
      </c>
      <c r="C42" s="2465"/>
      <c r="D42" s="2032"/>
      <c r="E42" s="2530"/>
      <c r="F42" s="2032"/>
      <c r="G42" s="2530"/>
      <c r="H42" s="2032"/>
      <c r="I42" s="2530"/>
      <c r="J42" s="2032"/>
      <c r="K42" s="2542"/>
      <c r="L42" s="2032"/>
      <c r="M42" s="2542"/>
      <c r="N42" s="2032"/>
      <c r="O42" s="2542"/>
      <c r="P42" s="2032"/>
      <c r="Q42" s="2542"/>
      <c r="R42" s="2032"/>
      <c r="S42" s="2542"/>
      <c r="T42" s="2032"/>
      <c r="U42" s="2542"/>
      <c r="V42" s="2032"/>
      <c r="W42" s="2542"/>
      <c r="X42" s="2032"/>
      <c r="Y42" s="2542"/>
      <c r="Z42" s="2032"/>
      <c r="AA42" s="2032"/>
      <c r="AB42" s="1995"/>
      <c r="AC42" s="2039"/>
      <c r="AD42" s="1995"/>
      <c r="AE42" s="1995"/>
      <c r="AF42" s="2039"/>
      <c r="AG42" s="2032"/>
      <c r="AH42" s="3484"/>
      <c r="AI42" s="1977"/>
      <c r="AJ42" s="2000"/>
      <c r="AK42" s="2550"/>
      <c r="AL42" s="1818"/>
    </row>
    <row r="43" spans="1:38" s="2185" customFormat="1" ht="15" customHeight="1">
      <c r="A43" s="2465"/>
      <c r="B43" s="2485" t="s">
        <v>1049</v>
      </c>
      <c r="C43" s="2465"/>
      <c r="D43" s="2032">
        <f>'Exhibit G State'!D43+'Exhibit G Federal'!D21</f>
        <v>46.7</v>
      </c>
      <c r="E43" s="2032"/>
      <c r="F43" s="2032">
        <f>'Exhibit G State'!F43+'Exhibit G Federal'!F21</f>
        <v>62.4</v>
      </c>
      <c r="G43" s="2032"/>
      <c r="H43" s="2032">
        <f>'Exhibit G State'!H43+'Exhibit G Federal'!H21</f>
        <v>82.6</v>
      </c>
      <c r="I43" s="2530"/>
      <c r="J43" s="2032">
        <f>'Exhibit G State'!J43+'Exhibit G Federal'!J21</f>
        <v>71.499999999999986</v>
      </c>
      <c r="K43" s="2542"/>
      <c r="L43" s="2032">
        <f>'Exhibit G State'!L43+'Exhibit G Federal'!L21</f>
        <v>40.999999999999979</v>
      </c>
      <c r="M43" s="2542"/>
      <c r="N43" s="2032">
        <f>'Exhibit G State'!N43+'Exhibit G Federal'!N21</f>
        <v>65.600000000000051</v>
      </c>
      <c r="O43" s="2542"/>
      <c r="P43" s="2032">
        <f>'Exhibit G State'!P43+'Exhibit G Federal'!P21</f>
        <v>90.300000000000011</v>
      </c>
      <c r="Q43" s="2542"/>
      <c r="R43" s="2032">
        <f>'Exhibit G State'!R43+'Exhibit G Federal'!R21</f>
        <v>11.699999999999996</v>
      </c>
      <c r="S43" s="2542"/>
      <c r="T43" s="2032">
        <f>'Exhibit G State'!T43+'Exhibit G Federal'!T21</f>
        <v>90.899999999999977</v>
      </c>
      <c r="U43" s="2542"/>
      <c r="V43" s="2032">
        <f>'Exhibit G State'!V43+'Exhibit G Federal'!V21</f>
        <v>56.899999999999956</v>
      </c>
      <c r="W43" s="2542"/>
      <c r="X43" s="2032"/>
      <c r="Y43" s="2542"/>
      <c r="Z43" s="2032"/>
      <c r="AA43" s="2032"/>
      <c r="AB43" s="1995">
        <v>0</v>
      </c>
      <c r="AC43" s="2039"/>
      <c r="AD43" s="1995">
        <f>ROUND(SUM(D43:Z43),1)</f>
        <v>619.6</v>
      </c>
      <c r="AE43" s="1995"/>
      <c r="AF43" s="2039"/>
      <c r="AG43" s="2032">
        <f>'Exhibit G State'!AG43+'Exhibit G Federal'!AG21</f>
        <v>684.9</v>
      </c>
      <c r="AH43" s="3484"/>
      <c r="AI43" s="1977"/>
      <c r="AJ43" s="2000">
        <f>ROUND(SUM(+AD43-AG43),1)</f>
        <v>-65.3</v>
      </c>
      <c r="AK43" s="2550"/>
      <c r="AL43" s="1724">
        <f>ROUND(IF(AG43=0,0,AJ43/ABS(AG43)),3)</f>
        <v>-9.5000000000000001E-2</v>
      </c>
    </row>
    <row r="44" spans="1:38" s="2185" customFormat="1" ht="15" customHeight="1">
      <c r="A44" s="2465"/>
      <c r="B44" s="2485" t="s">
        <v>1050</v>
      </c>
      <c r="C44" s="2465"/>
      <c r="D44" s="2032">
        <f>'Exhibit G State'!D44+'Exhibit G Federal'!D22</f>
        <v>569.29999999999995</v>
      </c>
      <c r="E44" s="2032"/>
      <c r="F44" s="2032">
        <f>'Exhibit G State'!F44+'Exhibit G Federal'!F22</f>
        <v>464.70000000000005</v>
      </c>
      <c r="G44" s="2032"/>
      <c r="H44" s="2032">
        <f>'Exhibit G State'!H44+'Exhibit G Federal'!H22</f>
        <v>504.40000000000009</v>
      </c>
      <c r="I44" s="2530"/>
      <c r="J44" s="2032">
        <f>'Exhibit G State'!J44+'Exhibit G Federal'!J22</f>
        <v>440.79999999999995</v>
      </c>
      <c r="K44" s="2542"/>
      <c r="L44" s="2032">
        <f>'Exhibit G State'!L44+'Exhibit G Federal'!L22</f>
        <v>461.49999999999977</v>
      </c>
      <c r="M44" s="2542"/>
      <c r="N44" s="2032">
        <f>'Exhibit G State'!N44+'Exhibit G Federal'!N22</f>
        <v>517.29999999999995</v>
      </c>
      <c r="O44" s="2542"/>
      <c r="P44" s="2032">
        <f>'Exhibit G State'!P44+'Exhibit G Federal'!P22</f>
        <v>505.70000000000005</v>
      </c>
      <c r="Q44" s="2542"/>
      <c r="R44" s="2032">
        <f>'Exhibit G State'!R44+'Exhibit G Federal'!R22</f>
        <v>470.80000000000018</v>
      </c>
      <c r="S44" s="2542"/>
      <c r="T44" s="2032">
        <f>'Exhibit G State'!T44+'Exhibit G Federal'!T22</f>
        <v>507.20000000000005</v>
      </c>
      <c r="U44" s="2542"/>
      <c r="V44" s="2032">
        <f>'Exhibit G State'!V44+'Exhibit G Federal'!V22</f>
        <v>448.29999999999995</v>
      </c>
      <c r="W44" s="2542"/>
      <c r="X44" s="2032"/>
      <c r="Y44" s="2542"/>
      <c r="Z44" s="2032"/>
      <c r="AA44" s="2032"/>
      <c r="AB44" s="1995">
        <v>0</v>
      </c>
      <c r="AC44" s="2039"/>
      <c r="AD44" s="2000">
        <f t="shared" si="10"/>
        <v>4890</v>
      </c>
      <c r="AE44" s="1995"/>
      <c r="AF44" s="2039"/>
      <c r="AG44" s="2032">
        <f>'Exhibit G State'!AG44+'Exhibit G Federal'!AG22</f>
        <v>5369.4</v>
      </c>
      <c r="AH44" s="3484"/>
      <c r="AI44" s="1977"/>
      <c r="AJ44" s="2000">
        <f>ROUND(SUM(+AD44-AG44),1)</f>
        <v>-479.4</v>
      </c>
      <c r="AK44" s="2550"/>
      <c r="AL44" s="1724">
        <f>ROUND(IF(AG44=0,0,AJ44/ABS(AG44)),3)</f>
        <v>-8.8999999999999996E-2</v>
      </c>
    </row>
    <row r="45" spans="1:38" s="2185" customFormat="1" ht="15" customHeight="1">
      <c r="A45" s="2465"/>
      <c r="B45" s="2485" t="s">
        <v>1051</v>
      </c>
      <c r="C45" s="2465"/>
      <c r="D45" s="2032">
        <f>'Exhibit G State'!D45+'Exhibit G Federal'!D23</f>
        <v>0.1</v>
      </c>
      <c r="E45" s="2032"/>
      <c r="F45" s="2032">
        <f>'Exhibit G State'!F45+'Exhibit G Federal'!F23</f>
        <v>0</v>
      </c>
      <c r="G45" s="2032"/>
      <c r="H45" s="2032">
        <f>'Exhibit G State'!H45+'Exhibit G Federal'!H23</f>
        <v>0.4</v>
      </c>
      <c r="I45" s="2530"/>
      <c r="J45" s="2032">
        <f>'Exhibit G State'!J45+'Exhibit G Federal'!J23</f>
        <v>4.4000000000000004</v>
      </c>
      <c r="K45" s="2542"/>
      <c r="L45" s="2032">
        <f>'Exhibit G State'!L45+'Exhibit G Federal'!L23</f>
        <v>0.39999999999999947</v>
      </c>
      <c r="M45" s="2542"/>
      <c r="N45" s="2032">
        <f>'Exhibit G State'!N45+'Exhibit G Federal'!N23</f>
        <v>45.400000000000006</v>
      </c>
      <c r="O45" s="2542"/>
      <c r="P45" s="2032">
        <f>'Exhibit G State'!P45+'Exhibit G Federal'!P23</f>
        <v>-10.100000000000001</v>
      </c>
      <c r="Q45" s="2542"/>
      <c r="R45" s="2032">
        <f>'Exhibit G State'!R45+'Exhibit G Federal'!R23</f>
        <v>-1.6000000000000014</v>
      </c>
      <c r="S45" s="2542"/>
      <c r="T45" s="2032">
        <f>'Exhibit G State'!T45+'Exhibit G Federal'!T23</f>
        <v>0.70000000000000284</v>
      </c>
      <c r="U45" s="2542"/>
      <c r="V45" s="2032">
        <f>'Exhibit G State'!V45+'Exhibit G Federal'!V23</f>
        <v>0</v>
      </c>
      <c r="W45" s="2542"/>
      <c r="X45" s="2032"/>
      <c r="Y45" s="2542"/>
      <c r="Z45" s="2032"/>
      <c r="AA45" s="2032"/>
      <c r="AB45" s="1995">
        <v>0</v>
      </c>
      <c r="AC45" s="2039"/>
      <c r="AD45" s="1995">
        <f t="shared" si="10"/>
        <v>39.700000000000003</v>
      </c>
      <c r="AE45" s="1995"/>
      <c r="AF45" s="2039"/>
      <c r="AG45" s="2032">
        <f>'Exhibit G State'!AG45+'Exhibit G Federal'!AG23</f>
        <v>44</v>
      </c>
      <c r="AH45" s="3484"/>
      <c r="AI45" s="1977"/>
      <c r="AJ45" s="2000">
        <f>ROUND(SUM(+AD45-AG45),1)</f>
        <v>-4.3</v>
      </c>
      <c r="AK45" s="2550"/>
      <c r="AL45" s="1724">
        <f>ROUND(IF(AG45=0,0,AJ45/ABS(AG45)),3)</f>
        <v>-9.8000000000000004E-2</v>
      </c>
    </row>
    <row r="46" spans="1:38" s="2185" customFormat="1" ht="15" customHeight="1">
      <c r="A46" s="2465"/>
      <c r="B46" s="2485" t="s">
        <v>1052</v>
      </c>
      <c r="C46" s="2465"/>
      <c r="D46" s="2032">
        <f>'Exhibit G State'!D46+'Exhibit G Federal'!D24</f>
        <v>0</v>
      </c>
      <c r="E46" s="2032"/>
      <c r="F46" s="2032">
        <f>'Exhibit G State'!F46+'Exhibit G Federal'!F24</f>
        <v>0</v>
      </c>
      <c r="G46" s="2032"/>
      <c r="H46" s="2032">
        <f>'Exhibit G State'!H46+'Exhibit G Federal'!H24</f>
        <v>0</v>
      </c>
      <c r="I46" s="2530"/>
      <c r="J46" s="2032">
        <f>'Exhibit G State'!J46+'Exhibit G Federal'!J24</f>
        <v>0</v>
      </c>
      <c r="K46" s="2542"/>
      <c r="L46" s="2032">
        <f>'Exhibit G State'!L46+'Exhibit G Federal'!L24</f>
        <v>0</v>
      </c>
      <c r="M46" s="2542"/>
      <c r="N46" s="2032">
        <f>'Exhibit G State'!N46+'Exhibit G Federal'!N24</f>
        <v>0</v>
      </c>
      <c r="O46" s="2542"/>
      <c r="P46" s="2032">
        <f>'Exhibit G State'!P46+'Exhibit G Federal'!P24</f>
        <v>0</v>
      </c>
      <c r="Q46" s="2542"/>
      <c r="R46" s="2032">
        <f>'Exhibit G State'!R46+'Exhibit G Federal'!R24</f>
        <v>0</v>
      </c>
      <c r="S46" s="2542"/>
      <c r="T46" s="2032">
        <f>'Exhibit G State'!T46+'Exhibit G Federal'!T24</f>
        <v>0</v>
      </c>
      <c r="U46" s="2542"/>
      <c r="V46" s="2032">
        <f>'Exhibit G State'!V46+'Exhibit G Federal'!V24</f>
        <v>0</v>
      </c>
      <c r="W46" s="2542"/>
      <c r="X46" s="2032"/>
      <c r="Y46" s="2542"/>
      <c r="Z46" s="2032"/>
      <c r="AA46" s="2032"/>
      <c r="AB46" s="1995">
        <v>0</v>
      </c>
      <c r="AC46" s="2039"/>
      <c r="AD46" s="1995">
        <f t="shared" si="10"/>
        <v>0</v>
      </c>
      <c r="AE46" s="1995"/>
      <c r="AF46" s="2039"/>
      <c r="AG46" s="2032">
        <f>'Exhibit G State'!AG46+'Exhibit G Federal'!AG24</f>
        <v>0.4</v>
      </c>
      <c r="AH46" s="3484"/>
      <c r="AI46" s="1977"/>
      <c r="AJ46" s="2000">
        <f>ROUND(SUM(+AD46-AG46),1)</f>
        <v>-0.4</v>
      </c>
      <c r="AK46" s="2550"/>
      <c r="AL46" s="1724">
        <f>ROUND(IF(AG46=0,0,AJ46/ABS(AG46)),3)</f>
        <v>-1</v>
      </c>
    </row>
    <row r="47" spans="1:38" s="2185" customFormat="1" ht="15" customHeight="1">
      <c r="A47" s="2465"/>
      <c r="B47" s="2485" t="s">
        <v>1139</v>
      </c>
      <c r="C47" s="2465"/>
      <c r="D47" s="2032"/>
      <c r="E47" s="2530"/>
      <c r="F47" s="2032"/>
      <c r="G47" s="2530"/>
      <c r="H47" s="2032"/>
      <c r="I47" s="2530"/>
      <c r="J47" s="2032"/>
      <c r="K47" s="2542"/>
      <c r="L47" s="2032"/>
      <c r="M47" s="2542"/>
      <c r="N47" s="2032"/>
      <c r="O47" s="2542"/>
      <c r="P47" s="2032"/>
      <c r="Q47" s="2542"/>
      <c r="R47" s="2032"/>
      <c r="S47" s="2542"/>
      <c r="T47" s="2032"/>
      <c r="U47" s="2542"/>
      <c r="V47" s="2032"/>
      <c r="W47" s="2542"/>
      <c r="X47" s="2032"/>
      <c r="Y47" s="2542"/>
      <c r="Z47" s="2032"/>
      <c r="AA47" s="2032"/>
      <c r="AB47" s="1995"/>
      <c r="AC47" s="2039"/>
      <c r="AD47" s="1995"/>
      <c r="AE47" s="1995"/>
      <c r="AF47" s="2039"/>
      <c r="AG47" s="2032"/>
      <c r="AH47" s="3484"/>
      <c r="AI47" s="1977"/>
      <c r="AJ47" s="2000"/>
      <c r="AK47" s="2550"/>
      <c r="AL47" s="1818"/>
    </row>
    <row r="48" spans="1:38" s="2185" customFormat="1" ht="15" customHeight="1">
      <c r="A48" s="2465"/>
      <c r="B48" s="2485" t="s">
        <v>1230</v>
      </c>
      <c r="C48" s="2465"/>
      <c r="D48" s="2032">
        <f>'Exhibit G State'!D48</f>
        <v>0</v>
      </c>
      <c r="E48" s="2032"/>
      <c r="F48" s="2032">
        <f>'Exhibit G State'!F48</f>
        <v>0</v>
      </c>
      <c r="G48" s="2032"/>
      <c r="H48" s="2032">
        <f>'Exhibit G State'!H48</f>
        <v>0.1</v>
      </c>
      <c r="I48" s="2530"/>
      <c r="J48" s="2032">
        <f>'Exhibit G State'!J48</f>
        <v>0.19999999999999998</v>
      </c>
      <c r="K48" s="2542"/>
      <c r="L48" s="2032">
        <f>'Exhibit G State'!L48</f>
        <v>0.70000000000000007</v>
      </c>
      <c r="M48" s="2542"/>
      <c r="N48" s="2032">
        <f>'Exhibit G State'!N48</f>
        <v>0.69999999999999984</v>
      </c>
      <c r="O48" s="2542"/>
      <c r="P48" s="2032">
        <f>'Exhibit G State'!P48</f>
        <v>0.10000000000000009</v>
      </c>
      <c r="Q48" s="2542"/>
      <c r="R48" s="2032">
        <f>'Exhibit G State'!R48</f>
        <v>0.30000000000000016</v>
      </c>
      <c r="S48" s="2542"/>
      <c r="T48" s="2032">
        <f>'Exhibit G State'!T48</f>
        <v>0.10000000000000009</v>
      </c>
      <c r="U48" s="2542"/>
      <c r="V48" s="2032">
        <f>'Exhibit G State'!V48</f>
        <v>0</v>
      </c>
      <c r="W48" s="2542"/>
      <c r="X48" s="2032"/>
      <c r="Y48" s="2542"/>
      <c r="Z48" s="2032"/>
      <c r="AA48" s="2032"/>
      <c r="AB48" s="1995">
        <v>0</v>
      </c>
      <c r="AC48" s="2039"/>
      <c r="AD48" s="1995">
        <f>ROUND(SUM(D48:Z48),1)</f>
        <v>2.2000000000000002</v>
      </c>
      <c r="AE48" s="1995"/>
      <c r="AF48" s="2039"/>
      <c r="AG48" s="2032">
        <f>'Exhibit G State'!AG48</f>
        <v>2.6</v>
      </c>
      <c r="AH48" s="3484"/>
      <c r="AI48" s="1977"/>
      <c r="AJ48" s="2000">
        <f>ROUND(SUM(+AD48-AG48),1)</f>
        <v>-0.4</v>
      </c>
      <c r="AK48" s="2550"/>
      <c r="AL48" s="1724">
        <f>ROUND(IF(AG48=0,0,AJ48/ABS(AG48)),3)</f>
        <v>-0.154</v>
      </c>
    </row>
    <row r="49" spans="1:38" s="2185" customFormat="1" ht="15" customHeight="1">
      <c r="A49" s="2465"/>
      <c r="B49" s="2485" t="s">
        <v>1053</v>
      </c>
      <c r="C49" s="2465"/>
      <c r="D49" s="2032">
        <f>'Exhibit G State'!D49+'Exhibit G Federal'!D26</f>
        <v>48.2</v>
      </c>
      <c r="E49" s="2032"/>
      <c r="F49" s="2032">
        <f>'Exhibit G State'!F49+'Exhibit G Federal'!F26</f>
        <v>70.399999999999991</v>
      </c>
      <c r="G49" s="2032"/>
      <c r="H49" s="2032">
        <f>'Exhibit G State'!H49+'Exhibit G Federal'!H26</f>
        <v>86.499999999999986</v>
      </c>
      <c r="I49" s="2530"/>
      <c r="J49" s="2032">
        <f>'Exhibit G State'!J49+'Exhibit G Federal'!J26</f>
        <v>40.800000000000011</v>
      </c>
      <c r="K49" s="2542"/>
      <c r="L49" s="2032">
        <f>'Exhibit G State'!L49+'Exhibit G Federal'!L26</f>
        <v>36.300000000000026</v>
      </c>
      <c r="M49" s="2542"/>
      <c r="N49" s="2032">
        <f>'Exhibit G State'!N49+'Exhibit G Federal'!N26</f>
        <v>94.8</v>
      </c>
      <c r="O49" s="2542"/>
      <c r="P49" s="2032">
        <f>'Exhibit G State'!P49+'Exhibit G Federal'!P26</f>
        <v>46.100000000000037</v>
      </c>
      <c r="Q49" s="2542"/>
      <c r="R49" s="2032">
        <f>'Exhibit G State'!R49+'Exhibit G Federal'!R26</f>
        <v>40.699999999999989</v>
      </c>
      <c r="S49" s="2542"/>
      <c r="T49" s="2032">
        <f>'Exhibit G State'!T49+'Exhibit G Federal'!T26</f>
        <v>73.3</v>
      </c>
      <c r="U49" s="2542"/>
      <c r="V49" s="2032">
        <f>'Exhibit G State'!V49+'Exhibit G Federal'!V26</f>
        <v>47.999999999999957</v>
      </c>
      <c r="W49" s="2542"/>
      <c r="X49" s="2032"/>
      <c r="Y49" s="2542"/>
      <c r="Z49" s="2032"/>
      <c r="AA49" s="2032"/>
      <c r="AB49" s="1995">
        <v>0</v>
      </c>
      <c r="AC49" s="2039"/>
      <c r="AD49" s="1995">
        <f t="shared" si="10"/>
        <v>585.1</v>
      </c>
      <c r="AE49" s="1995"/>
      <c r="AF49" s="2039"/>
      <c r="AG49" s="2032">
        <f>'Exhibit G State'!AG49+'Exhibit G Federal'!AG26</f>
        <v>586.29999999999995</v>
      </c>
      <c r="AH49" s="3484"/>
      <c r="AI49" s="1977"/>
      <c r="AJ49" s="2000">
        <f t="shared" ref="AJ49:AJ54" si="11">ROUND(SUM(+AD49-AG49),1)</f>
        <v>-1.2</v>
      </c>
      <c r="AK49" s="2550"/>
      <c r="AL49" s="1724">
        <f t="shared" ref="AL49:AL54" si="12">ROUND(IF(AG49=0,0,AJ49/ABS(AG49)),3)</f>
        <v>-2E-3</v>
      </c>
    </row>
    <row r="50" spans="1:38" s="2185" customFormat="1" ht="15" customHeight="1">
      <c r="A50" s="2465"/>
      <c r="B50" s="2485" t="s">
        <v>1054</v>
      </c>
      <c r="C50" s="2465"/>
      <c r="D50" s="2032">
        <f>'Exhibit G State'!D50+'Exhibit G Federal'!D27</f>
        <v>3.2</v>
      </c>
      <c r="E50" s="2032"/>
      <c r="F50" s="2032">
        <f>'Exhibit G State'!F50+'Exhibit G Federal'!F27</f>
        <v>2.3999999999999995</v>
      </c>
      <c r="G50" s="2032"/>
      <c r="H50" s="2032">
        <f>'Exhibit G State'!H50+'Exhibit G Federal'!H27</f>
        <v>2.5999999999999996</v>
      </c>
      <c r="I50" s="2530"/>
      <c r="J50" s="2032">
        <f>'Exhibit G State'!J50+'Exhibit G Federal'!J27</f>
        <v>1.4000000000000004</v>
      </c>
      <c r="K50" s="2542"/>
      <c r="L50" s="2032">
        <f>'Exhibit G State'!L50+'Exhibit G Federal'!L27</f>
        <v>6.1000000000000014</v>
      </c>
      <c r="M50" s="2542"/>
      <c r="N50" s="2032">
        <f>'Exhibit G State'!N50+'Exhibit G Federal'!N27</f>
        <v>4.6999999999999993</v>
      </c>
      <c r="O50" s="2542"/>
      <c r="P50" s="2032">
        <f>'Exhibit G State'!P50+'Exhibit G Federal'!P27</f>
        <v>5.1000000000000032</v>
      </c>
      <c r="Q50" s="2542"/>
      <c r="R50" s="2032">
        <f>'Exhibit G State'!R50+'Exhibit G Federal'!R27</f>
        <v>4.1999999999999975</v>
      </c>
      <c r="S50" s="2542"/>
      <c r="T50" s="2032">
        <f>'Exhibit G State'!T50+'Exhibit G Federal'!T27</f>
        <v>4.9000000000000057</v>
      </c>
      <c r="U50" s="2542"/>
      <c r="V50" s="2032">
        <f>'Exhibit G State'!V50+'Exhibit G Federal'!V27</f>
        <v>4.7999999999999901</v>
      </c>
      <c r="W50" s="2542"/>
      <c r="X50" s="2032"/>
      <c r="Y50" s="2542"/>
      <c r="Z50" s="2032"/>
      <c r="AA50" s="2032"/>
      <c r="AB50" s="1995">
        <v>0</v>
      </c>
      <c r="AC50" s="2039"/>
      <c r="AD50" s="1995">
        <f t="shared" si="10"/>
        <v>39.4</v>
      </c>
      <c r="AE50" s="1995"/>
      <c r="AF50" s="2039"/>
      <c r="AG50" s="2032">
        <f>'Exhibit G State'!AG50+'Exhibit G Federal'!AG27</f>
        <v>47.7</v>
      </c>
      <c r="AH50" s="3484"/>
      <c r="AI50" s="1977"/>
      <c r="AJ50" s="2000">
        <f t="shared" si="11"/>
        <v>-8.3000000000000007</v>
      </c>
      <c r="AK50" s="2550"/>
      <c r="AL50" s="1724">
        <f t="shared" si="12"/>
        <v>-0.17399999999999999</v>
      </c>
    </row>
    <row r="51" spans="1:38" s="2185" customFormat="1" ht="15" customHeight="1">
      <c r="A51" s="2465"/>
      <c r="B51" s="2485" t="s">
        <v>1055</v>
      </c>
      <c r="C51" s="2465"/>
      <c r="D51" s="2032">
        <f>'Exhibit G State'!D51+'Exhibit G Federal'!D28</f>
        <v>0.5</v>
      </c>
      <c r="E51" s="2032"/>
      <c r="F51" s="2032">
        <f>'Exhibit G State'!F51+'Exhibit G Federal'!F28</f>
        <v>0.30000000000000004</v>
      </c>
      <c r="G51" s="2032"/>
      <c r="H51" s="2032">
        <f>'Exhibit G State'!H51+'Exhibit G Federal'!H28</f>
        <v>9.9999999999999978E-2</v>
      </c>
      <c r="I51" s="2530"/>
      <c r="J51" s="2032">
        <f>'Exhibit G State'!J51+'Exhibit G Federal'!J28</f>
        <v>1.5</v>
      </c>
      <c r="K51" s="2542"/>
      <c r="L51" s="2032">
        <f>'Exhibit G State'!L51+'Exhibit G Federal'!L28</f>
        <v>0</v>
      </c>
      <c r="M51" s="2542"/>
      <c r="N51" s="2032">
        <f>'Exhibit G State'!N51+'Exhibit G Federal'!N28</f>
        <v>0</v>
      </c>
      <c r="O51" s="2542"/>
      <c r="P51" s="2032">
        <f>'Exhibit G State'!P51+'Exhibit G Federal'!P28</f>
        <v>0.39999999999999991</v>
      </c>
      <c r="Q51" s="2542"/>
      <c r="R51" s="2032">
        <f>'Exhibit G State'!R51+'Exhibit G Federal'!R28</f>
        <v>0</v>
      </c>
      <c r="S51" s="2542"/>
      <c r="T51" s="2032">
        <f>'Exhibit G State'!T51+'Exhibit G Federal'!T28</f>
        <v>9.9999999999999645E-2</v>
      </c>
      <c r="U51" s="2542"/>
      <c r="V51" s="2032">
        <f>'Exhibit G State'!V51+'Exhibit G Federal'!V28</f>
        <v>0.60000000000000053</v>
      </c>
      <c r="W51" s="2542"/>
      <c r="X51" s="2032"/>
      <c r="Y51" s="2542"/>
      <c r="Z51" s="2032"/>
      <c r="AA51" s="2032"/>
      <c r="AB51" s="1995">
        <v>0</v>
      </c>
      <c r="AC51" s="2039"/>
      <c r="AD51" s="1995">
        <f>ROUND(SUM(D51:Z51),1)</f>
        <v>3.5</v>
      </c>
      <c r="AE51" s="1995"/>
      <c r="AF51" s="2039"/>
      <c r="AG51" s="2032">
        <f>'Exhibit G State'!AG51+'Exhibit G Federal'!AG28</f>
        <v>6</v>
      </c>
      <c r="AH51" s="3484"/>
      <c r="AI51" s="1977"/>
      <c r="AJ51" s="2000">
        <f t="shared" si="11"/>
        <v>-2.5</v>
      </c>
      <c r="AK51" s="2550"/>
      <c r="AL51" s="1724">
        <f>ROUND(IF(AG51=0,1,AJ51/ABS(AG51)),3)</f>
        <v>-0.41699999999999998</v>
      </c>
    </row>
    <row r="52" spans="1:38" s="2185" customFormat="1" ht="15" customHeight="1">
      <c r="A52" s="2465"/>
      <c r="B52" s="2485" t="s">
        <v>1056</v>
      </c>
      <c r="C52" s="2465"/>
      <c r="D52" s="2032">
        <f>'Exhibit G State'!D52+'Exhibit G Federal'!D29</f>
        <v>18.399999999999999</v>
      </c>
      <c r="E52" s="2032"/>
      <c r="F52" s="2032">
        <f>'Exhibit G State'!F52+'Exhibit G Federal'!F29</f>
        <v>15.800000000000004</v>
      </c>
      <c r="G52" s="2032"/>
      <c r="H52" s="2032">
        <f>'Exhibit G State'!H52+'Exhibit G Federal'!H29</f>
        <v>17</v>
      </c>
      <c r="I52" s="2530"/>
      <c r="J52" s="2032">
        <f>'Exhibit G State'!J52+'Exhibit G Federal'!J29</f>
        <v>30.599999999999994</v>
      </c>
      <c r="K52" s="2542"/>
      <c r="L52" s="2032">
        <f>'Exhibit G State'!L52+'Exhibit G Federal'!L29</f>
        <v>27</v>
      </c>
      <c r="M52" s="2542"/>
      <c r="N52" s="2032">
        <f>'Exhibit G State'!N52+'Exhibit G Federal'!N29</f>
        <v>28.299999999999983</v>
      </c>
      <c r="O52" s="2542"/>
      <c r="P52" s="2032">
        <f>'Exhibit G State'!P52+'Exhibit G Federal'!P29</f>
        <v>15.800000000000011</v>
      </c>
      <c r="Q52" s="2542"/>
      <c r="R52" s="2032">
        <f>'Exhibit G State'!R52+'Exhibit G Federal'!R29</f>
        <v>34.900000000000006</v>
      </c>
      <c r="S52" s="2542"/>
      <c r="T52" s="2032">
        <f>'Exhibit G State'!T52+'Exhibit G Federal'!T29</f>
        <v>15.399999999999977</v>
      </c>
      <c r="U52" s="2542"/>
      <c r="V52" s="2032">
        <f>'Exhibit G State'!V52+'Exhibit G Federal'!V29</f>
        <v>31.5</v>
      </c>
      <c r="W52" s="2542"/>
      <c r="X52" s="2032"/>
      <c r="Y52" s="2542"/>
      <c r="Z52" s="2032"/>
      <c r="AA52" s="2032"/>
      <c r="AB52" s="1995">
        <v>0</v>
      </c>
      <c r="AC52" s="2039"/>
      <c r="AD52" s="1995">
        <f t="shared" si="10"/>
        <v>234.7</v>
      </c>
      <c r="AE52" s="1995"/>
      <c r="AF52" s="2039"/>
      <c r="AG52" s="2032">
        <f>'Exhibit G State'!AG52+'Exhibit G Federal'!AG29</f>
        <v>252.2</v>
      </c>
      <c r="AH52" s="3484"/>
      <c r="AI52" s="1977"/>
      <c r="AJ52" s="2000">
        <f t="shared" si="11"/>
        <v>-17.5</v>
      </c>
      <c r="AK52" s="2550"/>
      <c r="AL52" s="1724">
        <f t="shared" si="12"/>
        <v>-6.9000000000000006E-2</v>
      </c>
    </row>
    <row r="53" spans="1:38" s="2185" customFormat="1" ht="15" customHeight="1">
      <c r="A53" s="2465"/>
      <c r="B53" s="2485" t="s">
        <v>1057</v>
      </c>
      <c r="C53" s="2465"/>
      <c r="D53" s="2032">
        <f>'Exhibit G State'!D53+'Exhibit G Federal'!D30</f>
        <v>43</v>
      </c>
      <c r="E53" s="2032"/>
      <c r="F53" s="2032">
        <f>'Exhibit G State'!F53+'Exhibit G Federal'!F30</f>
        <v>0</v>
      </c>
      <c r="G53" s="2032"/>
      <c r="H53" s="2032">
        <f>'Exhibit G State'!H53+'Exhibit G Federal'!H30</f>
        <v>36</v>
      </c>
      <c r="I53" s="2530"/>
      <c r="J53" s="2032">
        <f>'Exhibit G State'!J53+'Exhibit G Federal'!J30</f>
        <v>34.299999999999997</v>
      </c>
      <c r="K53" s="2542"/>
      <c r="L53" s="2032">
        <f>'Exhibit G State'!L53+'Exhibit G Federal'!L30</f>
        <v>31.799999999999997</v>
      </c>
      <c r="M53" s="2542"/>
      <c r="N53" s="2032">
        <f>'Exhibit G State'!N53+'Exhibit G Federal'!N30</f>
        <v>144.29999999999995</v>
      </c>
      <c r="O53" s="2542"/>
      <c r="P53" s="2032">
        <f>'Exhibit G State'!P53+'Exhibit G Federal'!P30</f>
        <v>83.300000000000011</v>
      </c>
      <c r="Q53" s="2542"/>
      <c r="R53" s="2032">
        <f>'Exhibit G State'!R53+'Exhibit G Federal'!R30</f>
        <v>59.600000000000023</v>
      </c>
      <c r="S53" s="2542"/>
      <c r="T53" s="2032">
        <f>'Exhibit G State'!T53+'Exhibit G Federal'!T30</f>
        <v>55.800000000000011</v>
      </c>
      <c r="U53" s="2542"/>
      <c r="V53" s="2032">
        <f>'Exhibit G State'!V53+'Exhibit G Federal'!V30</f>
        <v>44.699999999999932</v>
      </c>
      <c r="W53" s="2542"/>
      <c r="X53" s="2032"/>
      <c r="Y53" s="2542"/>
      <c r="Z53" s="2032"/>
      <c r="AA53" s="2032"/>
      <c r="AB53" s="1995">
        <v>0</v>
      </c>
      <c r="AC53" s="2039"/>
      <c r="AD53" s="2000">
        <f t="shared" si="10"/>
        <v>532.79999999999995</v>
      </c>
      <c r="AE53" s="1995"/>
      <c r="AF53" s="2039"/>
      <c r="AG53" s="2032">
        <f>'Exhibit G State'!AG53+'Exhibit G Federal'!AG30</f>
        <v>691.8</v>
      </c>
      <c r="AH53" s="3484"/>
      <c r="AI53" s="1977"/>
      <c r="AJ53" s="2000">
        <f t="shared" si="11"/>
        <v>-159</v>
      </c>
      <c r="AK53" s="2550"/>
      <c r="AL53" s="1724">
        <f t="shared" si="12"/>
        <v>-0.23</v>
      </c>
    </row>
    <row r="54" spans="1:38" s="2185" customFormat="1" ht="15" customHeight="1">
      <c r="A54" s="2465"/>
      <c r="B54" s="2485" t="s">
        <v>1015</v>
      </c>
      <c r="C54" s="2465"/>
      <c r="D54" s="2032">
        <f>'Exhibit G State'!D54+'Exhibit G Federal'!D31</f>
        <v>10</v>
      </c>
      <c r="E54" s="2032"/>
      <c r="F54" s="2032">
        <f>'Exhibit G State'!F54+'Exhibit G Federal'!F31</f>
        <v>5.8000000000000016</v>
      </c>
      <c r="G54" s="2032"/>
      <c r="H54" s="2032">
        <f>'Exhibit G State'!H54+'Exhibit G Federal'!H31</f>
        <v>1.5999999999999985</v>
      </c>
      <c r="I54" s="2530"/>
      <c r="J54" s="2032">
        <f>'Exhibit G State'!J54+'Exhibit G Federal'!J31</f>
        <v>14</v>
      </c>
      <c r="K54" s="2542"/>
      <c r="L54" s="2032">
        <f>'Exhibit G State'!L54+'Exhibit G Federal'!L31</f>
        <v>0.3999999999999993</v>
      </c>
      <c r="M54" s="2542"/>
      <c r="N54" s="2032">
        <f>'Exhibit G State'!N54+'Exhibit G Federal'!N31</f>
        <v>5.8999999999999977</v>
      </c>
      <c r="O54" s="2542"/>
      <c r="P54" s="2032">
        <f>'Exhibit G State'!P54+'Exhibit G Federal'!P31</f>
        <v>65.399999999999977</v>
      </c>
      <c r="Q54" s="2542"/>
      <c r="R54" s="2032">
        <f>'Exhibit G State'!R54+'Exhibit G Federal'!R31</f>
        <v>3.0000000000000115</v>
      </c>
      <c r="S54" s="2542"/>
      <c r="T54" s="2032">
        <f>'Exhibit G State'!T54+'Exhibit G Federal'!T31</f>
        <v>2.8</v>
      </c>
      <c r="U54" s="2542"/>
      <c r="V54" s="2032">
        <f>'Exhibit G State'!V54+'Exhibit G Federal'!V31</f>
        <v>5.8999999999999941</v>
      </c>
      <c r="W54" s="2542"/>
      <c r="X54" s="2032"/>
      <c r="Y54" s="2542"/>
      <c r="Z54" s="2032"/>
      <c r="AA54" s="2032"/>
      <c r="AB54" s="1995">
        <v>0</v>
      </c>
      <c r="AC54" s="2039"/>
      <c r="AD54" s="2000">
        <f>ROUND(SUM(D54:Z54),1)</f>
        <v>114.8</v>
      </c>
      <c r="AE54" s="1995"/>
      <c r="AF54" s="2039"/>
      <c r="AG54" s="2032">
        <f>'Exhibit G State'!AG54+'Exhibit G Federal'!AG31</f>
        <v>255.5</v>
      </c>
      <c r="AH54" s="3484"/>
      <c r="AI54" s="1977"/>
      <c r="AJ54" s="2000">
        <f t="shared" si="11"/>
        <v>-140.69999999999999</v>
      </c>
      <c r="AK54" s="2550"/>
      <c r="AL54" s="1729">
        <f t="shared" si="12"/>
        <v>-0.55100000000000005</v>
      </c>
    </row>
    <row r="55" spans="1:38" s="2185" customFormat="1" ht="15" customHeight="1">
      <c r="A55" s="2465"/>
      <c r="B55" s="2485" t="s">
        <v>1136</v>
      </c>
      <c r="C55" s="2465"/>
      <c r="D55" s="2032"/>
      <c r="E55" s="2530"/>
      <c r="F55" s="2032"/>
      <c r="G55" s="2530"/>
      <c r="H55" s="2032"/>
      <c r="I55" s="2530"/>
      <c r="J55" s="2032"/>
      <c r="K55" s="2542"/>
      <c r="L55" s="2032"/>
      <c r="M55" s="2542"/>
      <c r="N55" s="2032"/>
      <c r="O55" s="2542"/>
      <c r="P55" s="2032"/>
      <c r="Q55" s="2542"/>
      <c r="R55" s="2032"/>
      <c r="S55" s="2542"/>
      <c r="T55" s="2032"/>
      <c r="U55" s="2542"/>
      <c r="V55" s="2032"/>
      <c r="W55" s="2542"/>
      <c r="X55" s="2032"/>
      <c r="Y55" s="2542"/>
      <c r="Z55" s="2032"/>
      <c r="AA55" s="2032"/>
      <c r="AB55" s="1995"/>
      <c r="AC55" s="2039"/>
      <c r="AD55" s="2000"/>
      <c r="AE55" s="1995"/>
      <c r="AF55" s="2039"/>
      <c r="AG55" s="2032"/>
      <c r="AH55" s="3484"/>
      <c r="AI55" s="1977"/>
      <c r="AJ55" s="2000"/>
      <c r="AK55" s="2550"/>
      <c r="AL55" s="1818"/>
    </row>
    <row r="56" spans="1:38" s="2185" customFormat="1" ht="15" customHeight="1">
      <c r="A56" s="2465"/>
      <c r="B56" s="2485" t="s">
        <v>1058</v>
      </c>
      <c r="C56" s="2465"/>
      <c r="D56" s="2032">
        <f>'Exhibit G State'!D56</f>
        <v>0</v>
      </c>
      <c r="E56" s="2032"/>
      <c r="F56" s="2032">
        <f>'Exhibit G State'!F56</f>
        <v>0</v>
      </c>
      <c r="G56" s="2032"/>
      <c r="H56" s="2032">
        <f>'Exhibit G State'!H56</f>
        <v>0</v>
      </c>
      <c r="I56" s="2530"/>
      <c r="J56" s="2032">
        <f>'Exhibit G State'!J56</f>
        <v>20.8</v>
      </c>
      <c r="K56" s="2542"/>
      <c r="L56" s="2032">
        <f>'Exhibit G State'!L56</f>
        <v>0</v>
      </c>
      <c r="M56" s="2542"/>
      <c r="N56" s="2032">
        <f>'Exhibit G State'!N56</f>
        <v>8</v>
      </c>
      <c r="O56" s="2542"/>
      <c r="P56" s="2032">
        <f>'Exhibit G State'!P56</f>
        <v>33.400000000000006</v>
      </c>
      <c r="Q56" s="2542"/>
      <c r="R56" s="2032">
        <f>'Exhibit G State'!R56</f>
        <v>10</v>
      </c>
      <c r="S56" s="2542"/>
      <c r="T56" s="2032">
        <f>'Exhibit G State'!T56</f>
        <v>10.200000000000003</v>
      </c>
      <c r="U56" s="2542"/>
      <c r="V56" s="2032">
        <f>'Exhibit G State'!V56</f>
        <v>27.099999999999994</v>
      </c>
      <c r="W56" s="2542"/>
      <c r="X56" s="2032"/>
      <c r="Y56" s="2542"/>
      <c r="Z56" s="2032"/>
      <c r="AA56" s="2032"/>
      <c r="AB56" s="1995">
        <v>0</v>
      </c>
      <c r="AC56" s="2039"/>
      <c r="AD56" s="2000">
        <f t="shared" si="10"/>
        <v>109.5</v>
      </c>
      <c r="AE56" s="1995"/>
      <c r="AF56" s="2039"/>
      <c r="AG56" s="2032">
        <f>'Exhibit G State'!AG56</f>
        <v>246.3</v>
      </c>
      <c r="AH56" s="3484"/>
      <c r="AI56" s="1977"/>
      <c r="AJ56" s="2000">
        <f>ROUND(SUM(+AD56-AG56),1)</f>
        <v>-136.80000000000001</v>
      </c>
      <c r="AK56" s="2550"/>
      <c r="AL56" s="1729">
        <f>ROUND(IF(AG56=0,0,AJ56/ABS(AG56)),3)</f>
        <v>-0.55500000000000005</v>
      </c>
    </row>
    <row r="57" spans="1:38" s="2185" customFormat="1" ht="15" customHeight="1">
      <c r="A57" s="2465"/>
      <c r="B57" s="2485" t="s">
        <v>1059</v>
      </c>
      <c r="C57" s="2465"/>
      <c r="D57" s="2032">
        <f>'Exhibit G State'!D57</f>
        <v>157</v>
      </c>
      <c r="E57" s="2032"/>
      <c r="F57" s="2032">
        <f>'Exhibit G State'!F57</f>
        <v>142.10000000000002</v>
      </c>
      <c r="G57" s="2032"/>
      <c r="H57" s="2032">
        <f>'Exhibit G State'!H57</f>
        <v>173.79999999999995</v>
      </c>
      <c r="I57" s="2530"/>
      <c r="J57" s="2032">
        <f>'Exhibit G State'!J57</f>
        <v>202.20000000000005</v>
      </c>
      <c r="K57" s="2542"/>
      <c r="L57" s="2032">
        <f>'Exhibit G State'!L57</f>
        <v>195.89999999999998</v>
      </c>
      <c r="M57" s="2542"/>
      <c r="N57" s="2032">
        <f>'Exhibit G State'!N57</f>
        <v>199.29999999999995</v>
      </c>
      <c r="O57" s="2542"/>
      <c r="P57" s="2032">
        <f>'Exhibit G State'!P57</f>
        <v>168.29999999999995</v>
      </c>
      <c r="Q57" s="2542"/>
      <c r="R57" s="2032">
        <f>'Exhibit G State'!R57</f>
        <v>171.00000000000011</v>
      </c>
      <c r="S57" s="2542"/>
      <c r="T57" s="2032">
        <f>'Exhibit G State'!T57</f>
        <v>215.59999999999991</v>
      </c>
      <c r="U57" s="2542"/>
      <c r="V57" s="2032">
        <f>'Exhibit G State'!V57</f>
        <v>256.5</v>
      </c>
      <c r="W57" s="2542"/>
      <c r="X57" s="2032"/>
      <c r="Y57" s="2542"/>
      <c r="Z57" s="2032"/>
      <c r="AA57" s="2032"/>
      <c r="AB57" s="1995">
        <v>0</v>
      </c>
      <c r="AC57" s="2039"/>
      <c r="AD57" s="2000">
        <f t="shared" si="10"/>
        <v>1881.7</v>
      </c>
      <c r="AE57" s="1995"/>
      <c r="AF57" s="2039"/>
      <c r="AG57" s="2032">
        <f>'Exhibit G State'!AG57</f>
        <v>2054.3000000000002</v>
      </c>
      <c r="AH57" s="3484"/>
      <c r="AI57" s="1977"/>
      <c r="AJ57" s="2000">
        <f>ROUND(SUM(+AD57-AG57),1)</f>
        <v>-172.6</v>
      </c>
      <c r="AK57" s="2550"/>
      <c r="AL57" s="1724">
        <f>ROUND(IF(AG57=0,0,AJ57/ABS(AG57)),3)</f>
        <v>-8.4000000000000005E-2</v>
      </c>
    </row>
    <row r="58" spans="1:38" s="2185" customFormat="1" ht="15" customHeight="1">
      <c r="A58" s="2465"/>
      <c r="B58" s="2485" t="s">
        <v>1060</v>
      </c>
      <c r="C58" s="2465"/>
      <c r="D58" s="2032">
        <f>'Exhibit G State'!D58</f>
        <v>0</v>
      </c>
      <c r="E58" s="2032"/>
      <c r="F58" s="2032">
        <f>'Exhibit G State'!F58</f>
        <v>0.6</v>
      </c>
      <c r="G58" s="2032"/>
      <c r="H58" s="2032">
        <f>'Exhibit G State'!H58</f>
        <v>0</v>
      </c>
      <c r="I58" s="2530"/>
      <c r="J58" s="2032">
        <f>'Exhibit G State'!J58</f>
        <v>-0.39999999999999997</v>
      </c>
      <c r="K58" s="2542"/>
      <c r="L58" s="2032">
        <f>'Exhibit G State'!L58</f>
        <v>0</v>
      </c>
      <c r="M58" s="2542"/>
      <c r="N58" s="2032">
        <f>'Exhibit G State'!N58</f>
        <v>33.799999999999997</v>
      </c>
      <c r="O58" s="2542"/>
      <c r="P58" s="2032">
        <f>'Exhibit G State'!P58</f>
        <v>59.600000000000009</v>
      </c>
      <c r="Q58" s="2542"/>
      <c r="R58" s="2032">
        <f>'Exhibit G State'!R58</f>
        <v>54.200000000000017</v>
      </c>
      <c r="S58" s="2542"/>
      <c r="T58" s="2032">
        <f>'Exhibit G State'!T58</f>
        <v>57.999999999999986</v>
      </c>
      <c r="U58" s="2542"/>
      <c r="V58" s="2032">
        <f>'Exhibit G State'!V58</f>
        <v>58.899999999999906</v>
      </c>
      <c r="W58" s="2542"/>
      <c r="X58" s="2032"/>
      <c r="Y58" s="2542"/>
      <c r="Z58" s="2032"/>
      <c r="AA58" s="2032"/>
      <c r="AB58" s="1995">
        <v>0</v>
      </c>
      <c r="AC58" s="2039"/>
      <c r="AD58" s="2000">
        <f t="shared" si="10"/>
        <v>264.7</v>
      </c>
      <c r="AE58" s="1995"/>
      <c r="AF58" s="2039"/>
      <c r="AG58" s="2032">
        <f>'Exhibit G State'!AG58</f>
        <v>808.7</v>
      </c>
      <c r="AH58" s="3484"/>
      <c r="AI58" s="1977"/>
      <c r="AJ58" s="2000">
        <f>ROUND(SUM(+AD58-AG58),1)</f>
        <v>-544</v>
      </c>
      <c r="AK58" s="2550"/>
      <c r="AL58" s="1724">
        <f>ROUND(IF(AG58=0,0,AJ58/ABS(AG58)),3)</f>
        <v>-0.67300000000000004</v>
      </c>
    </row>
    <row r="59" spans="1:38" s="2185" customFormat="1" ht="15" customHeight="1">
      <c r="A59" s="2465"/>
      <c r="B59" s="2485" t="s">
        <v>1016</v>
      </c>
      <c r="C59" s="2465"/>
      <c r="D59" s="2032">
        <f>'Exhibit G State'!D59+'Exhibit G Federal'!D32</f>
        <v>16.5</v>
      </c>
      <c r="E59" s="2032"/>
      <c r="F59" s="2032">
        <f>'Exhibit G State'!F59+'Exhibit G Federal'!F32</f>
        <v>11.700000000000001</v>
      </c>
      <c r="G59" s="2032"/>
      <c r="H59" s="2032">
        <f>'Exhibit G State'!H59+'Exhibit G Federal'!H32</f>
        <v>7.4999999999999982</v>
      </c>
      <c r="I59" s="2530"/>
      <c r="J59" s="2032">
        <f>'Exhibit G State'!J59+'Exhibit G Federal'!J32</f>
        <v>4.3000000000000007</v>
      </c>
      <c r="K59" s="2542"/>
      <c r="L59" s="2032">
        <f>'Exhibit G State'!L59+'Exhibit G Federal'!L32</f>
        <v>5.1999999999999975</v>
      </c>
      <c r="M59" s="2542"/>
      <c r="N59" s="2032">
        <f>'Exhibit G State'!N59+'Exhibit G Federal'!N32</f>
        <v>4.2000000000000046</v>
      </c>
      <c r="O59" s="2542"/>
      <c r="P59" s="2032">
        <f>'Exhibit G State'!P59+'Exhibit G Federal'!P32</f>
        <v>4.0999999999999979</v>
      </c>
      <c r="Q59" s="2542"/>
      <c r="R59" s="2032">
        <f>'Exhibit G State'!R59+'Exhibit G Federal'!R32</f>
        <v>4.0999999999999979</v>
      </c>
      <c r="S59" s="2542"/>
      <c r="T59" s="2032">
        <f>'Exhibit G State'!T59+'Exhibit G Federal'!T32</f>
        <v>4.4000000000000021</v>
      </c>
      <c r="U59" s="2542"/>
      <c r="V59" s="2032">
        <f>'Exhibit G State'!V59+'Exhibit G Federal'!V32</f>
        <v>4.6999999999999993</v>
      </c>
      <c r="W59" s="2542"/>
      <c r="X59" s="2032"/>
      <c r="Y59" s="2542"/>
      <c r="Z59" s="2032"/>
      <c r="AA59" s="2032"/>
      <c r="AB59" s="1995">
        <v>0</v>
      </c>
      <c r="AC59" s="2039"/>
      <c r="AD59" s="2000">
        <f>ROUND(SUM(D59:Z59),1)</f>
        <v>66.7</v>
      </c>
      <c r="AE59" s="1995"/>
      <c r="AF59" s="2039"/>
      <c r="AG59" s="2032">
        <f>'Exhibit G State'!AG59+'Exhibit G Federal'!AG32</f>
        <v>208.6</v>
      </c>
      <c r="AH59" s="3484"/>
      <c r="AI59" s="1977"/>
      <c r="AJ59" s="2000">
        <f>ROUND(SUM(+AD59-AG59),1)</f>
        <v>-141.9</v>
      </c>
      <c r="AK59" s="2550"/>
      <c r="AL59" s="1724">
        <f>ROUND(IF(AG59=0,0,AJ59/ABS(AG59)),3)</f>
        <v>-0.68</v>
      </c>
    </row>
    <row r="60" spans="1:38" s="2185" customFormat="1" ht="15" customHeight="1">
      <c r="A60" s="2465"/>
      <c r="B60" s="2485" t="s">
        <v>1137</v>
      </c>
      <c r="C60" s="2465"/>
      <c r="D60" s="2032"/>
      <c r="E60" s="2530"/>
      <c r="F60" s="2032"/>
      <c r="G60" s="2530"/>
      <c r="H60" s="2032"/>
      <c r="I60" s="2530"/>
      <c r="J60" s="2032"/>
      <c r="K60" s="2542"/>
      <c r="L60" s="2032"/>
      <c r="M60" s="2542"/>
      <c r="N60" s="2032"/>
      <c r="O60" s="2542"/>
      <c r="P60" s="2032"/>
      <c r="Q60" s="2542"/>
      <c r="R60" s="2032"/>
      <c r="S60" s="2542"/>
      <c r="T60" s="2032"/>
      <c r="U60" s="2542"/>
      <c r="V60" s="2032"/>
      <c r="W60" s="2542"/>
      <c r="X60" s="2032"/>
      <c r="Y60" s="2542"/>
      <c r="Z60" s="2032"/>
      <c r="AA60" s="2032"/>
      <c r="AB60" s="1995"/>
      <c r="AC60" s="2039"/>
      <c r="AD60" s="2000"/>
      <c r="AE60" s="1995"/>
      <c r="AF60" s="2039"/>
      <c r="AG60" s="2032"/>
      <c r="AH60" s="3484"/>
      <c r="AI60" s="1977"/>
      <c r="AJ60" s="2000"/>
      <c r="AK60" s="2550"/>
      <c r="AL60" s="1818"/>
    </row>
    <row r="61" spans="1:38" s="2185" customFormat="1" ht="15" customHeight="1">
      <c r="A61" s="2465"/>
      <c r="B61" s="2485" t="s">
        <v>1061</v>
      </c>
      <c r="C61" s="2465"/>
      <c r="D61" s="2032">
        <f>'Exhibit G State'!D61+'Exhibit G Federal'!D34</f>
        <v>0</v>
      </c>
      <c r="E61" s="2032"/>
      <c r="F61" s="2032">
        <f>'Exhibit G State'!F61+'Exhibit G Federal'!F34</f>
        <v>0</v>
      </c>
      <c r="G61" s="2032"/>
      <c r="H61" s="2032">
        <f>'Exhibit G State'!H61+'Exhibit G Federal'!H34</f>
        <v>0</v>
      </c>
      <c r="I61" s="2530"/>
      <c r="J61" s="2032">
        <f>'Exhibit G State'!J61+'Exhibit G Federal'!J34</f>
        <v>0</v>
      </c>
      <c r="K61" s="2542"/>
      <c r="L61" s="2032">
        <f>'Exhibit G State'!L61+'Exhibit G Federal'!L34</f>
        <v>0</v>
      </c>
      <c r="M61" s="2542"/>
      <c r="N61" s="2032">
        <f>'Exhibit G State'!N61+'Exhibit G Federal'!N34</f>
        <v>0</v>
      </c>
      <c r="O61" s="2542"/>
      <c r="P61" s="2032">
        <f>'Exhibit G State'!P61+'Exhibit G Federal'!P34</f>
        <v>0</v>
      </c>
      <c r="Q61" s="2542"/>
      <c r="R61" s="2032">
        <f>'Exhibit G State'!R61+'Exhibit G Federal'!R34</f>
        <v>0</v>
      </c>
      <c r="S61" s="2542"/>
      <c r="T61" s="2032">
        <f>'Exhibit G State'!T61+'Exhibit G Federal'!T34</f>
        <v>0</v>
      </c>
      <c r="U61" s="2542"/>
      <c r="V61" s="2032">
        <f>'Exhibit G State'!V61+'Exhibit G Federal'!V34</f>
        <v>0</v>
      </c>
      <c r="W61" s="2542"/>
      <c r="X61" s="2032"/>
      <c r="Y61" s="2542"/>
      <c r="Z61" s="2032"/>
      <c r="AA61" s="2032"/>
      <c r="AB61" s="1995">
        <v>0</v>
      </c>
      <c r="AC61" s="2039"/>
      <c r="AD61" s="2000">
        <f t="shared" si="10"/>
        <v>0</v>
      </c>
      <c r="AE61" s="1995"/>
      <c r="AF61" s="2039"/>
      <c r="AG61" s="2032">
        <f>'Exhibit G State'!AG61+'Exhibit G Federal'!AG34</f>
        <v>0</v>
      </c>
      <c r="AH61" s="3484"/>
      <c r="AI61" s="1977"/>
      <c r="AJ61" s="2000">
        <f t="shared" ref="AJ61:AJ66" si="13">ROUND(SUM(+AD61-AG61),1)</f>
        <v>0</v>
      </c>
      <c r="AK61" s="2550"/>
      <c r="AL61" s="1724">
        <f>ROUND(IF(AG61=0,0,AJ61/ABS(AG61)),3)</f>
        <v>0</v>
      </c>
    </row>
    <row r="62" spans="1:38" s="2185" customFormat="1" ht="15" customHeight="1">
      <c r="A62" s="2465"/>
      <c r="B62" s="2485" t="s">
        <v>1062</v>
      </c>
      <c r="C62" s="2465"/>
      <c r="D62" s="2032">
        <f>'Exhibit G State'!D62+'Exhibit G Federal'!D35</f>
        <v>0</v>
      </c>
      <c r="E62" s="2032"/>
      <c r="F62" s="2032">
        <f>'Exhibit G State'!F62+'Exhibit G Federal'!F35</f>
        <v>0</v>
      </c>
      <c r="G62" s="2032"/>
      <c r="H62" s="2032">
        <f>'Exhibit G State'!H62+'Exhibit G Federal'!H35</f>
        <v>0</v>
      </c>
      <c r="I62" s="2530"/>
      <c r="J62" s="2032">
        <f>'Exhibit G State'!J62+'Exhibit G Federal'!J35</f>
        <v>0</v>
      </c>
      <c r="K62" s="2542"/>
      <c r="L62" s="2032">
        <f>'Exhibit G State'!L62+'Exhibit G Federal'!L35</f>
        <v>0</v>
      </c>
      <c r="M62" s="2542"/>
      <c r="N62" s="2032">
        <f>'Exhibit G State'!N62+'Exhibit G Federal'!N35</f>
        <v>0</v>
      </c>
      <c r="O62" s="2542"/>
      <c r="P62" s="2032">
        <f>'Exhibit G State'!P62+'Exhibit G Federal'!P35</f>
        <v>8.9</v>
      </c>
      <c r="Q62" s="2542"/>
      <c r="R62" s="2032">
        <f>'Exhibit G State'!R62+'Exhibit G Federal'!R35</f>
        <v>0</v>
      </c>
      <c r="S62" s="2542"/>
      <c r="T62" s="2032">
        <f>'Exhibit G State'!T62+'Exhibit G Federal'!T35</f>
        <v>0</v>
      </c>
      <c r="U62" s="2542"/>
      <c r="V62" s="2032">
        <f>'Exhibit G State'!V62+'Exhibit G Federal'!V35</f>
        <v>0</v>
      </c>
      <c r="W62" s="2542"/>
      <c r="X62" s="2032"/>
      <c r="Y62" s="2542"/>
      <c r="Z62" s="2032"/>
      <c r="AA62" s="2032"/>
      <c r="AB62" s="1995">
        <v>0</v>
      </c>
      <c r="AC62" s="2039"/>
      <c r="AD62" s="2000">
        <f t="shared" si="10"/>
        <v>8.9</v>
      </c>
      <c r="AE62" s="1995"/>
      <c r="AF62" s="2039"/>
      <c r="AG62" s="2032">
        <f>'Exhibit G State'!AG62+'Exhibit G Federal'!AG35</f>
        <v>20.399999999999999</v>
      </c>
      <c r="AH62" s="3484"/>
      <c r="AI62" s="1977"/>
      <c r="AJ62" s="2000">
        <f t="shared" si="13"/>
        <v>-11.5</v>
      </c>
      <c r="AK62" s="2550"/>
      <c r="AL62" s="1724">
        <f>ROUND(IF(AG62=0,0,AJ62/ABS(AG62)),3)</f>
        <v>-0.56399999999999995</v>
      </c>
    </row>
    <row r="63" spans="1:38" s="2185" customFormat="1" ht="15" customHeight="1">
      <c r="A63" s="2465"/>
      <c r="B63" s="2485" t="s">
        <v>1063</v>
      </c>
      <c r="C63" s="2465"/>
      <c r="D63" s="2032">
        <f>'Exhibit G State'!D63+'Exhibit G Federal'!D36</f>
        <v>0.5</v>
      </c>
      <c r="E63" s="2032"/>
      <c r="F63" s="2032">
        <f>'Exhibit G State'!F63+'Exhibit G Federal'!F36</f>
        <v>1.4</v>
      </c>
      <c r="G63" s="2032"/>
      <c r="H63" s="2032">
        <f>'Exhibit G State'!H63+'Exhibit G Federal'!H36</f>
        <v>5.3000000000000007</v>
      </c>
      <c r="I63" s="2530"/>
      <c r="J63" s="2032">
        <f>'Exhibit G State'!J63+'Exhibit G Federal'!J36</f>
        <v>0</v>
      </c>
      <c r="K63" s="2542"/>
      <c r="L63" s="2032">
        <f>'Exhibit G State'!L63+'Exhibit G Federal'!L36</f>
        <v>0</v>
      </c>
      <c r="M63" s="2542"/>
      <c r="N63" s="2032">
        <f>'Exhibit G State'!N63+'Exhibit G Federal'!N36</f>
        <v>0</v>
      </c>
      <c r="O63" s="2542"/>
      <c r="P63" s="2032">
        <f>'Exhibit G State'!P63+'Exhibit G Federal'!P36</f>
        <v>0</v>
      </c>
      <c r="Q63" s="2542"/>
      <c r="R63" s="2032">
        <f>'Exhibit G State'!R63+'Exhibit G Federal'!R36</f>
        <v>0</v>
      </c>
      <c r="S63" s="2542"/>
      <c r="T63" s="2032">
        <f>'Exhibit G State'!T63+'Exhibit G Federal'!T36</f>
        <v>0</v>
      </c>
      <c r="U63" s="2542"/>
      <c r="V63" s="2032">
        <f>'Exhibit G State'!V63+'Exhibit G Federal'!V36</f>
        <v>0</v>
      </c>
      <c r="W63" s="2542"/>
      <c r="X63" s="2032"/>
      <c r="Y63" s="2542"/>
      <c r="Z63" s="2032"/>
      <c r="AA63" s="2032"/>
      <c r="AB63" s="1995">
        <v>0</v>
      </c>
      <c r="AC63" s="2039"/>
      <c r="AD63" s="2000">
        <f t="shared" si="10"/>
        <v>7.2</v>
      </c>
      <c r="AE63" s="1995"/>
      <c r="AF63" s="2039"/>
      <c r="AG63" s="2032">
        <f>'Exhibit G State'!AG63+'Exhibit G Federal'!AG36</f>
        <v>7.2</v>
      </c>
      <c r="AH63" s="3484"/>
      <c r="AI63" s="1977"/>
      <c r="AJ63" s="2000">
        <f t="shared" si="13"/>
        <v>0</v>
      </c>
      <c r="AK63" s="2550"/>
      <c r="AL63" s="1729">
        <f t="shared" ref="AL63:AL66" si="14">ROUND(IF(AG63=0,0,AJ63/ABS(AG63)),3)</f>
        <v>0</v>
      </c>
    </row>
    <row r="64" spans="1:38" s="2185" customFormat="1" ht="15" customHeight="1">
      <c r="A64" s="2465"/>
      <c r="B64" s="2485" t="s">
        <v>1064</v>
      </c>
      <c r="C64" s="2465"/>
      <c r="D64" s="2032">
        <f>'Exhibit G State'!D64+'Exhibit G Federal'!D37</f>
        <v>8.9</v>
      </c>
      <c r="E64" s="2032"/>
      <c r="F64" s="2032">
        <f>'Exhibit G State'!F64+'Exhibit G Federal'!F37</f>
        <v>0.29999999999999893</v>
      </c>
      <c r="G64" s="2032"/>
      <c r="H64" s="2032">
        <f>'Exhibit G State'!H64+'Exhibit G Federal'!H37</f>
        <v>0</v>
      </c>
      <c r="I64" s="2530"/>
      <c r="J64" s="2032">
        <f>'Exhibit G State'!J64+'Exhibit G Federal'!J37</f>
        <v>4.2000000000000011</v>
      </c>
      <c r="K64" s="2542"/>
      <c r="L64" s="2032">
        <f>'Exhibit G State'!L64+'Exhibit G Federal'!L37</f>
        <v>1.7999999999999989</v>
      </c>
      <c r="M64" s="2542"/>
      <c r="N64" s="2032">
        <f>'Exhibit G State'!N64+'Exhibit G Federal'!N37</f>
        <v>0</v>
      </c>
      <c r="O64" s="2542"/>
      <c r="P64" s="2032">
        <f>'Exhibit G State'!P64+'Exhibit G Federal'!P37</f>
        <v>0.40000000000000036</v>
      </c>
      <c r="Q64" s="2542"/>
      <c r="R64" s="2032">
        <f>'Exhibit G State'!R64+'Exhibit G Federal'!R37</f>
        <v>0</v>
      </c>
      <c r="S64" s="2542"/>
      <c r="T64" s="2032">
        <f>'Exhibit G State'!T64+'Exhibit G Federal'!T37</f>
        <v>0</v>
      </c>
      <c r="U64" s="2542"/>
      <c r="V64" s="2032">
        <f>'Exhibit G State'!V64+'Exhibit G Federal'!V37</f>
        <v>0.30000000000000071</v>
      </c>
      <c r="W64" s="2542"/>
      <c r="X64" s="2032"/>
      <c r="Y64" s="2542"/>
      <c r="Z64" s="2032"/>
      <c r="AA64" s="2032"/>
      <c r="AB64" s="1995">
        <v>0</v>
      </c>
      <c r="AC64" s="2039"/>
      <c r="AD64" s="2000">
        <f t="shared" si="10"/>
        <v>15.9</v>
      </c>
      <c r="AE64" s="1995"/>
      <c r="AF64" s="2039"/>
      <c r="AG64" s="2032">
        <f>'Exhibit G State'!AG64+'Exhibit G Federal'!AG37</f>
        <v>54.9</v>
      </c>
      <c r="AH64" s="3484"/>
      <c r="AI64" s="1977"/>
      <c r="AJ64" s="2000">
        <f t="shared" si="13"/>
        <v>-39</v>
      </c>
      <c r="AK64" s="2550"/>
      <c r="AL64" s="1729">
        <f t="shared" si="14"/>
        <v>-0.71</v>
      </c>
    </row>
    <row r="65" spans="1:38" s="2185" customFormat="1" ht="15" customHeight="1">
      <c r="A65" s="2465"/>
      <c r="B65" s="2485" t="s">
        <v>1034</v>
      </c>
      <c r="C65" s="2465"/>
      <c r="D65" s="2032">
        <f>'Exhibit G State'!D65+'Exhibit G Federal'!D38</f>
        <v>9.2999999999999989</v>
      </c>
      <c r="E65" s="2032"/>
      <c r="F65" s="2032">
        <f>'Exhibit G State'!F65+'Exhibit G Federal'!F38</f>
        <v>2.2000000000000011</v>
      </c>
      <c r="G65" s="2032"/>
      <c r="H65" s="2032">
        <f>'Exhibit G State'!H65+'Exhibit G Federal'!H38</f>
        <v>3.6999999999999993</v>
      </c>
      <c r="I65" s="2530"/>
      <c r="J65" s="2032">
        <f>'Exhibit G State'!J65+'Exhibit G Federal'!J38</f>
        <v>3.6999999999999993</v>
      </c>
      <c r="K65" s="2542"/>
      <c r="L65" s="2032">
        <f>'Exhibit G State'!L65+'Exhibit G Federal'!L38</f>
        <v>1.6000000000000014</v>
      </c>
      <c r="M65" s="2542"/>
      <c r="N65" s="2032">
        <f>'Exhibit G State'!N65+'Exhibit G Federal'!N38</f>
        <v>4.6999999999999993</v>
      </c>
      <c r="O65" s="2542"/>
      <c r="P65" s="2032">
        <f>'Exhibit G State'!P65+'Exhibit G Federal'!P38</f>
        <v>3.4000000000000021</v>
      </c>
      <c r="Q65" s="2542"/>
      <c r="R65" s="2032">
        <f>'Exhibit G State'!R65+'Exhibit G Federal'!R38</f>
        <v>1.5999999999999943</v>
      </c>
      <c r="S65" s="2542"/>
      <c r="T65" s="2032">
        <f>'Exhibit G State'!T65+'Exhibit G Federal'!T38</f>
        <v>5.1000000000000014</v>
      </c>
      <c r="U65" s="2542"/>
      <c r="V65" s="2032">
        <f>'Exhibit G State'!V65+'Exhibit G Federal'!V38</f>
        <v>3.3000000000000043</v>
      </c>
      <c r="W65" s="2542"/>
      <c r="X65" s="2032"/>
      <c r="Y65" s="2542"/>
      <c r="Z65" s="2032"/>
      <c r="AA65" s="2032"/>
      <c r="AB65" s="1995">
        <v>0</v>
      </c>
      <c r="AC65" s="2039"/>
      <c r="AD65" s="2000">
        <f t="shared" si="10"/>
        <v>38.6</v>
      </c>
      <c r="AE65" s="1995"/>
      <c r="AF65" s="2039"/>
      <c r="AG65" s="2032">
        <f>'Exhibit G State'!AG65+'Exhibit G Federal'!AG38</f>
        <v>43.9</v>
      </c>
      <c r="AH65" s="3484"/>
      <c r="AI65" s="1977"/>
      <c r="AJ65" s="2000">
        <f t="shared" si="13"/>
        <v>-5.3</v>
      </c>
      <c r="AK65" s="2550"/>
      <c r="AL65" s="1724">
        <f t="shared" si="14"/>
        <v>-0.121</v>
      </c>
    </row>
    <row r="66" spans="1:38" s="2185" customFormat="1" ht="15" customHeight="1">
      <c r="A66" s="2465"/>
      <c r="B66" s="2485" t="s">
        <v>1035</v>
      </c>
      <c r="C66" s="2465"/>
      <c r="D66" s="2032">
        <f>'Exhibit G State'!D66+'Exhibit G Federal'!D39</f>
        <v>-5.3</v>
      </c>
      <c r="E66" s="2032"/>
      <c r="F66" s="2032">
        <f>'Exhibit G State'!F66+'Exhibit G Federal'!F39</f>
        <v>-42.900000000000006</v>
      </c>
      <c r="G66" s="2032"/>
      <c r="H66" s="2032">
        <f>'Exhibit G State'!H66+'Exhibit G Federal'!H39</f>
        <v>-0.39999999999999858</v>
      </c>
      <c r="I66" s="2530"/>
      <c r="J66" s="2032">
        <f>'Exhibit G State'!J66+'Exhibit G Federal'!J39</f>
        <v>1.8999999999999986</v>
      </c>
      <c r="K66" s="2542"/>
      <c r="L66" s="2032">
        <f>'Exhibit G State'!L66+'Exhibit G Federal'!L39</f>
        <v>3.8000000000000043</v>
      </c>
      <c r="M66" s="2542"/>
      <c r="N66" s="2032">
        <f>'Exhibit G State'!N66+'Exhibit G Federal'!N39</f>
        <v>34.6</v>
      </c>
      <c r="O66" s="2542"/>
      <c r="P66" s="2032">
        <f>'Exhibit G State'!P66+'Exhibit G Federal'!P39</f>
        <v>60.999999999999993</v>
      </c>
      <c r="Q66" s="2542"/>
      <c r="R66" s="2032">
        <f>'Exhibit G State'!R66+'Exhibit G Federal'!R39</f>
        <v>11.29999999999999</v>
      </c>
      <c r="S66" s="2542"/>
      <c r="T66" s="2032">
        <f>'Exhibit G State'!T66+'Exhibit G Federal'!T39</f>
        <v>7.4000000000000057</v>
      </c>
      <c r="U66" s="2542"/>
      <c r="V66" s="2032">
        <f>'Exhibit G State'!V66+'Exhibit G Federal'!V39</f>
        <v>29.300000000000011</v>
      </c>
      <c r="W66" s="2542"/>
      <c r="X66" s="2032"/>
      <c r="Y66" s="2542"/>
      <c r="Z66" s="2032"/>
      <c r="AA66" s="2032"/>
      <c r="AB66" s="1995">
        <v>0</v>
      </c>
      <c r="AC66" s="2039"/>
      <c r="AD66" s="2000">
        <f t="shared" si="10"/>
        <v>100.7</v>
      </c>
      <c r="AE66" s="1995"/>
      <c r="AF66" s="2039"/>
      <c r="AG66" s="2032">
        <f>'Exhibit G State'!AG66+'Exhibit G Federal'!AG39</f>
        <v>266.8</v>
      </c>
      <c r="AH66" s="3484"/>
      <c r="AI66" s="1977"/>
      <c r="AJ66" s="2000">
        <f t="shared" si="13"/>
        <v>-166.1</v>
      </c>
      <c r="AK66" s="2550"/>
      <c r="AL66" s="1729">
        <f t="shared" si="14"/>
        <v>-0.623</v>
      </c>
    </row>
    <row r="67" spans="1:38" s="2185" customFormat="1" ht="15" customHeight="1">
      <c r="A67" s="2465"/>
      <c r="B67" s="2485" t="s">
        <v>1138</v>
      </c>
      <c r="C67" s="2465"/>
      <c r="D67" s="2032"/>
      <c r="E67" s="2032"/>
      <c r="F67" s="2032"/>
      <c r="G67" s="2530"/>
      <c r="H67" s="2032"/>
      <c r="I67" s="2530"/>
      <c r="J67" s="2032"/>
      <c r="K67" s="2542"/>
      <c r="L67" s="2032"/>
      <c r="M67" s="2542"/>
      <c r="N67" s="2032"/>
      <c r="O67" s="2542"/>
      <c r="P67" s="2032"/>
      <c r="Q67" s="2542"/>
      <c r="R67" s="2032"/>
      <c r="S67" s="2542"/>
      <c r="T67" s="2032"/>
      <c r="U67" s="2542"/>
      <c r="V67" s="2032"/>
      <c r="W67" s="2542"/>
      <c r="X67" s="2032"/>
      <c r="Y67" s="2542"/>
      <c r="Z67" s="2032"/>
      <c r="AA67" s="2032"/>
      <c r="AB67" s="1995"/>
      <c r="AC67" s="2039"/>
      <c r="AD67" s="2000"/>
      <c r="AE67" s="1995"/>
      <c r="AF67" s="2039"/>
      <c r="AG67" s="2032"/>
      <c r="AH67" s="3484"/>
      <c r="AI67" s="1977"/>
      <c r="AJ67" s="2000"/>
      <c r="AK67" s="2550"/>
      <c r="AL67" s="1818"/>
    </row>
    <row r="68" spans="1:38" s="2185" customFormat="1" ht="15" customHeight="1">
      <c r="A68" s="2465"/>
      <c r="B68" s="2485" t="s">
        <v>1065</v>
      </c>
      <c r="C68" s="2465"/>
      <c r="D68" s="2032">
        <f>'Exhibit G State'!D68+'Exhibit G Federal'!D41</f>
        <v>24.6</v>
      </c>
      <c r="E68" s="2032"/>
      <c r="F68" s="2032">
        <f>'Exhibit G State'!F68+'Exhibit G Federal'!F41</f>
        <v>8.5</v>
      </c>
      <c r="G68" s="2032"/>
      <c r="H68" s="2032">
        <f>'Exhibit G State'!H68+'Exhibit G Federal'!H41</f>
        <v>8.6999999999999957</v>
      </c>
      <c r="I68" s="2530"/>
      <c r="J68" s="2032">
        <f>'Exhibit G State'!J68+'Exhibit G Federal'!J41</f>
        <v>8.7000000000000028</v>
      </c>
      <c r="K68" s="2542"/>
      <c r="L68" s="2032">
        <f>'Exhibit G State'!L68+'Exhibit G Federal'!L41</f>
        <v>8.7999999999999972</v>
      </c>
      <c r="M68" s="2542"/>
      <c r="N68" s="2032">
        <f>'Exhibit G State'!N68+'Exhibit G Federal'!N41</f>
        <v>10.100000000000009</v>
      </c>
      <c r="O68" s="2542"/>
      <c r="P68" s="2032">
        <f>'Exhibit G State'!P68+'Exhibit G Federal'!P41</f>
        <v>24.199999999999996</v>
      </c>
      <c r="Q68" s="2542"/>
      <c r="R68" s="2032">
        <f>'Exhibit G State'!R68+'Exhibit G Federal'!R41</f>
        <v>8.6999999999999886</v>
      </c>
      <c r="S68" s="2542"/>
      <c r="T68" s="2032">
        <f>'Exhibit G State'!T68+'Exhibit G Federal'!T41</f>
        <v>8.6000000000000298</v>
      </c>
      <c r="U68" s="2542"/>
      <c r="V68" s="2032">
        <f>'Exhibit G State'!V68+'Exhibit G Federal'!V41</f>
        <v>8.0999999999999943</v>
      </c>
      <c r="W68" s="2542"/>
      <c r="X68" s="2032"/>
      <c r="Y68" s="2542"/>
      <c r="Z68" s="2032"/>
      <c r="AA68" s="2032"/>
      <c r="AB68" s="1995">
        <v>0</v>
      </c>
      <c r="AC68" s="2039"/>
      <c r="AD68" s="2000">
        <f t="shared" si="10"/>
        <v>119</v>
      </c>
      <c r="AE68" s="1995"/>
      <c r="AF68" s="2039"/>
      <c r="AG68" s="2032">
        <f>'Exhibit G State'!AG68+'Exhibit G Federal'!AG41</f>
        <v>118.6</v>
      </c>
      <c r="AH68" s="3484"/>
      <c r="AI68" s="1977"/>
      <c r="AJ68" s="2000">
        <f t="shared" ref="AJ68:AJ79" si="15">ROUND(SUM(+AD68-AG68),1)</f>
        <v>0.4</v>
      </c>
      <c r="AK68" s="2550"/>
      <c r="AL68" s="1729">
        <f>ROUND(IF(AG68=0,0,AJ68/ABS(AG68)),3)</f>
        <v>3.0000000000000001E-3</v>
      </c>
    </row>
    <row r="69" spans="1:38" s="2185" customFormat="1" ht="15" customHeight="1">
      <c r="A69" s="2465"/>
      <c r="B69" s="2485" t="s">
        <v>1066</v>
      </c>
      <c r="C69" s="2465"/>
      <c r="D69" s="2032">
        <f>'Exhibit G State'!D69+'Exhibit G Federal'!D42</f>
        <v>0.2</v>
      </c>
      <c r="E69" s="2032"/>
      <c r="F69" s="2032">
        <f>'Exhibit G State'!F69+'Exhibit G Federal'!F42</f>
        <v>9.9999999999999978E-2</v>
      </c>
      <c r="G69" s="2032"/>
      <c r="H69" s="2032">
        <f>'Exhibit G State'!H69+'Exhibit G Federal'!H42</f>
        <v>0.10000000000000003</v>
      </c>
      <c r="I69" s="2530"/>
      <c r="J69" s="2032">
        <f>'Exhibit G State'!J69+'Exhibit G Federal'!J42</f>
        <v>0.19999999999999785</v>
      </c>
      <c r="K69" s="2542"/>
      <c r="L69" s="2032">
        <f>'Exhibit G State'!L69+'Exhibit G Federal'!L42</f>
        <v>0.30000000000000077</v>
      </c>
      <c r="M69" s="2542"/>
      <c r="N69" s="2032">
        <f>'Exhibit G State'!N69+'Exhibit G Federal'!N42</f>
        <v>0.80000000000000071</v>
      </c>
      <c r="O69" s="2542"/>
      <c r="P69" s="2032">
        <f>'Exhibit G State'!P69+'Exhibit G Federal'!P42</f>
        <v>0.69999999999999174</v>
      </c>
      <c r="Q69" s="2542"/>
      <c r="R69" s="2032">
        <f>'Exhibit G State'!R69+'Exhibit G Federal'!R42</f>
        <v>0.80000000000001137</v>
      </c>
      <c r="S69" s="2542"/>
      <c r="T69" s="2032">
        <f>'Exhibit G State'!T69+'Exhibit G Federal'!T42</f>
        <v>14.2</v>
      </c>
      <c r="U69" s="2542"/>
      <c r="V69" s="2032">
        <f>'Exhibit G State'!V69+'Exhibit G Federal'!V42</f>
        <v>0.79999999999998295</v>
      </c>
      <c r="W69" s="2542"/>
      <c r="X69" s="2032"/>
      <c r="Y69" s="2542"/>
      <c r="Z69" s="2032"/>
      <c r="AA69" s="2032"/>
      <c r="AB69" s="1995">
        <v>0</v>
      </c>
      <c r="AC69" s="2039"/>
      <c r="AD69" s="2000">
        <f t="shared" si="10"/>
        <v>18.2</v>
      </c>
      <c r="AE69" s="1995"/>
      <c r="AF69" s="2039"/>
      <c r="AG69" s="2032">
        <f>'Exhibit G State'!AG69+'Exhibit G Federal'!AG42</f>
        <v>19.399999999999999</v>
      </c>
      <c r="AH69" s="3484"/>
      <c r="AI69" s="1977"/>
      <c r="AJ69" s="2000">
        <f t="shared" si="15"/>
        <v>-1.2</v>
      </c>
      <c r="AK69" s="2550"/>
      <c r="AL69" s="1724">
        <f>ROUND(IF(AG69=0,1,AJ69/ABS(AG69)),3)</f>
        <v>-6.2E-2</v>
      </c>
    </row>
    <row r="70" spans="1:38" s="2185" customFormat="1" ht="15" customHeight="1">
      <c r="A70" s="2465"/>
      <c r="B70" s="2485" t="s">
        <v>1350</v>
      </c>
      <c r="C70" s="2465"/>
      <c r="D70" s="2032">
        <f>'Exhibit G State'!D70</f>
        <v>0</v>
      </c>
      <c r="E70" s="2032"/>
      <c r="F70" s="2032">
        <f>'Exhibit G State'!F70</f>
        <v>0</v>
      </c>
      <c r="G70" s="2032"/>
      <c r="H70" s="2032">
        <f>'Exhibit G State'!H70</f>
        <v>0</v>
      </c>
      <c r="I70" s="3592"/>
      <c r="J70" s="2032">
        <f>'Exhibit G State'!J70</f>
        <v>0</v>
      </c>
      <c r="K70" s="3592"/>
      <c r="L70" s="2032">
        <f>'Exhibit G State'!L70</f>
        <v>0</v>
      </c>
      <c r="M70" s="3592"/>
      <c r="N70" s="2032">
        <f>'Exhibit G State'!N70</f>
        <v>0</v>
      </c>
      <c r="O70" s="3592"/>
      <c r="P70" s="2032">
        <f>'Exhibit G State'!P70</f>
        <v>0</v>
      </c>
      <c r="Q70" s="3592"/>
      <c r="R70" s="2032">
        <f>'Exhibit G State'!R70</f>
        <v>0</v>
      </c>
      <c r="S70" s="3592"/>
      <c r="T70" s="2032">
        <f>'Exhibit G State'!T70</f>
        <v>68</v>
      </c>
      <c r="U70" s="2542"/>
      <c r="V70" s="2032">
        <f>'Exhibit G State'!V70</f>
        <v>50</v>
      </c>
      <c r="W70" s="2542"/>
      <c r="X70" s="2032"/>
      <c r="Y70" s="2542"/>
      <c r="Z70" s="2032"/>
      <c r="AA70" s="2032"/>
      <c r="AB70" s="1995">
        <v>0</v>
      </c>
      <c r="AC70" s="2039"/>
      <c r="AD70" s="2000">
        <f>ROUND(SUM(D70:Z70),1)</f>
        <v>118</v>
      </c>
      <c r="AE70" s="1995"/>
      <c r="AF70" s="2039"/>
      <c r="AG70" s="2032">
        <f>'Exhibit G State'!AG70</f>
        <v>468</v>
      </c>
      <c r="AH70" s="3484"/>
      <c r="AI70" s="1977"/>
      <c r="AJ70" s="2000">
        <f t="shared" ref="AJ70" si="16">ROUND(SUM(+AD70-AG70),1)</f>
        <v>-350</v>
      </c>
      <c r="AK70" s="2550"/>
      <c r="AL70" s="1724">
        <f>ROUND(IF(AG70=0,0,AJ70/ABS(AG70)),3)</f>
        <v>-0.748</v>
      </c>
    </row>
    <row r="71" spans="1:38" s="2185" customFormat="1" ht="15" customHeight="1">
      <c r="A71" s="2465"/>
      <c r="B71" s="2485" t="s">
        <v>1067</v>
      </c>
      <c r="C71" s="2465"/>
      <c r="D71" s="2032">
        <f>'Exhibit G State'!D71+'Exhibit G Federal'!D43</f>
        <v>0.6</v>
      </c>
      <c r="E71" s="2032"/>
      <c r="F71" s="2032">
        <f>'Exhibit G State'!F71+'Exhibit G Federal'!F43</f>
        <v>1.5</v>
      </c>
      <c r="G71" s="2032"/>
      <c r="H71" s="2032">
        <f>'Exhibit G State'!H71+'Exhibit G Federal'!H43</f>
        <v>22.099999999999998</v>
      </c>
      <c r="I71" s="2530"/>
      <c r="J71" s="2032">
        <f>'Exhibit G State'!J71+'Exhibit G Federal'!J43</f>
        <v>0.69999999999999929</v>
      </c>
      <c r="K71" s="2542"/>
      <c r="L71" s="2032">
        <f>'Exhibit G State'!L71+'Exhibit G Federal'!L43</f>
        <v>0.60000000000000142</v>
      </c>
      <c r="M71" s="2542"/>
      <c r="N71" s="2032">
        <f>'Exhibit G State'!N71+'Exhibit G Federal'!N43</f>
        <v>0.5</v>
      </c>
      <c r="O71" s="2542"/>
      <c r="P71" s="2032">
        <f>'Exhibit G State'!P71+'Exhibit G Federal'!P43</f>
        <v>5.1000000000000014</v>
      </c>
      <c r="Q71" s="2542"/>
      <c r="R71" s="2032">
        <f>'Exhibit G State'!R71+'Exhibit G Federal'!R43</f>
        <v>0.29999999999999716</v>
      </c>
      <c r="S71" s="2542"/>
      <c r="T71" s="2032">
        <f>'Exhibit G State'!T71+'Exhibit G Federal'!T43</f>
        <v>1.7000000000000028</v>
      </c>
      <c r="U71" s="2542"/>
      <c r="V71" s="2032">
        <f>'Exhibit G State'!V71+'Exhibit G Federal'!V43</f>
        <v>0.20000000000000143</v>
      </c>
      <c r="W71" s="2542"/>
      <c r="X71" s="2032"/>
      <c r="Y71" s="2542"/>
      <c r="Z71" s="2032"/>
      <c r="AA71" s="2032"/>
      <c r="AB71" s="1995">
        <v>0</v>
      </c>
      <c r="AC71" s="2039"/>
      <c r="AD71" s="2000">
        <f t="shared" si="10"/>
        <v>33.299999999999997</v>
      </c>
      <c r="AE71" s="1995"/>
      <c r="AF71" s="2039"/>
      <c r="AG71" s="2032">
        <f>'Exhibit G State'!AG71+'Exhibit G Federal'!AG43</f>
        <v>6.9</v>
      </c>
      <c r="AH71" s="3484"/>
      <c r="AI71" s="1977"/>
      <c r="AJ71" s="2000">
        <f t="shared" si="15"/>
        <v>26.4</v>
      </c>
      <c r="AK71" s="2550"/>
      <c r="AL71" s="1729">
        <f t="shared" ref="AL71:AL74" si="17">ROUND(IF(AG71=0,0,AJ71/ABS(AG71)),3)</f>
        <v>3.8260000000000001</v>
      </c>
    </row>
    <row r="72" spans="1:38" s="2185" customFormat="1" ht="15" customHeight="1">
      <c r="A72" s="2465"/>
      <c r="B72" s="2485" t="s">
        <v>1068</v>
      </c>
      <c r="C72" s="2465"/>
      <c r="D72" s="2032">
        <f>'Exhibit G State'!D72+'Exhibit G Federal'!D44</f>
        <v>0</v>
      </c>
      <c r="E72" s="2032"/>
      <c r="F72" s="2032">
        <f>'Exhibit G State'!F72+'Exhibit G Federal'!F44</f>
        <v>0</v>
      </c>
      <c r="G72" s="2032"/>
      <c r="H72" s="2032">
        <f>'Exhibit G State'!H72+'Exhibit G Federal'!H44</f>
        <v>0</v>
      </c>
      <c r="I72" s="2530"/>
      <c r="J72" s="2032">
        <f>'Exhibit G State'!J72+'Exhibit G Federal'!J44</f>
        <v>0</v>
      </c>
      <c r="K72" s="2542"/>
      <c r="L72" s="2032">
        <f>'Exhibit G State'!L72+'Exhibit G Federal'!L44</f>
        <v>0</v>
      </c>
      <c r="M72" s="2542"/>
      <c r="N72" s="2032">
        <f>'Exhibit G State'!N72+'Exhibit G Federal'!N44</f>
        <v>0</v>
      </c>
      <c r="O72" s="2542"/>
      <c r="P72" s="2032">
        <f>'Exhibit G State'!P72+'Exhibit G Federal'!P44</f>
        <v>0</v>
      </c>
      <c r="Q72" s="2542"/>
      <c r="R72" s="2032">
        <f>'Exhibit G State'!R72+'Exhibit G Federal'!R44</f>
        <v>0</v>
      </c>
      <c r="S72" s="2542"/>
      <c r="T72" s="2032">
        <f>'Exhibit G State'!T72+'Exhibit G Federal'!T44</f>
        <v>0</v>
      </c>
      <c r="U72" s="2542"/>
      <c r="V72" s="2032">
        <f>'Exhibit G State'!V72+'Exhibit G Federal'!V44</f>
        <v>0</v>
      </c>
      <c r="W72" s="2542"/>
      <c r="X72" s="2032"/>
      <c r="Y72" s="2542"/>
      <c r="Z72" s="2032"/>
      <c r="AA72" s="2032"/>
      <c r="AB72" s="1995">
        <v>0</v>
      </c>
      <c r="AC72" s="2039"/>
      <c r="AD72" s="2000">
        <f t="shared" si="10"/>
        <v>0</v>
      </c>
      <c r="AE72" s="1995"/>
      <c r="AF72" s="2039"/>
      <c r="AG72" s="2032">
        <f>'Exhibit G State'!AG72+'Exhibit G Federal'!AG44</f>
        <v>0.9</v>
      </c>
      <c r="AH72" s="3484"/>
      <c r="AI72" s="1977"/>
      <c r="AJ72" s="2000">
        <f t="shared" si="15"/>
        <v>-0.9</v>
      </c>
      <c r="AK72" s="2550"/>
      <c r="AL72" s="1729">
        <f>ROUND(IF(AG72=0,0,AJ72/ABS(AG72)),3)</f>
        <v>-1</v>
      </c>
    </row>
    <row r="73" spans="1:38" s="2185" customFormat="1" ht="15" customHeight="1">
      <c r="A73" s="2465"/>
      <c r="B73" s="2485" t="s">
        <v>1069</v>
      </c>
      <c r="C73" s="2465"/>
      <c r="D73" s="2032">
        <f>'Exhibit G State'!D73+'Exhibit G Federal'!D45</f>
        <v>483</v>
      </c>
      <c r="E73" s="2032"/>
      <c r="F73" s="2032">
        <f>'Exhibit G State'!F73+'Exhibit G Federal'!F45</f>
        <v>305.70000000000005</v>
      </c>
      <c r="G73" s="2032"/>
      <c r="H73" s="2032">
        <f>'Exhibit G State'!H73+'Exhibit G Federal'!H45</f>
        <v>305.79999999999995</v>
      </c>
      <c r="I73" s="2530"/>
      <c r="J73" s="2032">
        <f>'Exhibit G State'!J73+'Exhibit G Federal'!J45</f>
        <v>198.79999999999995</v>
      </c>
      <c r="K73" s="2542"/>
      <c r="L73" s="2032">
        <f>'Exhibit G State'!L73+'Exhibit G Federal'!L45</f>
        <v>167.90000000000009</v>
      </c>
      <c r="M73" s="2542"/>
      <c r="N73" s="2032">
        <f>'Exhibit G State'!N73+'Exhibit G Federal'!N45</f>
        <v>150.09999999999991</v>
      </c>
      <c r="O73" s="2542"/>
      <c r="P73" s="2032">
        <f>'Exhibit G State'!P73+'Exhibit G Federal'!P45</f>
        <v>221.20000000000005</v>
      </c>
      <c r="Q73" s="2542"/>
      <c r="R73" s="2032">
        <f>'Exhibit G State'!R73+'Exhibit G Federal'!R45</f>
        <v>165.90000000000009</v>
      </c>
      <c r="S73" s="2542"/>
      <c r="T73" s="2032">
        <f>'Exhibit G State'!T73+'Exhibit G Federal'!T45</f>
        <v>314</v>
      </c>
      <c r="U73" s="2542"/>
      <c r="V73" s="2032">
        <f>'Exhibit G State'!V73+'Exhibit G Federal'!V45</f>
        <v>205.90000000000009</v>
      </c>
      <c r="W73" s="2542"/>
      <c r="X73" s="2032"/>
      <c r="Y73" s="2542"/>
      <c r="Z73" s="2032"/>
      <c r="AA73" s="2032"/>
      <c r="AB73" s="1995">
        <v>0</v>
      </c>
      <c r="AC73" s="2039"/>
      <c r="AD73" s="2000">
        <f t="shared" si="10"/>
        <v>2518.3000000000002</v>
      </c>
      <c r="AE73" s="1995"/>
      <c r="AF73" s="2039"/>
      <c r="AG73" s="2032">
        <f>'Exhibit G State'!AG73+'Exhibit G Federal'!AG45</f>
        <v>1824.7</v>
      </c>
      <c r="AH73" s="3484"/>
      <c r="AI73" s="1977"/>
      <c r="AJ73" s="2000">
        <f t="shared" si="15"/>
        <v>693.6</v>
      </c>
      <c r="AK73" s="2550"/>
      <c r="AL73" s="1724">
        <f t="shared" si="17"/>
        <v>0.38</v>
      </c>
    </row>
    <row r="74" spans="1:38" s="2185" customFormat="1" ht="15" customHeight="1">
      <c r="A74" s="2465"/>
      <c r="B74" s="2485" t="s">
        <v>1070</v>
      </c>
      <c r="C74" s="2465"/>
      <c r="D74" s="2032">
        <f>'Exhibit G State'!D74+'Exhibit G Federal'!D46</f>
        <v>7.8</v>
      </c>
      <c r="E74" s="2032"/>
      <c r="F74" s="2032">
        <f>'Exhibit G State'!F74+'Exhibit G Federal'!F46</f>
        <v>13.6</v>
      </c>
      <c r="G74" s="2032"/>
      <c r="H74" s="2032">
        <f>'Exhibit G State'!H74+'Exhibit G Federal'!H46</f>
        <v>14.1</v>
      </c>
      <c r="I74" s="2530"/>
      <c r="J74" s="2032">
        <f>'Exhibit G State'!J74+'Exhibit G Federal'!J46</f>
        <v>17.699999999999996</v>
      </c>
      <c r="K74" s="2542"/>
      <c r="L74" s="2032">
        <f>'Exhibit G State'!L74+'Exhibit G Federal'!L46</f>
        <v>9.5</v>
      </c>
      <c r="M74" s="2542"/>
      <c r="N74" s="2032">
        <f>'Exhibit G State'!N74+'Exhibit G Federal'!N46</f>
        <v>12.699999999999998</v>
      </c>
      <c r="O74" s="2542"/>
      <c r="P74" s="2032">
        <f>'Exhibit G State'!P74+'Exhibit G Federal'!P46</f>
        <v>10.499999999999996</v>
      </c>
      <c r="Q74" s="2542"/>
      <c r="R74" s="2032">
        <f>'Exhibit G State'!R74+'Exhibit G Federal'!R46</f>
        <v>11.20000000000001</v>
      </c>
      <c r="S74" s="2542"/>
      <c r="T74" s="2032">
        <f>'Exhibit G State'!T74+'Exhibit G Federal'!T46</f>
        <v>12.69999999999999</v>
      </c>
      <c r="U74" s="2542"/>
      <c r="V74" s="2032">
        <f>'Exhibit G State'!V74+'Exhibit G Federal'!V46</f>
        <v>10.900000000000006</v>
      </c>
      <c r="W74" s="2542"/>
      <c r="X74" s="2032"/>
      <c r="Y74" s="2542"/>
      <c r="Z74" s="2032"/>
      <c r="AA74" s="2032"/>
      <c r="AB74" s="1995">
        <v>0</v>
      </c>
      <c r="AC74" s="2039"/>
      <c r="AD74" s="2000">
        <f t="shared" si="10"/>
        <v>120.7</v>
      </c>
      <c r="AE74" s="1995"/>
      <c r="AF74" s="2039"/>
      <c r="AG74" s="2032">
        <f>'Exhibit G State'!AG74+'Exhibit G Federal'!AG46</f>
        <v>136.80000000000001</v>
      </c>
      <c r="AH74" s="3484"/>
      <c r="AI74" s="1977"/>
      <c r="AJ74" s="2000">
        <f t="shared" si="15"/>
        <v>-16.100000000000001</v>
      </c>
      <c r="AK74" s="2550"/>
      <c r="AL74" s="1724">
        <f t="shared" si="17"/>
        <v>-0.11799999999999999</v>
      </c>
    </row>
    <row r="75" spans="1:38" s="2185" customFormat="1" ht="15" customHeight="1">
      <c r="A75" s="2465"/>
      <c r="B75" s="2485" t="s">
        <v>1071</v>
      </c>
      <c r="C75" s="2465"/>
      <c r="D75" s="2032">
        <f>'Exhibit G State'!D75+'Exhibit G Federal'!D47</f>
        <v>3.7</v>
      </c>
      <c r="E75" s="2032"/>
      <c r="F75" s="2032">
        <f>'Exhibit G State'!F75+'Exhibit G Federal'!F47</f>
        <v>0.39999999999999947</v>
      </c>
      <c r="G75" s="2032"/>
      <c r="H75" s="2032">
        <f>'Exhibit G State'!H75+'Exhibit G Federal'!H47</f>
        <v>0.60000000000000053</v>
      </c>
      <c r="I75" s="2530"/>
      <c r="J75" s="2032">
        <f>'Exhibit G State'!J75+'Exhibit G Federal'!J47</f>
        <v>9.9999999999999645E-2</v>
      </c>
      <c r="K75" s="2542"/>
      <c r="L75" s="2032">
        <f>'Exhibit G State'!L75+'Exhibit G Federal'!L47</f>
        <v>41.8</v>
      </c>
      <c r="M75" s="2542"/>
      <c r="N75" s="2032">
        <f>'Exhibit G State'!N75+'Exhibit G Federal'!N47</f>
        <v>3.8999999999999986</v>
      </c>
      <c r="O75" s="2542"/>
      <c r="P75" s="2032">
        <f>'Exhibit G State'!P75+'Exhibit G Federal'!P47</f>
        <v>0.29999999999999716</v>
      </c>
      <c r="Q75" s="2542"/>
      <c r="R75" s="2032">
        <f>'Exhibit G State'!R75+'Exhibit G Federal'!R47</f>
        <v>0.70000000000000284</v>
      </c>
      <c r="S75" s="2542"/>
      <c r="T75" s="2032">
        <f>'Exhibit G State'!T75+'Exhibit G Federal'!T47</f>
        <v>0.5</v>
      </c>
      <c r="U75" s="2542"/>
      <c r="V75" s="2032">
        <f>'Exhibit G State'!V75+'Exhibit G Federal'!V47</f>
        <v>21.70000000000001</v>
      </c>
      <c r="W75" s="2542"/>
      <c r="X75" s="2032"/>
      <c r="Y75" s="2542"/>
      <c r="Z75" s="2032"/>
      <c r="AA75" s="2032"/>
      <c r="AB75" s="1995">
        <v>0</v>
      </c>
      <c r="AC75" s="2039"/>
      <c r="AD75" s="2000">
        <f t="shared" si="10"/>
        <v>73.7</v>
      </c>
      <c r="AE75" s="1995"/>
      <c r="AF75" s="2039"/>
      <c r="AG75" s="2032">
        <f>'Exhibit G State'!AG75+'Exhibit G Federal'!AG47</f>
        <v>45.4</v>
      </c>
      <c r="AH75" s="3484"/>
      <c r="AI75" s="1977"/>
      <c r="AJ75" s="2000">
        <f t="shared" si="15"/>
        <v>28.3</v>
      </c>
      <c r="AK75" s="2550"/>
      <c r="AL75" s="1729">
        <f>ROUND(IF(AG75=0,1,AJ75/ABS(AG75)),3)</f>
        <v>0.623</v>
      </c>
    </row>
    <row r="76" spans="1:38" s="2185" customFormat="1" ht="15" customHeight="1">
      <c r="A76" s="2465"/>
      <c r="B76" s="2485" t="s">
        <v>1072</v>
      </c>
      <c r="C76" s="2465"/>
      <c r="D76" s="2032">
        <f>'Exhibit G State'!D76+'Exhibit G Federal'!D48</f>
        <v>6.1</v>
      </c>
      <c r="E76" s="2032"/>
      <c r="F76" s="2032">
        <f>'Exhibit G State'!F76+'Exhibit G Federal'!F48</f>
        <v>1.4000000000000004</v>
      </c>
      <c r="G76" s="2032"/>
      <c r="H76" s="2032">
        <f>'Exhibit G State'!H76+'Exhibit G Federal'!H48</f>
        <v>3.1999999999999993</v>
      </c>
      <c r="I76" s="2530"/>
      <c r="J76" s="2032">
        <f>'Exhibit G State'!J76+'Exhibit G Federal'!J48</f>
        <v>6.4000000000000021</v>
      </c>
      <c r="K76" s="2542"/>
      <c r="L76" s="2032">
        <f>'Exhibit G State'!L76+'Exhibit G Federal'!L48</f>
        <v>6.7999999999999972</v>
      </c>
      <c r="M76" s="2542"/>
      <c r="N76" s="2032">
        <f>'Exhibit G State'!N76+'Exhibit G Federal'!N48</f>
        <v>3.7000000000000028</v>
      </c>
      <c r="O76" s="2542"/>
      <c r="P76" s="2032">
        <f>'Exhibit G State'!P76+'Exhibit G Federal'!P48</f>
        <v>6</v>
      </c>
      <c r="Q76" s="2542"/>
      <c r="R76" s="2032">
        <f>'Exhibit G State'!R76+'Exhibit G Federal'!R48</f>
        <v>3.6000000000000014</v>
      </c>
      <c r="S76" s="2542"/>
      <c r="T76" s="2032">
        <f>'Exhibit G State'!T76+'Exhibit G Federal'!T48</f>
        <v>4.8999999999999986</v>
      </c>
      <c r="U76" s="2542"/>
      <c r="V76" s="2032">
        <f>'Exhibit G State'!V76+'Exhibit G Federal'!V48</f>
        <v>2.1999999999999922</v>
      </c>
      <c r="W76" s="2542"/>
      <c r="X76" s="2032"/>
      <c r="Y76" s="2542"/>
      <c r="Z76" s="2032"/>
      <c r="AA76" s="2032"/>
      <c r="AB76" s="1995">
        <v>0</v>
      </c>
      <c r="AC76" s="2039"/>
      <c r="AD76" s="2000">
        <f t="shared" si="10"/>
        <v>44.3</v>
      </c>
      <c r="AE76" s="1995"/>
      <c r="AF76" s="2039"/>
      <c r="AG76" s="2032">
        <f>'Exhibit G State'!AG76+'Exhibit G Federal'!AG48</f>
        <v>57</v>
      </c>
      <c r="AH76" s="3484"/>
      <c r="AI76" s="1977"/>
      <c r="AJ76" s="2000">
        <f t="shared" si="15"/>
        <v>-12.7</v>
      </c>
      <c r="AK76" s="2550"/>
      <c r="AL76" s="1724">
        <f>ROUND(IF(AG76=0,0,AJ76/ABS(AG76)),3)</f>
        <v>-0.223</v>
      </c>
    </row>
    <row r="77" spans="1:38" s="2185" customFormat="1" ht="15" customHeight="1">
      <c r="A77" s="2465"/>
      <c r="B77" s="2485" t="s">
        <v>1073</v>
      </c>
      <c r="C77" s="2465"/>
      <c r="D77" s="2032">
        <f>'Exhibit G State'!D77+'Exhibit G Federal'!D49</f>
        <v>-24.599999999999998</v>
      </c>
      <c r="E77" s="2032"/>
      <c r="F77" s="2032">
        <f>'Exhibit G State'!F77+'Exhibit G Federal'!F49</f>
        <v>4.3999999999999977</v>
      </c>
      <c r="G77" s="2032"/>
      <c r="H77" s="2032">
        <f>'Exhibit G State'!H77+'Exhibit G Federal'!H49</f>
        <v>13.100000000000001</v>
      </c>
      <c r="I77" s="2530"/>
      <c r="J77" s="2032">
        <f>'Exhibit G State'!J77+'Exhibit G Federal'!J49</f>
        <v>63.5</v>
      </c>
      <c r="K77" s="2542"/>
      <c r="L77" s="2032">
        <f>'Exhibit G State'!L77+'Exhibit G Federal'!L49</f>
        <v>40.000000000000014</v>
      </c>
      <c r="M77" s="2542"/>
      <c r="N77" s="2032">
        <f>'Exhibit G State'!N77+'Exhibit G Federal'!N49</f>
        <v>48.600000000000009</v>
      </c>
      <c r="O77" s="2542"/>
      <c r="P77" s="2032">
        <f>'Exhibit G State'!P77+'Exhibit G Federal'!P49</f>
        <v>58.3</v>
      </c>
      <c r="Q77" s="2542"/>
      <c r="R77" s="2032">
        <f>'Exhibit G State'!R77+'Exhibit G Federal'!R49</f>
        <v>35.199999999999925</v>
      </c>
      <c r="S77" s="2542"/>
      <c r="T77" s="2032">
        <f>'Exhibit G State'!T77+'Exhibit G Federal'!T49</f>
        <v>27.899999999999995</v>
      </c>
      <c r="U77" s="2542"/>
      <c r="V77" s="2032">
        <f>'Exhibit G State'!V77+'Exhibit G Federal'!V49</f>
        <v>55.300000000000026</v>
      </c>
      <c r="W77" s="2542"/>
      <c r="X77" s="2032"/>
      <c r="Y77" s="2542"/>
      <c r="Z77" s="2032"/>
      <c r="AA77" s="2032"/>
      <c r="AB77" s="1995">
        <v>0</v>
      </c>
      <c r="AC77" s="2039"/>
      <c r="AD77" s="2000">
        <f t="shared" si="10"/>
        <v>321.7</v>
      </c>
      <c r="AE77" s="1995"/>
      <c r="AF77" s="2039"/>
      <c r="AG77" s="2032">
        <f>'Exhibit G State'!AG77+'Exhibit G Federal'!AG49</f>
        <v>437.5</v>
      </c>
      <c r="AH77" s="3484"/>
      <c r="AI77" s="1977"/>
      <c r="AJ77" s="2000">
        <f t="shared" si="15"/>
        <v>-115.8</v>
      </c>
      <c r="AK77" s="2550"/>
      <c r="AL77" s="1729">
        <f>ROUND(IF(AG77=0,0,AJ77/ABS(AG77)),3)</f>
        <v>-0.26500000000000001</v>
      </c>
    </row>
    <row r="78" spans="1:38" s="2185" customFormat="1" ht="15" customHeight="1">
      <c r="A78" s="2465"/>
      <c r="B78" s="2485" t="s">
        <v>1045</v>
      </c>
      <c r="C78" s="2465"/>
      <c r="D78" s="2032">
        <f>'Exhibit G State'!D78+'Exhibit G Federal'!D50</f>
        <v>0.5</v>
      </c>
      <c r="E78" s="2032"/>
      <c r="F78" s="2032">
        <f>'Exhibit G State'!F78+'Exhibit G Federal'!F50</f>
        <v>0.60000000000000009</v>
      </c>
      <c r="G78" s="2032"/>
      <c r="H78" s="2032">
        <f>'Exhibit G State'!H78+'Exhibit G Federal'!H50</f>
        <v>0.79999999999999982</v>
      </c>
      <c r="I78" s="2530"/>
      <c r="J78" s="2032">
        <f>'Exhibit G State'!J78+'Exhibit G Federal'!J50</f>
        <v>0.70000000000000018</v>
      </c>
      <c r="K78" s="2542"/>
      <c r="L78" s="2032">
        <f>'Exhibit G State'!L78+'Exhibit G Federal'!L50</f>
        <v>0.5</v>
      </c>
      <c r="M78" s="2542"/>
      <c r="N78" s="2032">
        <f>'Exhibit G State'!N78+'Exhibit G Federal'!N50</f>
        <v>0.60000000000000009</v>
      </c>
      <c r="O78" s="2542"/>
      <c r="P78" s="2032">
        <f>'Exhibit G State'!P78+'Exhibit G Federal'!P50</f>
        <v>1.2999999999999998</v>
      </c>
      <c r="Q78" s="2542"/>
      <c r="R78" s="2032">
        <f>'Exhibit G State'!R78+'Exhibit G Federal'!R50</f>
        <v>0.79999999999999938</v>
      </c>
      <c r="S78" s="2542"/>
      <c r="T78" s="2032">
        <f>'Exhibit G State'!T78+'Exhibit G Federal'!T50</f>
        <v>0.60000000000000142</v>
      </c>
      <c r="U78" s="2542"/>
      <c r="V78" s="2032">
        <f>'Exhibit G State'!V78+'Exhibit G Federal'!V50</f>
        <v>1.0999999999999996</v>
      </c>
      <c r="W78" s="2542"/>
      <c r="X78" s="2032"/>
      <c r="Y78" s="2542"/>
      <c r="Z78" s="2032"/>
      <c r="AA78" s="2032"/>
      <c r="AB78" s="1995">
        <v>0</v>
      </c>
      <c r="AC78" s="2039"/>
      <c r="AD78" s="1995">
        <f t="shared" si="10"/>
        <v>7.5</v>
      </c>
      <c r="AE78" s="1995"/>
      <c r="AF78" s="2039"/>
      <c r="AG78" s="2032">
        <f>'Exhibit G State'!AG78+'Exhibit G Federal'!AG50</f>
        <v>15</v>
      </c>
      <c r="AH78" s="3484"/>
      <c r="AI78" s="1977"/>
      <c r="AJ78" s="2000">
        <f t="shared" si="15"/>
        <v>-7.5</v>
      </c>
      <c r="AK78" s="2550"/>
      <c r="AL78" s="1724">
        <f>ROUND(IF(AG78=0,0,AJ78/ABS(AG78)),3)</f>
        <v>-0.5</v>
      </c>
    </row>
    <row r="79" spans="1:38" s="2185" customFormat="1" ht="15" customHeight="1">
      <c r="A79" s="2465"/>
      <c r="B79" s="2485" t="s">
        <v>1046</v>
      </c>
      <c r="C79" s="2465"/>
      <c r="D79" s="2032">
        <f>'Exhibit G State'!D79+'Exhibit G Federal'!D51</f>
        <v>-67.5</v>
      </c>
      <c r="E79" s="2032"/>
      <c r="F79" s="2032">
        <f>'Exhibit G State'!F79+'Exhibit G Federal'!F51</f>
        <v>33.6</v>
      </c>
      <c r="G79" s="2032"/>
      <c r="H79" s="2032">
        <f>'Exhibit G State'!H79+'Exhibit G Federal'!H51</f>
        <v>56.9</v>
      </c>
      <c r="I79" s="2530"/>
      <c r="J79" s="2032">
        <f>'Exhibit G State'!J79+'Exhibit G Federal'!J51</f>
        <v>50.900000000000013</v>
      </c>
      <c r="K79" s="2542"/>
      <c r="L79" s="2032">
        <f>'Exhibit G State'!L79+'Exhibit G Federal'!L51</f>
        <v>113.29999999999998</v>
      </c>
      <c r="M79" s="2542"/>
      <c r="N79" s="2032">
        <f>'Exhibit G State'!N79+'Exhibit G Federal'!N51</f>
        <v>375.69999999999993</v>
      </c>
      <c r="O79" s="2542"/>
      <c r="P79" s="2032">
        <f>'Exhibit G State'!P79+'Exhibit G Federal'!P51</f>
        <v>172.80000000000018</v>
      </c>
      <c r="Q79" s="2542"/>
      <c r="R79" s="2032">
        <f>'Exhibit G State'!R79+'Exhibit G Federal'!R51</f>
        <v>49.699999999999932</v>
      </c>
      <c r="S79" s="2542"/>
      <c r="T79" s="2032">
        <f>'Exhibit G State'!T79+'Exhibit G Federal'!T51</f>
        <v>-32.799999999999955</v>
      </c>
      <c r="U79" s="2542"/>
      <c r="V79" s="2032">
        <f>'Exhibit G State'!V79+'Exhibit G Federal'!V51</f>
        <v>150.39999999999998</v>
      </c>
      <c r="W79" s="2542"/>
      <c r="X79" s="2032"/>
      <c r="Y79" s="2542"/>
      <c r="Z79" s="2032"/>
      <c r="AA79" s="2032"/>
      <c r="AB79" s="1995">
        <v>0</v>
      </c>
      <c r="AC79" s="2039"/>
      <c r="AD79" s="1995">
        <f t="shared" si="10"/>
        <v>903</v>
      </c>
      <c r="AE79" s="1995"/>
      <c r="AF79" s="2039"/>
      <c r="AG79" s="2032">
        <f>'Exhibit G State'!AG79+'Exhibit G Federal'!AG51</f>
        <v>1180.8</v>
      </c>
      <c r="AH79" s="3484"/>
      <c r="AI79" s="1977"/>
      <c r="AJ79" s="2000">
        <f t="shared" si="15"/>
        <v>-277.8</v>
      </c>
      <c r="AK79" s="2550"/>
      <c r="AL79" s="1724">
        <f>ROUND(IF(AG79=0,0,AJ79/ABS(AG79)),3)</f>
        <v>-0.23499999999999999</v>
      </c>
    </row>
    <row r="80" spans="1:38" s="2556" customFormat="1" ht="15" customHeight="1">
      <c r="A80" s="2553"/>
      <c r="B80" s="2473" t="s">
        <v>1207</v>
      </c>
      <c r="C80" s="2553"/>
      <c r="D80" s="1460">
        <f>ROUND(SUM(D41:D79),1)</f>
        <v>1361.9</v>
      </c>
      <c r="E80" s="2530"/>
      <c r="F80" s="1460">
        <f>ROUND(SUM(F41:F79),1)</f>
        <v>1107.7</v>
      </c>
      <c r="G80" s="2530"/>
      <c r="H80" s="2042">
        <f>ROUND(SUM(H41:H79),1)</f>
        <v>1347.4</v>
      </c>
      <c r="I80" s="2530"/>
      <c r="J80" s="2042">
        <f>ROUND(SUM(J41:J79),1)</f>
        <v>1224.8</v>
      </c>
      <c r="K80" s="2542"/>
      <c r="L80" s="1460">
        <f>ROUND(SUM(L41:L79),1)</f>
        <v>1203.8</v>
      </c>
      <c r="M80" s="2542"/>
      <c r="N80" s="1460">
        <f>ROUND(SUM(N41:N79),1)</f>
        <v>1799.5</v>
      </c>
      <c r="O80" s="2542"/>
      <c r="P80" s="1460">
        <f>ROUND(SUM(P41:P79),1)</f>
        <v>1642.4</v>
      </c>
      <c r="Q80" s="2542"/>
      <c r="R80" s="1460">
        <f>ROUND(SUM(R41:R79),1)</f>
        <v>1153.5999999999999</v>
      </c>
      <c r="S80" s="2542"/>
      <c r="T80" s="1460">
        <f>ROUND(SUM(T41:T79),1)</f>
        <v>1473.5</v>
      </c>
      <c r="U80" s="2542"/>
      <c r="V80" s="1460">
        <f>ROUND(SUM(V41:V79),1)</f>
        <v>1528.3</v>
      </c>
      <c r="W80" s="2542"/>
      <c r="X80" s="1460">
        <f>ROUND(SUM(X41:X79),1)</f>
        <v>0</v>
      </c>
      <c r="Y80" s="2542"/>
      <c r="Z80" s="1460">
        <f>ROUND(SUM(Z41:Z79),1)</f>
        <v>0</v>
      </c>
      <c r="AA80" s="1462"/>
      <c r="AB80" s="2033">
        <f>SUM(AB41:AB79)</f>
        <v>0</v>
      </c>
      <c r="AC80" s="2554"/>
      <c r="AD80" s="1460">
        <f>ROUND(SUM(AD41:AD79),1)</f>
        <v>13842.9</v>
      </c>
      <c r="AE80" s="2050"/>
      <c r="AF80" s="2554"/>
      <c r="AG80" s="1460">
        <f>ROUND(SUM(AG41:AG79),1)</f>
        <v>15972.6</v>
      </c>
      <c r="AH80" s="3483"/>
      <c r="AI80" s="1462"/>
      <c r="AJ80" s="1460">
        <f>ROUND(SUM(AJ41:AJ79),1)</f>
        <v>-2129.6999999999998</v>
      </c>
      <c r="AK80" s="2555"/>
      <c r="AL80" s="1820">
        <f>ROUND(SUM(+AJ80/AG80),3)</f>
        <v>-0.13300000000000001</v>
      </c>
    </row>
    <row r="81" spans="1:45" ht="15" customHeight="1">
      <c r="A81" s="2044"/>
      <c r="B81" s="2557"/>
      <c r="C81" s="2044"/>
      <c r="D81" s="2550"/>
      <c r="F81" s="2550"/>
      <c r="H81" s="1443"/>
      <c r="J81" s="1443"/>
      <c r="L81" s="2006"/>
      <c r="N81" s="2006"/>
      <c r="P81" s="2006"/>
      <c r="R81" s="2006"/>
      <c r="T81" s="1994"/>
      <c r="V81" s="2015"/>
      <c r="X81" s="2015"/>
      <c r="Z81" s="2015"/>
      <c r="AA81" s="2550"/>
      <c r="AB81" s="2006"/>
      <c r="AC81" s="2037"/>
      <c r="AD81" s="1995"/>
      <c r="AE81" s="1995"/>
      <c r="AF81" s="2039"/>
      <c r="AG81" s="1995"/>
      <c r="AH81" s="3480"/>
      <c r="AI81" s="2007"/>
      <c r="AJ81" s="1443"/>
      <c r="AK81" s="2543"/>
      <c r="AL81" s="1432"/>
    </row>
    <row r="82" spans="1:45" s="2185" customFormat="1" ht="15" customHeight="1">
      <c r="A82" s="2465"/>
      <c r="B82" s="2558" t="s">
        <v>149</v>
      </c>
      <c r="C82" s="2465"/>
      <c r="D82" s="2032">
        <f>'Exhibit G State'!D82+'Exhibit G Federal'!D54</f>
        <v>10777.4</v>
      </c>
      <c r="E82" s="2552"/>
      <c r="F82" s="2032">
        <f>'Exhibit G State'!F82+'Exhibit G Federal'!F54</f>
        <v>4104.3</v>
      </c>
      <c r="G82" s="2552"/>
      <c r="H82" s="2032">
        <f>'Exhibit G State'!H82+'Exhibit G Federal'!H54</f>
        <v>7352.3</v>
      </c>
      <c r="I82" s="2530"/>
      <c r="J82" s="2032">
        <f>'Exhibit G State'!J82+'Exhibit G Federal'!J54</f>
        <v>5214.0999999999976</v>
      </c>
      <c r="K82" s="2542"/>
      <c r="L82" s="2032">
        <f>'Exhibit G State'!L82+'Exhibit G Federal'!L54</f>
        <v>4404.4999999999991</v>
      </c>
      <c r="M82" s="2542"/>
      <c r="N82" s="2032">
        <f>'Exhibit G State'!N82+'Exhibit G Federal'!N54</f>
        <v>9934.4</v>
      </c>
      <c r="O82" s="2542"/>
      <c r="P82" s="2032">
        <f>'Exhibit G State'!P82+'Exhibit G Federal'!P54</f>
        <v>7441.4999999999945</v>
      </c>
      <c r="Q82" s="2542"/>
      <c r="R82" s="2032">
        <f>'Exhibit G State'!R82+'Exhibit G Federal'!R54</f>
        <v>4052.8000000000015</v>
      </c>
      <c r="S82" s="2542"/>
      <c r="T82" s="2032">
        <f>'Exhibit G State'!T82+'Exhibit G Federal'!T54</f>
        <v>7300.6000000000022</v>
      </c>
      <c r="U82" s="2542"/>
      <c r="V82" s="2032">
        <f>'Exhibit G State'!V82+'Exhibit G Federal'!V54</f>
        <v>5782.6999999999971</v>
      </c>
      <c r="W82" s="2542"/>
      <c r="X82" s="2032"/>
      <c r="Y82" s="2542"/>
      <c r="Z82" s="2032"/>
      <c r="AA82" s="2032"/>
      <c r="AB82" s="2559">
        <v>0</v>
      </c>
      <c r="AC82" s="2039"/>
      <c r="AD82" s="1995">
        <f t="shared" si="10"/>
        <v>66364.600000000006</v>
      </c>
      <c r="AE82" s="1995"/>
      <c r="AF82" s="2039"/>
      <c r="AG82" s="2032">
        <f>'Exhibit G State'!AG82+'Exhibit G Federal'!AG54</f>
        <v>53575</v>
      </c>
      <c r="AH82" s="3480"/>
      <c r="AI82" s="1977"/>
      <c r="AJ82" s="2041">
        <f>ROUND(SUM(+AD82-AG82),1)</f>
        <v>12789.6</v>
      </c>
      <c r="AK82" s="2560"/>
      <c r="AL82" s="1724">
        <f>ROUND(IF(AG82=0,0,AJ82/ABS(AG82)),3)</f>
        <v>0.23899999999999999</v>
      </c>
    </row>
    <row r="83" spans="1:45" ht="15" customHeight="1">
      <c r="A83" s="2044"/>
      <c r="B83" s="2044"/>
      <c r="C83" s="2044"/>
      <c r="D83" s="2005"/>
      <c r="F83" s="2005"/>
      <c r="H83" s="2493"/>
      <c r="J83" s="2493"/>
      <c r="L83" s="2005"/>
      <c r="N83" s="2005"/>
      <c r="P83" s="2005"/>
      <c r="R83" s="2005"/>
      <c r="T83" s="2051"/>
      <c r="V83" s="2005"/>
      <c r="X83" s="2005"/>
      <c r="Z83" s="2005"/>
      <c r="AA83" s="2007"/>
      <c r="AB83" s="2561"/>
      <c r="AC83" s="2007"/>
      <c r="AD83" s="2051"/>
      <c r="AE83" s="1995"/>
      <c r="AF83" s="2039"/>
      <c r="AG83" s="2051"/>
      <c r="AH83" s="3480"/>
      <c r="AI83" s="2007"/>
      <c r="AJ83" s="2562"/>
      <c r="AL83" s="1446"/>
    </row>
    <row r="84" spans="1:45" ht="15" customHeight="1">
      <c r="A84" s="2044"/>
      <c r="B84" s="2427" t="s">
        <v>150</v>
      </c>
      <c r="C84" s="2044"/>
      <c r="D84" s="1461">
        <f>ROUND(SUM(D82+D80+D37),1)</f>
        <v>12393.3</v>
      </c>
      <c r="F84" s="1461">
        <f>ROUND(SUM(F82+F80+F37),1)</f>
        <v>5326.2</v>
      </c>
      <c r="H84" s="1461">
        <f>ROUND(SUM(H82+H80+H37),1)</f>
        <v>9067.7000000000007</v>
      </c>
      <c r="J84" s="1461">
        <f>ROUND(SUM(J82+J80+J37),1)</f>
        <v>6765.4</v>
      </c>
      <c r="L84" s="1461">
        <f t="shared" ref="L84:V84" si="18">ROUND(SUM(L82+L80+L37),1)</f>
        <v>5809.8</v>
      </c>
      <c r="N84" s="1461">
        <f t="shared" ref="N84" si="19">ROUND(SUM(N82+N80+N37),1)</f>
        <v>12177.7</v>
      </c>
      <c r="P84" s="1461">
        <f>ROUND(SUM(P82+P80+P37),1)</f>
        <v>9314.1</v>
      </c>
      <c r="R84" s="1461">
        <f t="shared" ref="R84" si="20">ROUND(SUM(R82+R80+R37),1)</f>
        <v>5413.9</v>
      </c>
      <c r="T84" s="2050">
        <f t="shared" si="18"/>
        <v>9251.5</v>
      </c>
      <c r="V84" s="1461">
        <f t="shared" si="18"/>
        <v>9540.6</v>
      </c>
      <c r="X84" s="1461">
        <f t="shared" ref="X84:Z84" si="21">ROUND(SUM(X82+X80+X37),1)</f>
        <v>0</v>
      </c>
      <c r="Z84" s="1461">
        <f t="shared" si="21"/>
        <v>0</v>
      </c>
      <c r="AA84" s="1461"/>
      <c r="AB84" s="2563">
        <f t="shared" ref="AB84" si="22">ROUND(SUM(AB82+AB80+AB37),1)</f>
        <v>0</v>
      </c>
      <c r="AC84" s="2040"/>
      <c r="AD84" s="2050">
        <f>ROUND(SUM(AD82+AD80+AD37),1)</f>
        <v>85060.2</v>
      </c>
      <c r="AE84" s="2050"/>
      <c r="AF84" s="2554"/>
      <c r="AG84" s="2050">
        <f>ROUND(SUM(AG82+AG80+AG37),1)</f>
        <v>74848.899999999994</v>
      </c>
      <c r="AH84" s="3483"/>
      <c r="AI84" s="1444"/>
      <c r="AJ84" s="2052">
        <f>ROUND(SUM(AJ82+AJ80+AJ37),1)</f>
        <v>10211.299999999999</v>
      </c>
      <c r="AK84" s="2564"/>
      <c r="AL84" s="1436">
        <f>ROUND(SUM(+AJ84/AG84),3)</f>
        <v>0.13600000000000001</v>
      </c>
    </row>
    <row r="85" spans="1:45" ht="15" customHeight="1">
      <c r="A85" s="2044"/>
      <c r="B85" s="2044"/>
      <c r="C85" s="2044"/>
      <c r="D85" s="2005"/>
      <c r="F85" s="2005"/>
      <c r="H85" s="2493"/>
      <c r="J85" s="2493"/>
      <c r="L85" s="2005"/>
      <c r="N85" s="2005"/>
      <c r="P85" s="2005"/>
      <c r="R85" s="2005"/>
      <c r="T85" s="2051"/>
      <c r="V85" s="2005"/>
      <c r="X85" s="2005"/>
      <c r="Z85" s="2005"/>
      <c r="AA85" s="2007"/>
      <c r="AB85" s="2006"/>
      <c r="AC85" s="2037"/>
      <c r="AD85" s="2051"/>
      <c r="AE85" s="1995"/>
      <c r="AF85" s="2039"/>
      <c r="AG85" s="2051"/>
      <c r="AH85" s="3480"/>
      <c r="AI85" s="2007"/>
      <c r="AJ85" s="1443"/>
      <c r="AL85" s="1432"/>
    </row>
    <row r="86" spans="1:45" ht="15" customHeight="1">
      <c r="A86" s="2044"/>
      <c r="B86" s="2536" t="s">
        <v>23</v>
      </c>
      <c r="C86" s="2044"/>
      <c r="D86" s="2006"/>
      <c r="F86" s="2006"/>
      <c r="H86" s="1443"/>
      <c r="J86" s="1443"/>
      <c r="L86" s="2006"/>
      <c r="N86" s="2006"/>
      <c r="P86" s="2006"/>
      <c r="R86" s="2006"/>
      <c r="T86" s="1995"/>
      <c r="V86" s="2006"/>
      <c r="X86" s="2006"/>
      <c r="Z86" s="2006"/>
      <c r="AA86" s="2006"/>
      <c r="AB86" s="2006"/>
      <c r="AC86" s="2037"/>
      <c r="AD86" s="1995"/>
      <c r="AE86" s="3181"/>
      <c r="AF86" s="3173"/>
      <c r="AG86" s="1995"/>
      <c r="AH86" s="3480"/>
      <c r="AI86" s="2007"/>
      <c r="AJ86" s="1443"/>
      <c r="AL86" s="1432"/>
    </row>
    <row r="87" spans="1:45" ht="15" customHeight="1">
      <c r="A87" s="2044"/>
      <c r="B87" s="2469" t="s">
        <v>151</v>
      </c>
      <c r="C87" s="2044"/>
      <c r="D87" s="2550"/>
      <c r="F87" s="2550"/>
      <c r="H87" s="2000"/>
      <c r="J87" s="2000"/>
      <c r="L87" s="1995"/>
      <c r="N87" s="1995"/>
      <c r="P87" s="1995"/>
      <c r="R87" s="1995"/>
      <c r="T87" s="1994"/>
      <c r="V87" s="2015"/>
      <c r="X87" s="2015"/>
      <c r="Z87" s="2015"/>
      <c r="AA87" s="2550"/>
      <c r="AB87" s="2006"/>
      <c r="AC87" s="2037"/>
      <c r="AD87" s="1995"/>
      <c r="AE87" s="1995"/>
      <c r="AF87" s="2039"/>
      <c r="AG87" s="1995"/>
      <c r="AH87" s="3480"/>
      <c r="AI87" s="2007"/>
      <c r="AJ87" s="1443"/>
      <c r="AL87" s="1447"/>
    </row>
    <row r="88" spans="1:45" s="2185" customFormat="1" ht="15" customHeight="1">
      <c r="A88" s="2465"/>
      <c r="B88" s="2565" t="s">
        <v>25</v>
      </c>
      <c r="C88" s="2465"/>
      <c r="D88" s="2032">
        <f>'Exhibit G State'!D88+'Exhibit G Federal'!D60</f>
        <v>383</v>
      </c>
      <c r="E88" s="2552"/>
      <c r="F88" s="2032">
        <f>'Exhibit G State'!F88+'Exhibit G Federal'!F60</f>
        <v>102.6</v>
      </c>
      <c r="G88" s="2552"/>
      <c r="H88" s="2032">
        <f>'Exhibit G State'!H88+'Exhibit G Federal'!H60</f>
        <v>847.9</v>
      </c>
      <c r="I88" s="2530"/>
      <c r="J88" s="2032">
        <f>'Exhibit G State'!J88+'Exhibit G Federal'!J60</f>
        <v>234.89999999999998</v>
      </c>
      <c r="K88" s="2542"/>
      <c r="L88" s="2032">
        <f>'Exhibit G State'!L88+'Exhibit G Federal'!L60</f>
        <v>213.2000000000001</v>
      </c>
      <c r="M88" s="2542"/>
      <c r="N88" s="2032">
        <f>'Exhibit G State'!N88+'Exhibit G Federal'!N60</f>
        <v>2584.3999999999996</v>
      </c>
      <c r="O88" s="2542"/>
      <c r="P88" s="2032">
        <f>'Exhibit G State'!P88+'Exhibit G Federal'!P60</f>
        <v>279.30000000000018</v>
      </c>
      <c r="Q88" s="2542"/>
      <c r="R88" s="2032">
        <f>'Exhibit G State'!R88+'Exhibit G Federal'!R60</f>
        <v>347.30000000000007</v>
      </c>
      <c r="S88" s="2542"/>
      <c r="T88" s="2032">
        <f>'Exhibit G State'!T88+'Exhibit G Federal'!T60</f>
        <v>252.89999999999964</v>
      </c>
      <c r="U88" s="2542"/>
      <c r="V88" s="2032">
        <f>'Exhibit G State'!V88+'Exhibit G Federal'!V60</f>
        <v>2492.2000000000003</v>
      </c>
      <c r="W88" s="2542"/>
      <c r="X88" s="2032"/>
      <c r="Y88" s="2542"/>
      <c r="Z88" s="2032"/>
      <c r="AA88" s="2032"/>
      <c r="AB88" s="1995">
        <v>0</v>
      </c>
      <c r="AC88" s="2039"/>
      <c r="AD88" s="1995">
        <f>ROUND(SUM(D88:Z88),1)</f>
        <v>7737.7</v>
      </c>
      <c r="AE88" s="1995"/>
      <c r="AF88" s="2039"/>
      <c r="AG88" s="2032">
        <f>'Exhibit G State'!AG88+'Exhibit G Federal'!AG60</f>
        <v>8558.7999999999993</v>
      </c>
      <c r="AH88" s="3480"/>
      <c r="AI88" s="1977"/>
      <c r="AJ88" s="2000">
        <f>ROUND(SUM(+AD88-AG88),1)</f>
        <v>-821.1</v>
      </c>
      <c r="AK88" s="2560"/>
      <c r="AL88" s="1724">
        <f>ROUND(IF(AG88=0,0,AJ88/ABS(AG88)),3)</f>
        <v>-9.6000000000000002E-2</v>
      </c>
      <c r="AR88" s="1991"/>
      <c r="AS88" s="2566"/>
    </row>
    <row r="89" spans="1:45" s="2185" customFormat="1" ht="15" customHeight="1">
      <c r="A89" s="2465"/>
      <c r="B89" s="2565" t="s">
        <v>26</v>
      </c>
      <c r="C89" s="2465"/>
      <c r="D89" s="2032">
        <f>'Exhibit G State'!D89+'Exhibit G Federal'!D61</f>
        <v>0</v>
      </c>
      <c r="E89" s="2552"/>
      <c r="F89" s="2032">
        <f>'Exhibit G State'!F89+'Exhibit G Federal'!F61</f>
        <v>0.5</v>
      </c>
      <c r="G89" s="2552"/>
      <c r="H89" s="2032">
        <f>'Exhibit G State'!H89+'Exhibit G Federal'!H61</f>
        <v>0</v>
      </c>
      <c r="I89" s="2530"/>
      <c r="J89" s="2032">
        <f>'Exhibit G State'!J89+'Exhibit G Federal'!J61</f>
        <v>0.3</v>
      </c>
      <c r="K89" s="2542"/>
      <c r="L89" s="2032">
        <f>'Exhibit G State'!L89+'Exhibit G Federal'!L61</f>
        <v>0.10000000000000003</v>
      </c>
      <c r="M89" s="2542"/>
      <c r="N89" s="2032">
        <f>'Exhibit G State'!N89+'Exhibit G Federal'!N61</f>
        <v>0.30000000000000004</v>
      </c>
      <c r="O89" s="2542"/>
      <c r="P89" s="2032">
        <f>'Exhibit G State'!P89+'Exhibit G Federal'!P61</f>
        <v>0.8</v>
      </c>
      <c r="Q89" s="2542"/>
      <c r="R89" s="2032">
        <f>'Exhibit G State'!R89+'Exhibit G Federal'!R61</f>
        <v>0.19999999999999996</v>
      </c>
      <c r="S89" s="2542"/>
      <c r="T89" s="2032">
        <f>'Exhibit G State'!T89+'Exhibit G Federal'!T61</f>
        <v>9.9999999999999978E-2</v>
      </c>
      <c r="U89" s="2542"/>
      <c r="V89" s="2032">
        <f>'Exhibit G State'!V89+'Exhibit G Federal'!V61</f>
        <v>9.9999999999999978E-2</v>
      </c>
      <c r="W89" s="2542"/>
      <c r="X89" s="2032"/>
      <c r="Y89" s="2542"/>
      <c r="Z89" s="2032"/>
      <c r="AA89" s="2032"/>
      <c r="AB89" s="1995">
        <v>0</v>
      </c>
      <c r="AC89" s="2039"/>
      <c r="AD89" s="1995">
        <f>ROUND(SUM(D89:Z89),1)</f>
        <v>2.4</v>
      </c>
      <c r="AE89" s="1995"/>
      <c r="AF89" s="2039"/>
      <c r="AG89" s="2032">
        <f>'Exhibit G State'!AG89+'Exhibit G Federal'!AG61</f>
        <v>2.9</v>
      </c>
      <c r="AH89" s="3480"/>
      <c r="AI89" s="1977"/>
      <c r="AJ89" s="2000">
        <f>ROUND(SUM(+AD89-AG89),1)</f>
        <v>-0.5</v>
      </c>
      <c r="AK89" s="2560"/>
      <c r="AL89" s="1729">
        <f>ROUND(IF(AG89=0,1,AJ89/ABS(AG89)),3)</f>
        <v>-0.17199999999999999</v>
      </c>
      <c r="AR89" s="2566"/>
      <c r="AS89" s="2566"/>
    </row>
    <row r="90" spans="1:45" s="2185" customFormat="1" ht="15" customHeight="1">
      <c r="A90" s="2465"/>
      <c r="B90" s="2565" t="s">
        <v>27</v>
      </c>
      <c r="C90" s="2465"/>
      <c r="D90" s="2032">
        <f>'Exhibit G State'!D90+'Exhibit G Federal'!D62</f>
        <v>11.3</v>
      </c>
      <c r="E90" s="2552"/>
      <c r="F90" s="2032">
        <f>'Exhibit G State'!F90+'Exhibit G Federal'!F62</f>
        <v>6.0999999999999988</v>
      </c>
      <c r="G90" s="2552"/>
      <c r="H90" s="2032">
        <f>'Exhibit G State'!H90+'Exhibit G Federal'!H62</f>
        <v>8.5</v>
      </c>
      <c r="I90" s="2530"/>
      <c r="J90" s="2032">
        <f>'Exhibit G State'!J90+'Exhibit G Federal'!J62</f>
        <v>19</v>
      </c>
      <c r="K90" s="2542"/>
      <c r="L90" s="2032">
        <f>'Exhibit G State'!L90+'Exhibit G Federal'!L62</f>
        <v>39.400000000000006</v>
      </c>
      <c r="M90" s="2542"/>
      <c r="N90" s="2032">
        <f>'Exhibit G State'!N90+'Exhibit G Federal'!N62</f>
        <v>3866.8000000000006</v>
      </c>
      <c r="O90" s="2542"/>
      <c r="P90" s="2032">
        <f>'Exhibit G State'!P90+'Exhibit G Federal'!P62</f>
        <v>169.59999999999974</v>
      </c>
      <c r="Q90" s="2542"/>
      <c r="R90" s="2032">
        <f>'Exhibit G State'!R90+'Exhibit G Federal'!R62</f>
        <v>94.600000000000648</v>
      </c>
      <c r="S90" s="2542"/>
      <c r="T90" s="2032">
        <f>'Exhibit G State'!T90+'Exhibit G Federal'!T62</f>
        <v>114.2999999999999</v>
      </c>
      <c r="U90" s="2542"/>
      <c r="V90" s="2032">
        <f>'Exhibit G State'!V90+'Exhibit G Federal'!V62</f>
        <v>22.799999999998022</v>
      </c>
      <c r="W90" s="2542"/>
      <c r="X90" s="2032"/>
      <c r="Y90" s="2542"/>
      <c r="Z90" s="2032"/>
      <c r="AA90" s="2032"/>
      <c r="AB90" s="1995">
        <v>0</v>
      </c>
      <c r="AC90" s="2039"/>
      <c r="AD90" s="1995">
        <f>ROUND(SUM(D90:Z90),1)</f>
        <v>4352.3999999999996</v>
      </c>
      <c r="AE90" s="1995"/>
      <c r="AF90" s="2039"/>
      <c r="AG90" s="2032">
        <f>'Exhibit G State'!AG90+'Exhibit G Federal'!AG62</f>
        <v>230.59999999999997</v>
      </c>
      <c r="AH90" s="3480"/>
      <c r="AI90" s="1977"/>
      <c r="AJ90" s="2000">
        <f>ROUND(SUM(+AD90-AG90),1)</f>
        <v>4121.8</v>
      </c>
      <c r="AK90" s="2560"/>
      <c r="AL90" s="3801">
        <f>ROUND(IF(AG90=0,0,AJ90/ABS(AG90)),3)</f>
        <v>17.873999999999999</v>
      </c>
      <c r="AR90" s="2566"/>
      <c r="AS90" s="2566"/>
    </row>
    <row r="91" spans="1:45" s="2185" customFormat="1" ht="15" customHeight="1">
      <c r="A91" s="2465"/>
      <c r="B91" s="2565" t="s">
        <v>28</v>
      </c>
      <c r="C91" s="2465"/>
      <c r="D91" s="1977"/>
      <c r="E91" s="2530"/>
      <c r="F91" s="1977"/>
      <c r="G91" s="2530"/>
      <c r="H91" s="1977"/>
      <c r="I91" s="2530"/>
      <c r="J91" s="1977"/>
      <c r="K91" s="2542"/>
      <c r="L91" s="1977"/>
      <c r="M91" s="2542"/>
      <c r="N91" s="1977"/>
      <c r="O91" s="2542"/>
      <c r="P91" s="1977"/>
      <c r="Q91" s="2542"/>
      <c r="R91" s="1977"/>
      <c r="S91" s="2542"/>
      <c r="T91" s="1977"/>
      <c r="U91" s="2542"/>
      <c r="V91" s="1977"/>
      <c r="W91" s="2542"/>
      <c r="X91" s="1977"/>
      <c r="Y91" s="2542"/>
      <c r="Z91" s="1977"/>
      <c r="AA91" s="1977"/>
      <c r="AB91" s="1995"/>
      <c r="AC91" s="2039"/>
      <c r="AD91" s="1995"/>
      <c r="AE91" s="1995"/>
      <c r="AF91" s="2039"/>
      <c r="AG91" s="1977"/>
      <c r="AH91" s="3480"/>
      <c r="AI91" s="1977"/>
      <c r="AJ91" s="2000" t="s">
        <v>15</v>
      </c>
      <c r="AK91" s="2567" t="s">
        <v>15</v>
      </c>
      <c r="AL91" s="1448" t="s">
        <v>15</v>
      </c>
      <c r="AR91" s="1991"/>
      <c r="AS91" s="1991"/>
    </row>
    <row r="92" spans="1:45" s="2185" customFormat="1" ht="15" customHeight="1">
      <c r="A92" s="2465"/>
      <c r="B92" s="2568" t="s">
        <v>29</v>
      </c>
      <c r="C92" s="2465"/>
      <c r="D92" s="2032">
        <f>'Exhibit G State'!D92+'Exhibit G Federal'!D64</f>
        <v>5180.9000000000005</v>
      </c>
      <c r="E92" s="2552"/>
      <c r="F92" s="2032">
        <f>'Exhibit G State'!F92+'Exhibit G Federal'!F64</f>
        <v>3816</v>
      </c>
      <c r="G92" s="2552"/>
      <c r="H92" s="2032">
        <f>'Exhibit G State'!H92+'Exhibit G Federal'!H64</f>
        <v>3615.5999999999995</v>
      </c>
      <c r="I92" s="2530"/>
      <c r="J92" s="2032">
        <f>'Exhibit G State'!J92+'Exhibit G Federal'!J64</f>
        <v>4136.8000000000011</v>
      </c>
      <c r="K92" s="2542"/>
      <c r="L92" s="2032">
        <f>'Exhibit G State'!L92+'Exhibit G Federal'!L64</f>
        <v>3860.9999999999986</v>
      </c>
      <c r="M92" s="2542"/>
      <c r="N92" s="2032">
        <f>'Exhibit G State'!N92+'Exhibit G Federal'!N64</f>
        <v>5390.1000000000031</v>
      </c>
      <c r="O92" s="2542"/>
      <c r="P92" s="2032">
        <f>'Exhibit G State'!P92+'Exhibit G Federal'!P64</f>
        <v>3286.5999999999985</v>
      </c>
      <c r="Q92" s="2542"/>
      <c r="R92" s="2032">
        <f>'Exhibit G State'!R92+'Exhibit G Federal'!R64</f>
        <v>3770.7000000000007</v>
      </c>
      <c r="S92" s="2542"/>
      <c r="T92" s="2032">
        <f>'Exhibit G State'!T92+'Exhibit G Federal'!T64</f>
        <v>5076.6999999999989</v>
      </c>
      <c r="U92" s="2542"/>
      <c r="V92" s="2032">
        <f>'Exhibit G State'!V92+'Exhibit G Federal'!V64</f>
        <v>4408.3999999999942</v>
      </c>
      <c r="W92" s="2542"/>
      <c r="X92" s="2032"/>
      <c r="Y92" s="2542"/>
      <c r="Z92" s="2032"/>
      <c r="AA92" s="2032"/>
      <c r="AB92" s="1995">
        <v>0</v>
      </c>
      <c r="AC92" s="2039"/>
      <c r="AD92" s="1995">
        <f t="shared" ref="AD92:AD97" si="23">ROUND(SUM(D92:Z92),1)</f>
        <v>42542.8</v>
      </c>
      <c r="AE92" s="1995"/>
      <c r="AF92" s="2039"/>
      <c r="AG92" s="2032">
        <f>'Exhibit G State'!AG92+'Exhibit G Federal'!AG64</f>
        <v>39144</v>
      </c>
      <c r="AH92" s="3480"/>
      <c r="AI92" s="1977"/>
      <c r="AJ92" s="2000">
        <f t="shared" ref="AJ92:AJ97" si="24">ROUND(SUM(+AD92-AG92),1)</f>
        <v>3398.8</v>
      </c>
      <c r="AK92" s="2560"/>
      <c r="AL92" s="1724">
        <f t="shared" ref="AL92:AL97" si="25">ROUND(IF(AG92=0,0,AJ92/ABS(AG92)),3)</f>
        <v>8.6999999999999994E-2</v>
      </c>
      <c r="AR92" s="1991"/>
      <c r="AS92" s="1991"/>
    </row>
    <row r="93" spans="1:45" s="2185" customFormat="1" ht="15" customHeight="1">
      <c r="A93" s="2465"/>
      <c r="B93" s="2565" t="s">
        <v>30</v>
      </c>
      <c r="C93" s="2465"/>
      <c r="D93" s="2032">
        <f>'Exhibit G State'!D93+'Exhibit G Federal'!D65</f>
        <v>509.6</v>
      </c>
      <c r="E93" s="2552"/>
      <c r="F93" s="2032">
        <f>'Exhibit G State'!F93+'Exhibit G Federal'!F65</f>
        <v>533</v>
      </c>
      <c r="G93" s="2552"/>
      <c r="H93" s="2032">
        <f>'Exhibit G State'!H93+'Exhibit G Federal'!H65</f>
        <v>709.69999999999993</v>
      </c>
      <c r="I93" s="2530"/>
      <c r="J93" s="2032">
        <f>'Exhibit G State'!J93+'Exhibit G Federal'!J65</f>
        <v>556.09999999999991</v>
      </c>
      <c r="K93" s="2542"/>
      <c r="L93" s="2032">
        <f>'Exhibit G State'!L93+'Exhibit G Federal'!L65</f>
        <v>552.90000000000032</v>
      </c>
      <c r="M93" s="2542"/>
      <c r="N93" s="2032">
        <f>'Exhibit G State'!N93+'Exhibit G Federal'!N65</f>
        <v>805.49999999999977</v>
      </c>
      <c r="O93" s="2542"/>
      <c r="P93" s="2032">
        <f>'Exhibit G State'!P93+'Exhibit G Federal'!P65</f>
        <v>570.69999999999993</v>
      </c>
      <c r="Q93" s="2542"/>
      <c r="R93" s="2032">
        <f>'Exhibit G State'!R93+'Exhibit G Federal'!R65</f>
        <v>551.3000000000003</v>
      </c>
      <c r="S93" s="2542"/>
      <c r="T93" s="2032">
        <f>'Exhibit G State'!T93+'Exhibit G Federal'!T65</f>
        <v>650.69999999999982</v>
      </c>
      <c r="U93" s="2542"/>
      <c r="V93" s="2032">
        <f>'Exhibit G State'!V93+'Exhibit G Federal'!V65</f>
        <v>761.80000000000018</v>
      </c>
      <c r="W93" s="2542"/>
      <c r="X93" s="2032"/>
      <c r="Y93" s="2542"/>
      <c r="Z93" s="2032"/>
      <c r="AA93" s="2032"/>
      <c r="AB93" s="1995">
        <v>0</v>
      </c>
      <c r="AC93" s="2039"/>
      <c r="AD93" s="1995">
        <f t="shared" si="23"/>
        <v>6201.3</v>
      </c>
      <c r="AE93" s="1995"/>
      <c r="AF93" s="2039"/>
      <c r="AG93" s="2032">
        <f>'Exhibit G State'!AG93+'Exhibit G Federal'!AG65</f>
        <v>6056.1</v>
      </c>
      <c r="AH93" s="3480"/>
      <c r="AI93" s="1977"/>
      <c r="AJ93" s="2000">
        <f t="shared" si="24"/>
        <v>145.19999999999999</v>
      </c>
      <c r="AK93" s="2560"/>
      <c r="AL93" s="1724">
        <f t="shared" si="25"/>
        <v>2.4E-2</v>
      </c>
      <c r="AR93" s="1991"/>
      <c r="AS93" s="1991"/>
    </row>
    <row r="94" spans="1:45" s="2185" customFormat="1" ht="15" customHeight="1">
      <c r="A94" s="2465"/>
      <c r="B94" s="2565" t="s">
        <v>31</v>
      </c>
      <c r="C94" s="2465"/>
      <c r="D94" s="2032">
        <f>'Exhibit G State'!D94+'Exhibit G Federal'!D66</f>
        <v>92.4</v>
      </c>
      <c r="E94" s="2552"/>
      <c r="F94" s="2032">
        <f>'Exhibit G State'!F94+'Exhibit G Federal'!F66</f>
        <v>62.2</v>
      </c>
      <c r="G94" s="2552"/>
      <c r="H94" s="2032">
        <f>'Exhibit G State'!H94+'Exhibit G Federal'!H66</f>
        <v>159.19999999999996</v>
      </c>
      <c r="I94" s="2530"/>
      <c r="J94" s="2032">
        <f>'Exhibit G State'!J94+'Exhibit G Federal'!J66</f>
        <v>261.60000000000002</v>
      </c>
      <c r="K94" s="2542"/>
      <c r="L94" s="2032">
        <f>'Exhibit G State'!L94+'Exhibit G Federal'!L66</f>
        <v>62.2</v>
      </c>
      <c r="M94" s="2542"/>
      <c r="N94" s="2032">
        <f>'Exhibit G State'!N94+'Exhibit G Federal'!N66</f>
        <v>136.20000000000005</v>
      </c>
      <c r="O94" s="2542"/>
      <c r="P94" s="2032">
        <f>'Exhibit G State'!P94+'Exhibit G Federal'!P66</f>
        <v>627.0999999999998</v>
      </c>
      <c r="Q94" s="2542"/>
      <c r="R94" s="2032">
        <f>'Exhibit G State'!R94+'Exhibit G Federal'!R66</f>
        <v>19.100000000000009</v>
      </c>
      <c r="S94" s="2542"/>
      <c r="T94" s="2032">
        <f>'Exhibit G State'!T94+'Exhibit G Federal'!T66</f>
        <v>133.80000000000007</v>
      </c>
      <c r="U94" s="2542"/>
      <c r="V94" s="2032">
        <f>'Exhibit G State'!V94+'Exhibit G Federal'!V66</f>
        <v>84.800000000000239</v>
      </c>
      <c r="W94" s="2542"/>
      <c r="X94" s="2032"/>
      <c r="Y94" s="2542"/>
      <c r="Z94" s="2032"/>
      <c r="AA94" s="2032"/>
      <c r="AB94" s="1995">
        <v>0</v>
      </c>
      <c r="AC94" s="2039"/>
      <c r="AD94" s="1995">
        <f t="shared" si="23"/>
        <v>1638.6</v>
      </c>
      <c r="AE94" s="1995"/>
      <c r="AF94" s="2039"/>
      <c r="AG94" s="2032">
        <f>'Exhibit G State'!AG94+'Exhibit G Federal'!AG66</f>
        <v>1228.6000000000001</v>
      </c>
      <c r="AH94" s="3480"/>
      <c r="AI94" s="1977"/>
      <c r="AJ94" s="2000">
        <f t="shared" si="24"/>
        <v>410</v>
      </c>
      <c r="AK94" s="2560"/>
      <c r="AL94" s="1724">
        <f t="shared" si="25"/>
        <v>0.33400000000000002</v>
      </c>
      <c r="AR94" s="1991"/>
      <c r="AS94" s="1991"/>
    </row>
    <row r="95" spans="1:45" s="2185" customFormat="1" ht="15" customHeight="1">
      <c r="A95" s="2465"/>
      <c r="B95" s="2565" t="s">
        <v>32</v>
      </c>
      <c r="C95" s="2465"/>
      <c r="D95" s="2032">
        <f>'Exhibit G State'!D95+'Exhibit G Federal'!D67</f>
        <v>134.9</v>
      </c>
      <c r="E95" s="2552"/>
      <c r="F95" s="2032">
        <f>'Exhibit G State'!F95+'Exhibit G Federal'!F67</f>
        <v>25.9</v>
      </c>
      <c r="G95" s="2552"/>
      <c r="H95" s="2032">
        <f>'Exhibit G State'!H95+'Exhibit G Federal'!H67</f>
        <v>253.60000000000002</v>
      </c>
      <c r="I95" s="2530"/>
      <c r="J95" s="2032">
        <f>'Exhibit G State'!J95+'Exhibit G Federal'!J67</f>
        <v>201.6</v>
      </c>
      <c r="K95" s="2542"/>
      <c r="L95" s="2032">
        <f>'Exhibit G State'!L95+'Exhibit G Federal'!L67</f>
        <v>253.89999999999998</v>
      </c>
      <c r="M95" s="2542"/>
      <c r="N95" s="2032">
        <f>'Exhibit G State'!N95+'Exhibit G Federal'!N67</f>
        <v>950.39999999999986</v>
      </c>
      <c r="O95" s="2542"/>
      <c r="P95" s="2032">
        <f>'Exhibit G State'!P95+'Exhibit G Federal'!P67</f>
        <v>384.0999999999998</v>
      </c>
      <c r="Q95" s="2542"/>
      <c r="R95" s="2032">
        <f>'Exhibit G State'!R95+'Exhibit G Federal'!R67</f>
        <v>164.50000000000045</v>
      </c>
      <c r="S95" s="2542"/>
      <c r="T95" s="2032">
        <f>'Exhibit G State'!T95+'Exhibit G Federal'!T67</f>
        <v>162.9</v>
      </c>
      <c r="U95" s="2542"/>
      <c r="V95" s="2032">
        <f>'Exhibit G State'!V95+'Exhibit G Federal'!V67</f>
        <v>265.7999999999999</v>
      </c>
      <c r="W95" s="2542"/>
      <c r="X95" s="2032"/>
      <c r="Y95" s="2542"/>
      <c r="Z95" s="2032"/>
      <c r="AA95" s="2032"/>
      <c r="AB95" s="1995">
        <v>0</v>
      </c>
      <c r="AC95" s="2039"/>
      <c r="AD95" s="1995">
        <f t="shared" si="23"/>
        <v>2797.6</v>
      </c>
      <c r="AE95" s="1995"/>
      <c r="AF95" s="2039"/>
      <c r="AG95" s="2032">
        <f>'Exhibit G State'!AG95+'Exhibit G Federal'!AG67</f>
        <v>3635</v>
      </c>
      <c r="AH95" s="3480"/>
      <c r="AI95" s="1977"/>
      <c r="AJ95" s="2000">
        <f t="shared" si="24"/>
        <v>-837.4</v>
      </c>
      <c r="AK95" s="2560"/>
      <c r="AL95" s="1724">
        <f t="shared" si="25"/>
        <v>-0.23</v>
      </c>
      <c r="AR95" s="1991"/>
      <c r="AS95" s="1991"/>
    </row>
    <row r="96" spans="1:45" s="2185" customFormat="1" ht="15" customHeight="1">
      <c r="A96" s="2465"/>
      <c r="B96" s="2565" t="s">
        <v>33</v>
      </c>
      <c r="C96" s="2465"/>
      <c r="D96" s="2032">
        <f>'Exhibit G State'!D96+'Exhibit G Federal'!D68</f>
        <v>0.3</v>
      </c>
      <c r="E96" s="2552"/>
      <c r="F96" s="2032">
        <f>'Exhibit G State'!F96+'Exhibit G Federal'!F68</f>
        <v>0.7</v>
      </c>
      <c r="G96" s="2552"/>
      <c r="H96" s="2032">
        <f>'Exhibit G State'!H96+'Exhibit G Federal'!H68</f>
        <v>6.5</v>
      </c>
      <c r="I96" s="2530"/>
      <c r="J96" s="2032">
        <f>'Exhibit G State'!J96+'Exhibit G Federal'!J68</f>
        <v>1.0000000000000004</v>
      </c>
      <c r="K96" s="2542"/>
      <c r="L96" s="2032">
        <f>'Exhibit G State'!L96+'Exhibit G Federal'!L68</f>
        <v>8.6</v>
      </c>
      <c r="M96" s="2542"/>
      <c r="N96" s="2032">
        <f>'Exhibit G State'!N96+'Exhibit G Federal'!N68</f>
        <v>5.3000000000000007</v>
      </c>
      <c r="O96" s="2542"/>
      <c r="P96" s="2032">
        <f>'Exhibit G State'!P96+'Exhibit G Federal'!P68</f>
        <v>1.7000000000000028</v>
      </c>
      <c r="Q96" s="2542"/>
      <c r="R96" s="2032">
        <f>'Exhibit G State'!R96+'Exhibit G Federal'!R68</f>
        <v>18.699999999999996</v>
      </c>
      <c r="S96" s="2542"/>
      <c r="T96" s="2032">
        <f>'Exhibit G State'!T96+'Exhibit G Federal'!T68</f>
        <v>1.0000000000000044</v>
      </c>
      <c r="U96" s="2542"/>
      <c r="V96" s="2032">
        <f>'Exhibit G State'!V96+'Exhibit G Federal'!V68</f>
        <v>1.5999999999999996</v>
      </c>
      <c r="W96" s="2542"/>
      <c r="X96" s="2032"/>
      <c r="Y96" s="2542"/>
      <c r="Z96" s="2032"/>
      <c r="AA96" s="2032"/>
      <c r="AB96" s="1995">
        <v>0</v>
      </c>
      <c r="AC96" s="2039"/>
      <c r="AD96" s="1995">
        <f t="shared" si="23"/>
        <v>45.4</v>
      </c>
      <c r="AE96" s="1995"/>
      <c r="AF96" s="2039"/>
      <c r="AG96" s="2032">
        <f>'Exhibit G State'!AG96+'Exhibit G Federal'!AG68</f>
        <v>53.099999999999994</v>
      </c>
      <c r="AH96" s="3480"/>
      <c r="AI96" s="1977"/>
      <c r="AJ96" s="2000">
        <f t="shared" si="24"/>
        <v>-7.7</v>
      </c>
      <c r="AK96" s="2560"/>
      <c r="AL96" s="1729">
        <f>ROUND(IF(AG96=0,0,AJ96/ABS(AG96)),3)</f>
        <v>-0.14499999999999999</v>
      </c>
      <c r="AR96" s="2566"/>
      <c r="AS96" s="2566"/>
    </row>
    <row r="97" spans="1:46" s="2185" customFormat="1" ht="15" customHeight="1">
      <c r="A97" s="2465"/>
      <c r="B97" s="2565" t="s">
        <v>34</v>
      </c>
      <c r="C97" s="2465"/>
      <c r="D97" s="2032">
        <f>'Exhibit G State'!D97+'Exhibit G Federal'!D69</f>
        <v>65.5</v>
      </c>
      <c r="E97" s="2552"/>
      <c r="F97" s="2032">
        <f>'Exhibit G State'!F97+'Exhibit G Federal'!F69</f>
        <v>44.699999999999996</v>
      </c>
      <c r="G97" s="2552"/>
      <c r="H97" s="2032">
        <f>'Exhibit G State'!H97+'Exhibit G Federal'!H69</f>
        <v>22.6</v>
      </c>
      <c r="I97" s="2530"/>
      <c r="J97" s="2032">
        <f>'Exhibit G State'!J97+'Exhibit G Federal'!J69</f>
        <v>709.09999999999991</v>
      </c>
      <c r="K97" s="2542"/>
      <c r="L97" s="2032">
        <f>'Exhibit G State'!L97+'Exhibit G Federal'!L69</f>
        <v>350.20000000000005</v>
      </c>
      <c r="M97" s="2542"/>
      <c r="N97" s="2032">
        <f>'Exhibit G State'!N97+'Exhibit G Federal'!N69</f>
        <v>246.80000000000013</v>
      </c>
      <c r="O97" s="2542"/>
      <c r="P97" s="2032">
        <f>'Exhibit G State'!P97+'Exhibit G Federal'!P69</f>
        <v>258.5</v>
      </c>
      <c r="Q97" s="2542"/>
      <c r="R97" s="2032">
        <f>'Exhibit G State'!R97+'Exhibit G Federal'!R69</f>
        <v>438.49999999999983</v>
      </c>
      <c r="S97" s="2542"/>
      <c r="T97" s="2032">
        <f>'Exhibit G State'!T97+'Exhibit G Federal'!T69</f>
        <v>764.50000000000023</v>
      </c>
      <c r="U97" s="2542"/>
      <c r="V97" s="2032">
        <f>'Exhibit G State'!V97+'Exhibit G Federal'!V69</f>
        <v>74.500000000000313</v>
      </c>
      <c r="W97" s="2542"/>
      <c r="X97" s="2032"/>
      <c r="Y97" s="2542"/>
      <c r="Z97" s="2032"/>
      <c r="AA97" s="2032"/>
      <c r="AB97" s="1995">
        <v>0</v>
      </c>
      <c r="AC97" s="2039"/>
      <c r="AD97" s="1977">
        <f t="shared" si="23"/>
        <v>2974.9</v>
      </c>
      <c r="AE97" s="1995"/>
      <c r="AF97" s="2039"/>
      <c r="AG97" s="2032">
        <f>'Exhibit G State'!AG97+'Exhibit G Federal'!AG69</f>
        <v>3297.1000000000004</v>
      </c>
      <c r="AH97" s="3480"/>
      <c r="AI97" s="1977"/>
      <c r="AJ97" s="2041">
        <f t="shared" si="24"/>
        <v>-322.2</v>
      </c>
      <c r="AK97" s="2560"/>
      <c r="AL97" s="1812">
        <f t="shared" si="25"/>
        <v>-9.8000000000000004E-2</v>
      </c>
      <c r="AM97" s="2569"/>
      <c r="AR97" s="2018"/>
      <c r="AS97" s="2018"/>
      <c r="AT97" s="2184"/>
    </row>
    <row r="98" spans="1:46" ht="15" customHeight="1">
      <c r="A98" s="2044"/>
      <c r="B98" s="2427" t="s">
        <v>1173</v>
      </c>
      <c r="C98" s="2044"/>
      <c r="D98" s="2033">
        <f>ROUND(SUM(D88:D97),1)</f>
        <v>6377.9</v>
      </c>
      <c r="F98" s="2033">
        <f>ROUND(SUM(F88:F97),1)</f>
        <v>4591.7</v>
      </c>
      <c r="H98" s="2474">
        <f>ROUND(SUM(H88:H97),1)</f>
        <v>5623.6</v>
      </c>
      <c r="J98" s="2474">
        <f>ROUND(SUM(J88:J97),1)</f>
        <v>6120.4</v>
      </c>
      <c r="L98" s="2033">
        <f t="shared" ref="L98:V98" si="26">ROUND(SUM(L88:L97),1)</f>
        <v>5341.5</v>
      </c>
      <c r="N98" s="2033">
        <f t="shared" ref="N98:P98" si="27">ROUND(SUM(N88:N97),1)</f>
        <v>13985.8</v>
      </c>
      <c r="P98" s="2033">
        <f t="shared" si="27"/>
        <v>5578.4</v>
      </c>
      <c r="R98" s="2033">
        <f t="shared" ref="R98" si="28">ROUND(SUM(R88:R97),1)</f>
        <v>5404.9</v>
      </c>
      <c r="T98" s="2017">
        <f t="shared" si="26"/>
        <v>7156.9</v>
      </c>
      <c r="V98" s="2033">
        <f t="shared" si="26"/>
        <v>8112</v>
      </c>
      <c r="X98" s="2033">
        <f t="shared" ref="X98:Z98" si="29">ROUND(SUM(X88:X97),1)</f>
        <v>0</v>
      </c>
      <c r="Z98" s="2033">
        <f t="shared" si="29"/>
        <v>0</v>
      </c>
      <c r="AA98" s="1444"/>
      <c r="AB98" s="2033">
        <f>ROUND(SUM(AB88:AB97),1)</f>
        <v>0</v>
      </c>
      <c r="AC98" s="2040"/>
      <c r="AD98" s="2017">
        <f>ROUND(SUM(AD88:AD97),1)</f>
        <v>68293.100000000006</v>
      </c>
      <c r="AE98" s="2050"/>
      <c r="AF98" s="2554"/>
      <c r="AG98" s="2017">
        <f>ROUND(SUM(AG88:AG97),1)</f>
        <v>62206.2</v>
      </c>
      <c r="AH98" s="3483"/>
      <c r="AI98" s="1444"/>
      <c r="AJ98" s="2033">
        <f>ROUND(SUM(AJ88:AJ97),1)</f>
        <v>6086.9</v>
      </c>
      <c r="AK98" s="2053"/>
      <c r="AL98" s="1436">
        <f>ROUND(SUM(+AJ98/AG98),3)</f>
        <v>9.8000000000000004E-2</v>
      </c>
      <c r="AR98" s="2021"/>
      <c r="AS98" s="2018"/>
      <c r="AT98" s="2021"/>
    </row>
    <row r="99" spans="1:46" s="2185" customFormat="1" ht="15" customHeight="1">
      <c r="A99" s="2465"/>
      <c r="B99" s="2465" t="s">
        <v>169</v>
      </c>
      <c r="C99" s="2465"/>
      <c r="D99" s="1995"/>
      <c r="E99" s="2530"/>
      <c r="F99" s="1995"/>
      <c r="G99" s="2530"/>
      <c r="H99" s="1443"/>
      <c r="I99" s="2530"/>
      <c r="J99" s="1443"/>
      <c r="K99" s="2542"/>
      <c r="L99" s="1995"/>
      <c r="M99" s="2542"/>
      <c r="N99" s="1995"/>
      <c r="O99" s="2542"/>
      <c r="P99" s="1995"/>
      <c r="Q99" s="2542"/>
      <c r="R99" s="1995"/>
      <c r="S99" s="2542"/>
      <c r="T99" s="1995"/>
      <c r="U99" s="2542"/>
      <c r="V99" s="1995"/>
      <c r="W99" s="2542"/>
      <c r="X99" s="1995"/>
      <c r="Y99" s="2542"/>
      <c r="Z99" s="1995"/>
      <c r="AA99" s="1995"/>
      <c r="AB99" s="1995"/>
      <c r="AC99" s="2039"/>
      <c r="AD99" s="1995"/>
      <c r="AE99" s="1995"/>
      <c r="AF99" s="2039"/>
      <c r="AG99" s="1995"/>
      <c r="AH99" s="3480"/>
      <c r="AI99" s="1977"/>
      <c r="AJ99" s="2000"/>
      <c r="AL99" s="1818"/>
      <c r="AS99" s="1991"/>
    </row>
    <row r="100" spans="1:46" s="2185" customFormat="1" ht="15" customHeight="1">
      <c r="A100" s="2465"/>
      <c r="B100" s="2465" t="s">
        <v>153</v>
      </c>
      <c r="C100" s="2465"/>
      <c r="D100" s="2032">
        <f>'Exhibit G State'!D100+'Exhibit G Federal'!D72</f>
        <v>675.80000000000007</v>
      </c>
      <c r="E100" s="2552"/>
      <c r="F100" s="2032">
        <f>'Exhibit G State'!F100+'Exhibit G Federal'!F72</f>
        <v>444.6</v>
      </c>
      <c r="G100" s="2552"/>
      <c r="H100" s="2032">
        <f>'Exhibit G State'!H100+'Exhibit G Federal'!H72</f>
        <v>551.79999999999995</v>
      </c>
      <c r="I100" s="2530"/>
      <c r="J100" s="2032">
        <f>'Exhibit G State'!J100+'Exhibit G Federal'!J72</f>
        <v>539.99999999999989</v>
      </c>
      <c r="K100" s="2542"/>
      <c r="L100" s="2032">
        <f>'Exhibit G State'!L100+'Exhibit G Federal'!L72</f>
        <v>390.70000000000027</v>
      </c>
      <c r="M100" s="2542"/>
      <c r="N100" s="2032">
        <f>'Exhibit G State'!N100+'Exhibit G Federal'!N72</f>
        <v>691.20000000000027</v>
      </c>
      <c r="O100" s="2542"/>
      <c r="P100" s="2032">
        <f>'Exhibit G State'!P100+'Exhibit G Federal'!P72</f>
        <v>521.19999999999993</v>
      </c>
      <c r="Q100" s="2542"/>
      <c r="R100" s="2032">
        <f>'Exhibit G State'!R100+'Exhibit G Federal'!R72</f>
        <v>474.90000000000038</v>
      </c>
      <c r="S100" s="2542"/>
      <c r="T100" s="2032">
        <f>'Exhibit G State'!T100+'Exhibit G Federal'!T72</f>
        <v>1784</v>
      </c>
      <c r="U100" s="2542"/>
      <c r="V100" s="2032">
        <f>'Exhibit G State'!V100+'Exhibit G Federal'!V72</f>
        <v>484.20000000000016</v>
      </c>
      <c r="W100" s="2542"/>
      <c r="X100" s="2032"/>
      <c r="Y100" s="2542"/>
      <c r="Z100" s="2032"/>
      <c r="AA100" s="2032"/>
      <c r="AB100" s="1995">
        <v>0</v>
      </c>
      <c r="AC100" s="2039"/>
      <c r="AD100" s="1995">
        <f>ROUND(SUM(D100:Z100),1)</f>
        <v>6558.4</v>
      </c>
      <c r="AE100" s="1995"/>
      <c r="AF100" s="2039"/>
      <c r="AG100" s="2032">
        <f>'Exhibit G State'!AG100+'Exhibit G Federal'!AG72</f>
        <v>4867.2000000000007</v>
      </c>
      <c r="AH100" s="3480"/>
      <c r="AI100" s="1977"/>
      <c r="AJ100" s="2000">
        <f>ROUND(SUM(+AD100-AG100),1)</f>
        <v>1691.2</v>
      </c>
      <c r="AK100" s="2550"/>
      <c r="AL100" s="1724">
        <f>ROUND(IF(AG100=0,0,AJ100/ABS(AG100)),3)</f>
        <v>0.34699999999999998</v>
      </c>
    </row>
    <row r="101" spans="1:46" s="2185" customFormat="1" ht="15" customHeight="1">
      <c r="A101" s="2465"/>
      <c r="B101" s="2465" t="s">
        <v>170</v>
      </c>
      <c r="C101" s="2465"/>
      <c r="D101" s="2032">
        <f>'Exhibit G State'!D101+'Exhibit G Federal'!D73</f>
        <v>270.89999999999998</v>
      </c>
      <c r="E101" s="2552"/>
      <c r="F101" s="2032">
        <f>'Exhibit G State'!F101+'Exhibit G Federal'!F73</f>
        <v>220.89999999999998</v>
      </c>
      <c r="G101" s="2552"/>
      <c r="H101" s="2032">
        <f>'Exhibit G State'!H101+'Exhibit G Federal'!H73</f>
        <v>327.3</v>
      </c>
      <c r="I101" s="2530"/>
      <c r="J101" s="2032">
        <f>'Exhibit G State'!J101+'Exhibit G Federal'!J73</f>
        <v>1078</v>
      </c>
      <c r="K101" s="2542"/>
      <c r="L101" s="2032">
        <f>'Exhibit G State'!L101+'Exhibit G Federal'!L73</f>
        <v>380.60000000000025</v>
      </c>
      <c r="M101" s="2542"/>
      <c r="N101" s="2032">
        <f>'Exhibit G State'!N101+'Exhibit G Federal'!N73</f>
        <v>488.09999999999991</v>
      </c>
      <c r="O101" s="2542"/>
      <c r="P101" s="2032">
        <f>'Exhibit G State'!P101+'Exhibit G Federal'!P73</f>
        <v>437.00000000000011</v>
      </c>
      <c r="Q101" s="2542"/>
      <c r="R101" s="2032">
        <f>'Exhibit G State'!R101+'Exhibit G Federal'!R73</f>
        <v>297</v>
      </c>
      <c r="S101" s="2542"/>
      <c r="T101" s="2032">
        <f>'Exhibit G State'!T101+'Exhibit G Federal'!T73</f>
        <v>408.80000000000007</v>
      </c>
      <c r="U101" s="2542"/>
      <c r="V101" s="2032">
        <f>'Exhibit G State'!V101+'Exhibit G Federal'!V73</f>
        <v>418.49999999999977</v>
      </c>
      <c r="W101" s="2542"/>
      <c r="X101" s="2032"/>
      <c r="Y101" s="2542"/>
      <c r="Z101" s="2032"/>
      <c r="AA101" s="2032"/>
      <c r="AB101" s="1995">
        <v>0</v>
      </c>
      <c r="AC101" s="2039"/>
      <c r="AD101" s="1995">
        <f>ROUND(SUM(D101:Z101),1)</f>
        <v>4327.1000000000004</v>
      </c>
      <c r="AE101" s="1995"/>
      <c r="AF101" s="2039"/>
      <c r="AG101" s="2032">
        <f>'Exhibit G State'!AG101+'Exhibit G Federal'!AG73</f>
        <v>3555.1</v>
      </c>
      <c r="AH101" s="3480"/>
      <c r="AI101" s="1977"/>
      <c r="AJ101" s="2000">
        <f>ROUND(SUM(+AD101-AG101),1)</f>
        <v>772</v>
      </c>
      <c r="AK101" s="2550"/>
      <c r="AL101" s="1724">
        <f>ROUND(IF(AG101=0,0,AJ101/ABS(AG101)),3)</f>
        <v>0.217</v>
      </c>
    </row>
    <row r="102" spans="1:46" s="2185" customFormat="1" ht="15" customHeight="1">
      <c r="A102" s="2465"/>
      <c r="B102" s="2465" t="s">
        <v>171</v>
      </c>
      <c r="C102" s="2465"/>
      <c r="D102" s="2032">
        <f>'Exhibit G State'!D102+'Exhibit G Federal'!D74</f>
        <v>75</v>
      </c>
      <c r="E102" s="2552"/>
      <c r="F102" s="2032">
        <f>'Exhibit G State'!F102+'Exhibit G Federal'!F74</f>
        <v>64.5</v>
      </c>
      <c r="G102" s="2552"/>
      <c r="H102" s="2032">
        <f>'Exhibit G State'!H102+'Exhibit G Federal'!H74</f>
        <v>109.60000000000001</v>
      </c>
      <c r="I102" s="2530"/>
      <c r="J102" s="2032">
        <f>'Exhibit G State'!J102+'Exhibit G Federal'!J74</f>
        <v>136</v>
      </c>
      <c r="K102" s="2542"/>
      <c r="L102" s="2032">
        <f>'Exhibit G State'!L102+'Exhibit G Federal'!L74</f>
        <v>142.89999999999998</v>
      </c>
      <c r="M102" s="2542"/>
      <c r="N102" s="2032">
        <f>'Exhibit G State'!N102+'Exhibit G Federal'!N74</f>
        <v>139.80000000000001</v>
      </c>
      <c r="O102" s="2542"/>
      <c r="P102" s="2032">
        <f>'Exhibit G State'!P102+'Exhibit G Federal'!P74</f>
        <v>124.29999999999994</v>
      </c>
      <c r="Q102" s="2542"/>
      <c r="R102" s="2032">
        <f>'Exhibit G State'!R102+'Exhibit G Federal'!R74</f>
        <v>158.00000000000006</v>
      </c>
      <c r="S102" s="2542"/>
      <c r="T102" s="2032">
        <f>'Exhibit G State'!T102+'Exhibit G Federal'!T74</f>
        <v>212.20000000000007</v>
      </c>
      <c r="U102" s="2542"/>
      <c r="V102" s="2032">
        <f>'Exhibit G State'!V102+'Exhibit G Federal'!V74</f>
        <v>844.99999999999977</v>
      </c>
      <c r="W102" s="2542"/>
      <c r="X102" s="2032"/>
      <c r="Y102" s="2542"/>
      <c r="Z102" s="2032"/>
      <c r="AA102" s="2032"/>
      <c r="AB102" s="1995">
        <v>0</v>
      </c>
      <c r="AC102" s="2039"/>
      <c r="AD102" s="1995">
        <f>ROUND(SUM(D102:Z102),1)</f>
        <v>2007.3</v>
      </c>
      <c r="AE102" s="1995"/>
      <c r="AF102" s="2039"/>
      <c r="AG102" s="2032">
        <f>'Exhibit G State'!AG102+'Exhibit G Federal'!AG74</f>
        <v>1114.8</v>
      </c>
      <c r="AH102" s="3480"/>
      <c r="AI102" s="1977"/>
      <c r="AJ102" s="2000">
        <f>ROUND(SUM(+AD102-AG102),1)</f>
        <v>892.5</v>
      </c>
      <c r="AK102" s="2550"/>
      <c r="AL102" s="1724">
        <f>ROUND(IF(AG102=0,0,AJ102/ABS(AG102)),3)</f>
        <v>0.80100000000000005</v>
      </c>
    </row>
    <row r="103" spans="1:46" s="2185" customFormat="1" ht="15" customHeight="1">
      <c r="A103" s="2465"/>
      <c r="B103" s="3101" t="s">
        <v>1379</v>
      </c>
      <c r="C103" s="2465"/>
      <c r="D103" s="2032"/>
      <c r="E103" s="2552"/>
      <c r="F103" s="2032"/>
      <c r="G103" s="2552"/>
      <c r="H103" s="2032"/>
      <c r="I103" s="2530"/>
      <c r="J103" s="2032"/>
      <c r="K103" s="2542"/>
      <c r="L103" s="2032"/>
      <c r="M103" s="2542"/>
      <c r="N103" s="2032"/>
      <c r="O103" s="2542"/>
      <c r="P103" s="2032"/>
      <c r="Q103" s="2542"/>
      <c r="R103" s="2032"/>
      <c r="S103" s="2542"/>
      <c r="T103" s="2032"/>
      <c r="U103" s="2542"/>
      <c r="V103" s="2032"/>
      <c r="W103" s="2542"/>
      <c r="X103" s="2032"/>
      <c r="Y103" s="2542"/>
      <c r="Z103" s="2032"/>
      <c r="AA103" s="2032"/>
      <c r="AB103" s="1995"/>
      <c r="AC103" s="2039"/>
      <c r="AD103" s="1995"/>
      <c r="AE103" s="1995"/>
      <c r="AF103" s="2039"/>
      <c r="AG103" s="2032"/>
      <c r="AH103" s="3480"/>
      <c r="AI103" s="1977"/>
      <c r="AJ103" s="2000"/>
      <c r="AK103" s="2550"/>
      <c r="AL103" s="1724"/>
    </row>
    <row r="104" spans="1:46" s="2185" customFormat="1" ht="15" customHeight="1">
      <c r="A104" s="2465"/>
      <c r="B104" s="3101" t="s">
        <v>1536</v>
      </c>
      <c r="C104" s="2465"/>
      <c r="D104" s="2032">
        <f>'Exhibit G Federal'!D76</f>
        <v>0</v>
      </c>
      <c r="E104" s="2552"/>
      <c r="F104" s="2032">
        <f>'Exhibit G Federal'!F76</f>
        <v>0</v>
      </c>
      <c r="G104" s="2552"/>
      <c r="H104" s="2032">
        <f>'Exhibit G Federal'!H76</f>
        <v>0</v>
      </c>
      <c r="I104" s="2530"/>
      <c r="J104" s="2032">
        <f>'Exhibit G Federal'!J76</f>
        <v>0</v>
      </c>
      <c r="K104" s="2542"/>
      <c r="L104" s="2032">
        <f>'Exhibit G Federal'!L76</f>
        <v>0</v>
      </c>
      <c r="M104" s="2542"/>
      <c r="N104" s="2032">
        <f>'Exhibit G Federal'!N76</f>
        <v>0</v>
      </c>
      <c r="O104" s="2542"/>
      <c r="P104" s="2032">
        <f>'Exhibit G Federal'!P76</f>
        <v>0</v>
      </c>
      <c r="Q104" s="2542"/>
      <c r="R104" s="2032">
        <f>'Exhibit G Federal'!R76</f>
        <v>0</v>
      </c>
      <c r="S104" s="2542"/>
      <c r="T104" s="2032">
        <f>'Exhibit G Federal'!T76</f>
        <v>102.2</v>
      </c>
      <c r="U104" s="2542"/>
      <c r="V104" s="2032">
        <f>'Exhibit G Federal'!V76</f>
        <v>0</v>
      </c>
      <c r="W104" s="2542"/>
      <c r="X104" s="2032"/>
      <c r="Y104" s="2542"/>
      <c r="Z104" s="2032"/>
      <c r="AA104" s="2032"/>
      <c r="AB104" s="1995">
        <v>0</v>
      </c>
      <c r="AC104" s="2039"/>
      <c r="AD104" s="1995">
        <f>ROUND(SUM(D104:Z104),1)</f>
        <v>102.2</v>
      </c>
      <c r="AE104" s="1995"/>
      <c r="AF104" s="2039"/>
      <c r="AG104" s="2032">
        <f>'Exhibit G Federal'!AG76</f>
        <v>0</v>
      </c>
      <c r="AH104" s="3480"/>
      <c r="AI104" s="1977"/>
      <c r="AJ104" s="2000">
        <f>ROUND(SUM(+AD104-AG104),1)</f>
        <v>102.2</v>
      </c>
      <c r="AK104" s="2550"/>
      <c r="AL104" s="1724">
        <f>ROUND(IF(AG104=0,1,AJ104/ABS(AG104)),3)</f>
        <v>1</v>
      </c>
    </row>
    <row r="105" spans="1:46" s="2185" customFormat="1" ht="15" customHeight="1">
      <c r="A105" s="2465"/>
      <c r="B105" s="2465" t="s">
        <v>172</v>
      </c>
      <c r="C105" s="2465"/>
      <c r="D105" s="2032">
        <f>'Exhibit G State'!D103+'Exhibit G Federal'!D77</f>
        <v>0</v>
      </c>
      <c r="E105" s="2552"/>
      <c r="F105" s="2032">
        <f>'Exhibit G State'!F103+'Exhibit G Federal'!F77</f>
        <v>0</v>
      </c>
      <c r="G105" s="2552"/>
      <c r="H105" s="2032">
        <f>'Exhibit G State'!H103+'Exhibit G Federal'!H77</f>
        <v>0</v>
      </c>
      <c r="I105" s="2530"/>
      <c r="J105" s="2032">
        <f>'Exhibit G State'!J103+'Exhibit G Federal'!J77</f>
        <v>0</v>
      </c>
      <c r="K105" s="2542"/>
      <c r="L105" s="2032">
        <f>'Exhibit G State'!L103+'Exhibit G Federal'!L77</f>
        <v>2.2999999999999998</v>
      </c>
      <c r="M105" s="2542"/>
      <c r="N105" s="2032">
        <f>'Exhibit G State'!N103+'Exhibit G Federal'!N77</f>
        <v>0</v>
      </c>
      <c r="O105" s="2542"/>
      <c r="P105" s="2032">
        <f>'Exhibit G State'!P103+'Exhibit G Federal'!P77</f>
        <v>0</v>
      </c>
      <c r="Q105" s="2542"/>
      <c r="R105" s="2032">
        <f>'Exhibit G State'!R103+'Exhibit G Federal'!R77</f>
        <v>0</v>
      </c>
      <c r="S105" s="2542"/>
      <c r="T105" s="2032">
        <f>'Exhibit G State'!T103+'Exhibit G Federal'!T77</f>
        <v>0</v>
      </c>
      <c r="U105" s="2542"/>
      <c r="V105" s="2032">
        <f>'Exhibit G State'!V103+'Exhibit G Federal'!V77</f>
        <v>0</v>
      </c>
      <c r="W105" s="2542"/>
      <c r="X105" s="2032"/>
      <c r="Y105" s="2542"/>
      <c r="Z105" s="2032"/>
      <c r="AA105" s="2032"/>
      <c r="AB105" s="2559">
        <v>0</v>
      </c>
      <c r="AC105" s="2039"/>
      <c r="AD105" s="1995">
        <f>ROUND(SUM(D105:Z105),1)</f>
        <v>2.2999999999999998</v>
      </c>
      <c r="AE105" s="1995"/>
      <c r="AF105" s="2039"/>
      <c r="AG105" s="2032">
        <f>'Exhibit G State'!AG103+'Exhibit G Federal'!AG77</f>
        <v>0</v>
      </c>
      <c r="AH105" s="3480"/>
      <c r="AI105" s="1977"/>
      <c r="AJ105" s="2041">
        <f>ROUND(SUM(+AD105-AG105),1)</f>
        <v>2.2999999999999998</v>
      </c>
      <c r="AK105" s="2560"/>
      <c r="AL105" s="1724">
        <f>ROUND(IF(AG105=0,1,AJ105/ABS(AG105)),3)</f>
        <v>1</v>
      </c>
    </row>
    <row r="106" spans="1:46" s="2185" customFormat="1" ht="15" customHeight="1">
      <c r="A106" s="2465"/>
      <c r="B106" s="2465"/>
      <c r="C106" s="2465"/>
      <c r="D106" s="2051"/>
      <c r="E106" s="2530"/>
      <c r="F106" s="2051"/>
      <c r="G106" s="2530"/>
      <c r="H106" s="2493"/>
      <c r="I106" s="2530"/>
      <c r="J106" s="2493"/>
      <c r="K106" s="2542"/>
      <c r="L106" s="2051"/>
      <c r="M106" s="2542"/>
      <c r="N106" s="2051"/>
      <c r="O106" s="2542"/>
      <c r="P106" s="2051"/>
      <c r="Q106" s="2542"/>
      <c r="R106" s="2051"/>
      <c r="S106" s="2542"/>
      <c r="T106" s="2051"/>
      <c r="U106" s="2542"/>
      <c r="V106" s="2051"/>
      <c r="W106" s="2542"/>
      <c r="X106" s="2051"/>
      <c r="Y106" s="2542"/>
      <c r="Z106" s="2051"/>
      <c r="AA106" s="1977"/>
      <c r="AB106" s="1995"/>
      <c r="AC106" s="2039"/>
      <c r="AD106" s="2051"/>
      <c r="AE106" s="1995"/>
      <c r="AF106" s="2039"/>
      <c r="AG106" s="2051"/>
      <c r="AH106" s="3480"/>
      <c r="AI106" s="1977"/>
      <c r="AJ106" s="2570"/>
      <c r="AL106" s="2571"/>
    </row>
    <row r="107" spans="1:46" s="2185" customFormat="1" ht="15" customHeight="1">
      <c r="A107" s="2465"/>
      <c r="B107" s="2553" t="s">
        <v>156</v>
      </c>
      <c r="C107" s="2465"/>
      <c r="D107" s="2050">
        <f>ROUND(SUM(D98:D105),1)</f>
        <v>7399.6</v>
      </c>
      <c r="E107" s="2530"/>
      <c r="F107" s="2050">
        <f>ROUND(SUM(F98:F105),1)</f>
        <v>5321.7</v>
      </c>
      <c r="G107" s="2530"/>
      <c r="H107" s="1461">
        <f>ROUND(SUM(H98:H105),1)</f>
        <v>6612.3</v>
      </c>
      <c r="I107" s="2530"/>
      <c r="J107" s="1461">
        <f>ROUND(SUM(J98:J105),1)</f>
        <v>7874.4</v>
      </c>
      <c r="K107" s="2542"/>
      <c r="L107" s="2050">
        <f t="shared" ref="L107:V107" si="30">ROUND(SUM(L98:L105),1)</f>
        <v>6258</v>
      </c>
      <c r="M107" s="2542"/>
      <c r="N107" s="2050">
        <f t="shared" ref="N107:P107" si="31">ROUND(SUM(N98:N105),1)</f>
        <v>15304.9</v>
      </c>
      <c r="O107" s="2542"/>
      <c r="P107" s="2050">
        <f t="shared" si="31"/>
        <v>6660.9</v>
      </c>
      <c r="Q107" s="2542"/>
      <c r="R107" s="2050">
        <f t="shared" ref="R107" si="32">ROUND(SUM(R98:R105),1)</f>
        <v>6334.8</v>
      </c>
      <c r="S107" s="2542"/>
      <c r="T107" s="2050">
        <f t="shared" si="30"/>
        <v>9664.1</v>
      </c>
      <c r="U107" s="2542"/>
      <c r="V107" s="2050">
        <f t="shared" si="30"/>
        <v>9859.7000000000007</v>
      </c>
      <c r="W107" s="2542"/>
      <c r="X107" s="2050">
        <f t="shared" ref="X107:Z107" si="33">ROUND(SUM(X98:X105),1)</f>
        <v>0</v>
      </c>
      <c r="Y107" s="2542"/>
      <c r="Z107" s="2050">
        <f t="shared" si="33"/>
        <v>0</v>
      </c>
      <c r="AA107" s="2050"/>
      <c r="AB107" s="2572">
        <v>0</v>
      </c>
      <c r="AC107" s="2554"/>
      <c r="AD107" s="2050">
        <f>ROUND(SUM(AD98:AD105),1)</f>
        <v>81290.399999999994</v>
      </c>
      <c r="AE107" s="2050"/>
      <c r="AF107" s="2554"/>
      <c r="AG107" s="2050">
        <f>ROUND(SUM(AG98:AG105),1)</f>
        <v>71743.3</v>
      </c>
      <c r="AH107" s="3483"/>
      <c r="AI107" s="1462"/>
      <c r="AJ107" s="2054">
        <f>ROUND(SUM(AJ98:AJ105),1)</f>
        <v>9547.1</v>
      </c>
      <c r="AK107" s="2437"/>
      <c r="AL107" s="2573">
        <f>ROUND(SUM(+AJ107/AG107),3)</f>
        <v>0.13300000000000001</v>
      </c>
    </row>
    <row r="108" spans="1:46" ht="15" customHeight="1">
      <c r="A108" s="2044"/>
      <c r="B108" s="2044"/>
      <c r="C108" s="2044"/>
      <c r="D108" s="2005"/>
      <c r="F108" s="2005"/>
      <c r="H108" s="2493"/>
      <c r="J108" s="2493"/>
      <c r="L108" s="2005"/>
      <c r="N108" s="2005"/>
      <c r="P108" s="2005"/>
      <c r="R108" s="2005"/>
      <c r="T108" s="2051"/>
      <c r="V108" s="2005"/>
      <c r="X108" s="2005"/>
      <c r="Z108" s="2005"/>
      <c r="AA108" s="2007"/>
      <c r="AB108" s="2006"/>
      <c r="AC108" s="2037"/>
      <c r="AD108" s="2051"/>
      <c r="AE108" s="1995"/>
      <c r="AF108" s="2039"/>
      <c r="AG108" s="2051"/>
      <c r="AH108" s="3480"/>
      <c r="AI108" s="2007"/>
      <c r="AJ108" s="1443"/>
      <c r="AL108" s="1432"/>
    </row>
    <row r="109" spans="1:46" ht="15" customHeight="1">
      <c r="A109" s="2044"/>
      <c r="B109" s="2427" t="s">
        <v>157</v>
      </c>
      <c r="C109" s="2044"/>
      <c r="D109" s="2006"/>
      <c r="F109" s="2006"/>
      <c r="H109" s="1443"/>
      <c r="J109" s="1443"/>
      <c r="L109" s="2006"/>
      <c r="N109" s="2006"/>
      <c r="P109" s="2006"/>
      <c r="R109" s="2006"/>
      <c r="T109" s="1995"/>
      <c r="V109" s="2006"/>
      <c r="X109" s="2006"/>
      <c r="Z109" s="2006"/>
      <c r="AA109" s="2006"/>
      <c r="AB109" s="2006"/>
      <c r="AC109" s="2037"/>
      <c r="AD109" s="1995" t="s">
        <v>158</v>
      </c>
      <c r="AE109" s="3456"/>
      <c r="AF109" s="3457"/>
      <c r="AG109" s="1995"/>
      <c r="AH109" s="3485"/>
      <c r="AI109" s="2574"/>
      <c r="AJ109" s="1443"/>
      <c r="AL109" s="1432"/>
    </row>
    <row r="110" spans="1:46" ht="15" customHeight="1">
      <c r="A110" s="2044"/>
      <c r="B110" s="2427" t="s">
        <v>45</v>
      </c>
      <c r="C110" s="2044"/>
      <c r="D110" s="1461">
        <f>ROUND(SUM(D84-D107),1)</f>
        <v>4993.7</v>
      </c>
      <c r="F110" s="1461">
        <f>ROUND(SUM(F84-F107),1)</f>
        <v>4.5</v>
      </c>
      <c r="G110" s="1461">
        <f>ROUND(SUM(G84-G107),1)</f>
        <v>0</v>
      </c>
      <c r="H110" s="1461">
        <f>ROUND(SUM(H84-H107),1)</f>
        <v>2455.4</v>
      </c>
      <c r="J110" s="1461">
        <f>ROUND(SUM(J84-J107),1)</f>
        <v>-1109</v>
      </c>
      <c r="L110" s="1461">
        <f>ROUND(SUM(L84-L107),1)</f>
        <v>-448.2</v>
      </c>
      <c r="N110" s="1461">
        <f>ROUND(SUM(N84-N107),1)</f>
        <v>-3127.2</v>
      </c>
      <c r="P110" s="1461">
        <f>ROUND(SUM(P84-P107),1)</f>
        <v>2653.2</v>
      </c>
      <c r="R110" s="1461">
        <f>ROUND(SUM(R84-R107),1)</f>
        <v>-920.9</v>
      </c>
      <c r="T110" s="2050">
        <f>ROUND(SUM(T84-T107),1)</f>
        <v>-412.6</v>
      </c>
      <c r="V110" s="1461">
        <f>ROUND(SUM(V84-V107),1)</f>
        <v>-319.10000000000002</v>
      </c>
      <c r="X110" s="1461">
        <f>ROUND(SUM(X84-X107),1)</f>
        <v>0</v>
      </c>
      <c r="Z110" s="2050">
        <f>ROUND(SUM(Z84-Z107),1)</f>
        <v>0</v>
      </c>
      <c r="AA110" s="2050"/>
      <c r="AB110" s="2572">
        <v>0</v>
      </c>
      <c r="AC110" s="2554"/>
      <c r="AD110" s="2050">
        <f>ROUND(SUM(AD84-AD107),1)</f>
        <v>3769.8</v>
      </c>
      <c r="AE110" s="2050"/>
      <c r="AF110" s="2554"/>
      <c r="AG110" s="2050">
        <f>ROUND(SUM(AG84-AG107),1)</f>
        <v>3105.6</v>
      </c>
      <c r="AH110" s="3483"/>
      <c r="AI110" s="1462"/>
      <c r="AJ110" s="1559">
        <f>ROUND(SUM(AJ84-AJ107),1)</f>
        <v>664.2</v>
      </c>
      <c r="AK110" s="2428"/>
      <c r="AL110" s="1858">
        <f>ROUND(SUM(+AJ110/ABS(AG110)),3)</f>
        <v>0.214</v>
      </c>
    </row>
    <row r="111" spans="1:46" ht="15" customHeight="1">
      <c r="A111" s="2044"/>
      <c r="B111" s="2044"/>
      <c r="C111" s="2044"/>
      <c r="D111" s="2005"/>
      <c r="F111" s="2005"/>
      <c r="H111" s="2493"/>
      <c r="J111" s="2493"/>
      <c r="L111" s="2005"/>
      <c r="N111" s="2005"/>
      <c r="P111" s="2005"/>
      <c r="R111" s="2005"/>
      <c r="T111" s="2051"/>
      <c r="V111" s="2005"/>
      <c r="X111" s="2005"/>
      <c r="Z111" s="2051"/>
      <c r="AA111" s="1977"/>
      <c r="AB111" s="1995"/>
      <c r="AC111" s="2039"/>
      <c r="AD111" s="2051"/>
      <c r="AE111" s="1995"/>
      <c r="AF111" s="2039"/>
      <c r="AG111" s="2051"/>
      <c r="AH111" s="3480"/>
      <c r="AI111" s="1977"/>
      <c r="AJ111" s="2000"/>
      <c r="AL111" s="1432"/>
    </row>
    <row r="112" spans="1:46" ht="15" customHeight="1">
      <c r="A112" s="2044"/>
      <c r="B112" s="2427" t="s">
        <v>46</v>
      </c>
      <c r="C112" s="2044"/>
      <c r="D112" s="2006"/>
      <c r="F112" s="2006"/>
      <c r="H112" s="1443"/>
      <c r="J112" s="1443"/>
      <c r="L112" s="2006"/>
      <c r="N112" s="2006"/>
      <c r="P112" s="2006"/>
      <c r="R112" s="2006"/>
      <c r="T112" s="1995"/>
      <c r="V112" s="2006"/>
      <c r="X112" s="2006"/>
      <c r="Z112" s="2000" t="s">
        <v>15</v>
      </c>
      <c r="AA112" s="1995"/>
      <c r="AB112" s="1995"/>
      <c r="AC112" s="2039"/>
      <c r="AD112" s="1995"/>
      <c r="AE112" s="1995"/>
      <c r="AF112" s="2039"/>
      <c r="AG112" s="1995"/>
      <c r="AH112" s="3480"/>
      <c r="AI112" s="1977"/>
      <c r="AJ112" s="2000"/>
      <c r="AL112" s="1432"/>
    </row>
    <row r="113" spans="1:49" s="2185" customFormat="1" ht="15" customHeight="1">
      <c r="A113" s="2465"/>
      <c r="B113" s="2465" t="s">
        <v>173</v>
      </c>
      <c r="C113" s="2465"/>
      <c r="D113" s="2575">
        <f>+'Exhibit G State'!D111+'Exhibit G Federal'!D85</f>
        <v>222.7</v>
      </c>
      <c r="E113" s="2032"/>
      <c r="F113" s="2575">
        <f>+'Exhibit G State'!F111+'Exhibit G Federal'!F85</f>
        <v>41.5</v>
      </c>
      <c r="G113" s="2032"/>
      <c r="H113" s="2575">
        <f>+'Exhibit G State'!H111+'Exhibit G Federal'!H85</f>
        <v>897.40000000000009</v>
      </c>
      <c r="I113" s="2575"/>
      <c r="J113" s="2575">
        <f>+'Exhibit G State'!J111+'Exhibit G Federal'!J85</f>
        <v>135.59999999999991</v>
      </c>
      <c r="K113" s="2542"/>
      <c r="L113" s="2575">
        <f>+'Exhibit G State'!L111+'Exhibit G Federal'!L85</f>
        <v>116</v>
      </c>
      <c r="M113" s="2542"/>
      <c r="N113" s="2575">
        <f>+'Exhibit G State'!N111+'Exhibit G Federal'!N85</f>
        <v>206.09999999999991</v>
      </c>
      <c r="O113" s="2542"/>
      <c r="P113" s="2575">
        <f>+'Exhibit G State'!P111+'Exhibit G Federal'!P85</f>
        <v>505.89999999999986</v>
      </c>
      <c r="Q113" s="2542"/>
      <c r="R113" s="2575">
        <f>+'Exhibit G State'!R111+'Exhibit G Federal'!R85</f>
        <v>131</v>
      </c>
      <c r="S113" s="2542"/>
      <c r="T113" s="2575">
        <f>+'Exhibit G State'!T111+'Exhibit G Federal'!T85</f>
        <v>138.60000000000059</v>
      </c>
      <c r="U113" s="2542"/>
      <c r="V113" s="2575">
        <f>+'Exhibit G State'!V111+'Exhibit G Federal'!V85</f>
        <v>63.899999999999636</v>
      </c>
      <c r="W113" s="2542"/>
      <c r="X113" s="2575"/>
      <c r="Y113" s="2542"/>
      <c r="Z113" s="2575"/>
      <c r="AA113" s="2120"/>
      <c r="AB113" s="1789">
        <v>-569.4</v>
      </c>
      <c r="AC113" s="2039"/>
      <c r="AD113" s="1995">
        <f>ROUND(SUM(D113:AB113),1)</f>
        <v>1889.3</v>
      </c>
      <c r="AE113" s="1995"/>
      <c r="AF113" s="2039"/>
      <c r="AG113" s="2032">
        <f>'Exhibit G State'!AG111+'Exhibit G Federal'!AG85-440.8</f>
        <v>2064.6999999999998</v>
      </c>
      <c r="AH113" s="3480"/>
      <c r="AI113" s="1977"/>
      <c r="AJ113" s="2041">
        <f>ROUND(SUM(+AD113-AG113),1)</f>
        <v>-175.4</v>
      </c>
      <c r="AK113" s="2560"/>
      <c r="AL113" s="1724">
        <f>ROUND(IF(AG113=0,0,AJ113/ABS(AG113)),3)</f>
        <v>-8.5000000000000006E-2</v>
      </c>
    </row>
    <row r="114" spans="1:49" s="2185" customFormat="1" ht="15" customHeight="1">
      <c r="A114" s="2465"/>
      <c r="B114" s="2465" t="s">
        <v>174</v>
      </c>
      <c r="C114" s="2465"/>
      <c r="D114" s="2575">
        <f>+'Exhibit G State'!D112+'Exhibit G Federal'!D86</f>
        <v>-304.5</v>
      </c>
      <c r="E114" s="2032"/>
      <c r="F114" s="2575">
        <f>+'Exhibit G State'!F112+'Exhibit G Federal'!F86</f>
        <v>-129.80000000000001</v>
      </c>
      <c r="G114" s="2032"/>
      <c r="H114" s="2575">
        <f>+'Exhibit G State'!H112+'Exhibit G Federal'!H86</f>
        <v>-20.299999999999983</v>
      </c>
      <c r="I114" s="2542"/>
      <c r="J114" s="2575">
        <f>+'Exhibit G State'!J112+'Exhibit G Federal'!J86</f>
        <v>-266.59999999999997</v>
      </c>
      <c r="K114" s="2542"/>
      <c r="L114" s="2575">
        <f>+'Exhibit G State'!L112+'Exhibit G Federal'!L86</f>
        <v>-30.300000000000004</v>
      </c>
      <c r="M114" s="2542"/>
      <c r="N114" s="2575">
        <f>+'Exhibit G State'!N112+'Exhibit G Federal'!N86</f>
        <v>-438.80000000000013</v>
      </c>
      <c r="O114" s="2542"/>
      <c r="P114" s="2575">
        <f>+'Exhibit G State'!P112+'Exhibit G Federal'!P86</f>
        <v>-485.59999999999985</v>
      </c>
      <c r="Q114" s="2542"/>
      <c r="R114" s="2575">
        <f>+'Exhibit G State'!R112+'Exhibit G Federal'!R86</f>
        <v>-132.99999999999989</v>
      </c>
      <c r="S114" s="2542"/>
      <c r="T114" s="2575">
        <f>+'Exhibit G State'!T112+'Exhibit G Federal'!T86</f>
        <v>-208.29999999999984</v>
      </c>
      <c r="U114" s="2542"/>
      <c r="V114" s="2575">
        <f>+'Exhibit G State'!V112+'Exhibit G Federal'!V86</f>
        <v>-229.50000000000006</v>
      </c>
      <c r="W114" s="2542"/>
      <c r="X114" s="2575"/>
      <c r="Y114" s="2542"/>
      <c r="Z114" s="2575"/>
      <c r="AA114" s="2120"/>
      <c r="AB114" s="3435">
        <v>569.4</v>
      </c>
      <c r="AC114" s="2039"/>
      <c r="AD114" s="1995">
        <f>ROUND(SUM(D114:AB114),1)</f>
        <v>-1677.3</v>
      </c>
      <c r="AE114" s="1995"/>
      <c r="AF114" s="2039"/>
      <c r="AG114" s="2032">
        <f>'Exhibit G State'!AG112+'Exhibit G Federal'!AG86+440.8</f>
        <v>-1837.3</v>
      </c>
      <c r="AH114" s="3480"/>
      <c r="AI114" s="1977"/>
      <c r="AJ114" s="2041">
        <f>ROUND(SUM(+AD114-AG114)*-1,1)</f>
        <v>-160</v>
      </c>
      <c r="AK114" s="2560"/>
      <c r="AL114" s="1724">
        <f>ROUND(IF(AG114=0,0,AJ114/ABS(AG114)),3)</f>
        <v>-8.6999999999999994E-2</v>
      </c>
    </row>
    <row r="115" spans="1:49" ht="15" customHeight="1">
      <c r="A115" s="2044"/>
      <c r="B115" s="2044"/>
      <c r="C115" s="2044"/>
      <c r="D115" s="2005"/>
      <c r="F115" s="2005"/>
      <c r="H115" s="2005"/>
      <c r="J115" s="2005"/>
      <c r="L115" s="2005"/>
      <c r="N115" s="2005"/>
      <c r="P115" s="2005"/>
      <c r="R115" s="2005"/>
      <c r="T115" s="2051"/>
      <c r="V115" s="2005"/>
      <c r="X115" s="2005"/>
      <c r="Z115" s="2051"/>
      <c r="AA115" s="1977"/>
      <c r="AB115" s="1995"/>
      <c r="AC115" s="2039"/>
      <c r="AD115" s="2051"/>
      <c r="AE115" s="1995"/>
      <c r="AF115" s="2039"/>
      <c r="AG115" s="2051"/>
      <c r="AH115" s="3480"/>
      <c r="AI115" s="1977"/>
      <c r="AJ115" s="2570"/>
      <c r="AL115" s="1446"/>
    </row>
    <row r="116" spans="1:49" ht="15" customHeight="1">
      <c r="A116" s="2044"/>
      <c r="B116" s="2427" t="s">
        <v>1174</v>
      </c>
      <c r="C116" s="2044"/>
      <c r="D116" s="1461">
        <f>ROUND(SUM(D113:D114),1)</f>
        <v>-81.8</v>
      </c>
      <c r="F116" s="1461">
        <f>ROUND(SUM(F113:F114),1)</f>
        <v>-88.3</v>
      </c>
      <c r="H116" s="1461">
        <f>ROUND(SUM(H113:H114),1)</f>
        <v>877.1</v>
      </c>
      <c r="J116" s="1461">
        <f>ROUND(SUM(J113:J114),1)</f>
        <v>-131</v>
      </c>
      <c r="L116" s="1461">
        <f>ROUND(SUM(L113:L114),1)</f>
        <v>85.7</v>
      </c>
      <c r="N116" s="1461">
        <f>ROUND(SUM(N113:N114),1)</f>
        <v>-232.7</v>
      </c>
      <c r="P116" s="1461">
        <f>ROUND(SUM(P113:P114),1)</f>
        <v>20.3</v>
      </c>
      <c r="R116" s="1461">
        <f>ROUND(SUM(R113:R114),1)</f>
        <v>-2</v>
      </c>
      <c r="T116" s="2050">
        <f>ROUND(SUM(T113:T114),1)</f>
        <v>-69.7</v>
      </c>
      <c r="V116" s="1461">
        <f>ROUND(SUM(V113:V114),1)</f>
        <v>-165.6</v>
      </c>
      <c r="X116" s="1461">
        <f>ROUND(SUM(X113:X114),1)</f>
        <v>0</v>
      </c>
      <c r="Z116" s="1461">
        <f>ROUND(SUM(Z113:Z114),1)</f>
        <v>0</v>
      </c>
      <c r="AA116" s="1461"/>
      <c r="AB116" s="2563">
        <f>ROUND(SUM(AB113:AB114),1)</f>
        <v>0</v>
      </c>
      <c r="AC116" s="2040"/>
      <c r="AD116" s="2050">
        <f>ROUND(SUM(AD113:AD114),1)</f>
        <v>212</v>
      </c>
      <c r="AE116" s="2050"/>
      <c r="AF116" s="2554"/>
      <c r="AG116" s="2050">
        <f>ROUND(SUM(AG113:AG114),1)</f>
        <v>227.4</v>
      </c>
      <c r="AH116" s="3483"/>
      <c r="AI116" s="1444"/>
      <c r="AJ116" s="2052">
        <f>ROUND(SUM(AD116-AG116),1)</f>
        <v>-15.4</v>
      </c>
      <c r="AK116" s="2053"/>
      <c r="AL116" s="1436">
        <f>ROUND(SUM(+AJ116/AG116),3)</f>
        <v>-6.8000000000000005E-2</v>
      </c>
    </row>
    <row r="117" spans="1:49" ht="15" customHeight="1">
      <c r="A117" s="2044"/>
      <c r="B117" s="2044"/>
      <c r="C117" s="2044"/>
      <c r="D117" s="2005"/>
      <c r="F117" s="2005"/>
      <c r="H117" s="2005"/>
      <c r="J117" s="2005"/>
      <c r="L117" s="2005"/>
      <c r="N117" s="2005"/>
      <c r="P117" s="2005"/>
      <c r="R117" s="2005"/>
      <c r="T117" s="2051"/>
      <c r="V117" s="2005"/>
      <c r="X117" s="2005"/>
      <c r="Z117" s="2005"/>
      <c r="AA117" s="2007"/>
      <c r="AB117" s="2006"/>
      <c r="AC117" s="2037"/>
      <c r="AD117" s="2051"/>
      <c r="AE117" s="1995"/>
      <c r="AF117" s="2039"/>
      <c r="AG117" s="2051"/>
      <c r="AH117" s="3480"/>
      <c r="AI117" s="2007"/>
      <c r="AJ117" s="1443"/>
      <c r="AL117" s="1432"/>
    </row>
    <row r="118" spans="1:49" ht="15" customHeight="1">
      <c r="A118" s="2044"/>
      <c r="B118" s="2427" t="s">
        <v>165</v>
      </c>
      <c r="C118" s="2044"/>
      <c r="D118" s="2006"/>
      <c r="F118" s="2006"/>
      <c r="H118" s="2006"/>
      <c r="J118" s="2006"/>
      <c r="L118" s="2006"/>
      <c r="N118" s="2006"/>
      <c r="P118" s="2006"/>
      <c r="R118" s="2006"/>
      <c r="T118" s="1995"/>
      <c r="V118" s="2006"/>
      <c r="X118" s="2006"/>
      <c r="Z118" s="2006"/>
      <c r="AA118" s="2006"/>
      <c r="AB118" s="2006"/>
      <c r="AC118" s="2037"/>
      <c r="AD118" s="1995"/>
      <c r="AE118" s="1995"/>
      <c r="AF118" s="2039"/>
      <c r="AG118" s="1995"/>
      <c r="AH118" s="3480"/>
      <c r="AI118" s="2007"/>
      <c r="AJ118" s="1443"/>
      <c r="AL118" s="1432"/>
    </row>
    <row r="119" spans="1:49" ht="15" customHeight="1">
      <c r="A119" s="2044"/>
      <c r="B119" s="2427" t="s">
        <v>166</v>
      </c>
      <c r="C119" s="2044"/>
      <c r="D119" s="2006"/>
      <c r="F119" s="2006"/>
      <c r="H119" s="2006"/>
      <c r="J119" s="2006"/>
      <c r="L119" s="2006"/>
      <c r="N119" s="2006"/>
      <c r="P119" s="2006"/>
      <c r="R119" s="2006"/>
      <c r="T119" s="1995"/>
      <c r="V119" s="2006"/>
      <c r="X119" s="2006"/>
      <c r="Z119" s="2006"/>
      <c r="AA119" s="2006"/>
      <c r="AB119" s="2006"/>
      <c r="AC119" s="2037"/>
      <c r="AD119" s="1995"/>
      <c r="AE119" s="1995"/>
      <c r="AF119" s="2039"/>
      <c r="AG119" s="1995"/>
      <c r="AH119" s="3480"/>
      <c r="AI119" s="2007"/>
      <c r="AJ119" s="1443"/>
      <c r="AL119" s="1432"/>
    </row>
    <row r="120" spans="1:49" ht="15" customHeight="1">
      <c r="A120" s="2044"/>
      <c r="B120" s="2427" t="s">
        <v>1175</v>
      </c>
      <c r="C120" s="2044"/>
      <c r="D120" s="1461">
        <f>ROUND(SUM(D110+D116),1)</f>
        <v>4911.8999999999996</v>
      </c>
      <c r="F120" s="1461">
        <f>ROUND(SUM(F110+F116),1)</f>
        <v>-83.8</v>
      </c>
      <c r="H120" s="1461">
        <f>ROUND(SUM(H110+H116),1)</f>
        <v>3332.5</v>
      </c>
      <c r="J120" s="1461">
        <f>ROUND(SUM(J110+J116),1)</f>
        <v>-1240</v>
      </c>
      <c r="L120" s="1461">
        <f>ROUND(SUM(L110+L116),1)</f>
        <v>-362.5</v>
      </c>
      <c r="N120" s="1461">
        <f>ROUND(SUM(N110+N116),1)</f>
        <v>-3359.9</v>
      </c>
      <c r="P120" s="1461">
        <f>ROUND(SUM(P110+P116),1)</f>
        <v>2673.5</v>
      </c>
      <c r="R120" s="1461">
        <f>ROUND(SUM(R110+R116),1)</f>
        <v>-922.9</v>
      </c>
      <c r="T120" s="2050">
        <f>ROUND(SUM(T110+T116),1)</f>
        <v>-482.3</v>
      </c>
      <c r="V120" s="1461">
        <f>ROUND(SUM(V110+V116),1)</f>
        <v>-484.7</v>
      </c>
      <c r="X120" s="1461">
        <f>ROUND(SUM(X110+X116),1)</f>
        <v>0</v>
      </c>
      <c r="Z120" s="1461">
        <f>ROUND(SUM(Z110+Z116),1)</f>
        <v>0</v>
      </c>
      <c r="AA120" s="1461"/>
      <c r="AB120" s="2563">
        <f>ROUND(SUM(AB110+AB116),1)</f>
        <v>0</v>
      </c>
      <c r="AC120" s="2040"/>
      <c r="AD120" s="2050">
        <f>ROUND(SUM(AD110+AD116),1)</f>
        <v>3981.8</v>
      </c>
      <c r="AE120" s="2050"/>
      <c r="AF120" s="2554"/>
      <c r="AG120" s="2050">
        <f>ROUND(SUM(AG110+AG116),1)</f>
        <v>3333</v>
      </c>
      <c r="AH120" s="3483"/>
      <c r="AI120" s="1444"/>
      <c r="AJ120" s="2052">
        <f>ROUND(SUM(AD120-AG120),1)</f>
        <v>648.79999999999995</v>
      </c>
      <c r="AK120" s="2428"/>
      <c r="AL120" s="1858">
        <f>ROUND(SUM(AJ120/ABS(AG120)),3)</f>
        <v>0.19500000000000001</v>
      </c>
    </row>
    <row r="121" spans="1:49" ht="15" customHeight="1">
      <c r="A121" s="2044"/>
      <c r="B121" s="2044"/>
      <c r="C121" s="2044"/>
      <c r="D121" s="2448"/>
      <c r="F121" s="2448"/>
      <c r="H121" s="2448"/>
      <c r="J121" s="2448"/>
      <c r="L121" s="2448"/>
      <c r="N121" s="2448"/>
      <c r="P121" s="2448"/>
      <c r="R121" s="2448"/>
      <c r="T121" s="3054"/>
      <c r="V121" s="2448"/>
      <c r="X121" s="2448"/>
      <c r="Z121" s="2448"/>
      <c r="AA121" s="2021"/>
      <c r="AC121" s="2540"/>
      <c r="AD121" s="3054"/>
      <c r="AF121" s="3454"/>
      <c r="AG121" s="3054"/>
      <c r="AH121" s="3479"/>
      <c r="AI121" s="2021"/>
      <c r="AJ121" s="1433"/>
      <c r="AL121" s="1432"/>
    </row>
    <row r="122" spans="1:49" ht="15" customHeight="1" thickBot="1">
      <c r="A122" s="2044"/>
      <c r="B122" s="2427" t="s">
        <v>1176</v>
      </c>
      <c r="C122" s="2044"/>
      <c r="D122" s="2455">
        <f>ROUND(SUM(D13+D120),1)</f>
        <v>11224</v>
      </c>
      <c r="F122" s="2455">
        <f>ROUND(SUM(F13+F120),1)</f>
        <v>11140.2</v>
      </c>
      <c r="H122" s="2455">
        <f>ROUND(SUM(H13+H120),1)</f>
        <v>14472.7</v>
      </c>
      <c r="J122" s="2455">
        <f>ROUND(SUM(J13+J120),1)</f>
        <v>13232.7</v>
      </c>
      <c r="L122" s="2455">
        <f>ROUND(SUM(L13+L120),1)</f>
        <v>12870.2</v>
      </c>
      <c r="N122" s="2455">
        <f>ROUND(SUM(N13+N120),1)</f>
        <v>9510.2999999999993</v>
      </c>
      <c r="P122" s="2455">
        <f>ROUND(SUM(P13+P120),1)</f>
        <v>12183.8</v>
      </c>
      <c r="R122" s="2455">
        <f>ROUND(SUM(R13+R120),1)</f>
        <v>11260.9</v>
      </c>
      <c r="T122" s="2029">
        <f>ROUND(SUM(T13+T120),1)</f>
        <v>10778.6</v>
      </c>
      <c r="V122" s="2455">
        <f>ROUND(SUM(V13+V120),1)</f>
        <v>10293.9</v>
      </c>
      <c r="X122" s="2455">
        <f>ROUND(SUM(X13+X120),1)</f>
        <v>0</v>
      </c>
      <c r="Z122" s="2455">
        <f>ROUND(SUM(Z13+Z120),1)</f>
        <v>0</v>
      </c>
      <c r="AA122" s="2455"/>
      <c r="AB122" s="2576">
        <f>ROUND(SUM(AB13+AB120),1)</f>
        <v>0</v>
      </c>
      <c r="AC122" s="2537"/>
      <c r="AD122" s="2029">
        <f>ROUND(SUM(AD13+AD120),1)</f>
        <v>10293.9</v>
      </c>
      <c r="AE122" s="2029"/>
      <c r="AF122" s="3453"/>
      <c r="AG122" s="2513">
        <f>ROUND(SUM(AG13+AG120),1)</f>
        <v>7175.4</v>
      </c>
      <c r="AH122" s="3478"/>
      <c r="AI122" s="2019"/>
      <c r="AJ122" s="2517">
        <f>ROUND(SUM(AD122-AG122),1)</f>
        <v>3118.5</v>
      </c>
      <c r="AK122" s="2516"/>
      <c r="AL122" s="2518">
        <f>ROUND(SUM(+AJ122/AG122),3)</f>
        <v>0.435</v>
      </c>
      <c r="AM122" s="2024"/>
      <c r="AN122" s="2024"/>
      <c r="AO122" s="2024"/>
      <c r="AP122" s="2024"/>
      <c r="AQ122" s="2024"/>
      <c r="AR122" s="2024"/>
      <c r="AS122" s="2024"/>
      <c r="AT122" s="2024"/>
      <c r="AU122" s="2024"/>
      <c r="AV122" s="2024"/>
      <c r="AW122" s="2024"/>
    </row>
    <row r="123" spans="1:49" ht="15" customHeight="1" thickTop="1">
      <c r="A123" s="2044"/>
      <c r="B123" s="2044"/>
      <c r="C123" s="2044"/>
      <c r="D123" s="2577"/>
      <c r="F123" s="2577"/>
      <c r="H123" s="2577"/>
      <c r="J123" s="2577"/>
      <c r="L123" s="2577"/>
      <c r="N123" s="2577"/>
      <c r="P123" s="2577"/>
      <c r="R123" s="2577"/>
      <c r="T123" s="3055"/>
      <c r="V123" s="2577"/>
      <c r="X123" s="2577"/>
      <c r="Z123" s="2577"/>
      <c r="AA123" s="2578"/>
      <c r="AB123" s="2024"/>
      <c r="AC123" s="2024"/>
      <c r="AD123" s="3055"/>
      <c r="AE123" s="2191"/>
      <c r="AF123" s="2191"/>
      <c r="AG123" s="3056"/>
      <c r="AH123" s="3056"/>
      <c r="AI123" s="2024"/>
      <c r="AJ123" s="2579"/>
      <c r="AK123" s="2024"/>
      <c r="AL123" s="1432"/>
      <c r="AM123" s="2024"/>
      <c r="AN123" s="2024"/>
      <c r="AO123" s="2024"/>
      <c r="AP123" s="2024"/>
      <c r="AQ123" s="2024"/>
      <c r="AR123" s="2024"/>
      <c r="AS123" s="2024"/>
      <c r="AT123" s="2024"/>
      <c r="AU123" s="2024"/>
      <c r="AV123" s="2024"/>
      <c r="AW123" s="2024"/>
    </row>
    <row r="124" spans="1:49" ht="15" customHeight="1">
      <c r="A124" s="2044"/>
      <c r="B124" s="2044"/>
      <c r="C124" s="2044"/>
      <c r="D124" s="2578"/>
      <c r="F124" s="2578"/>
      <c r="H124" s="2578"/>
      <c r="J124" s="2578"/>
      <c r="L124" s="2578"/>
      <c r="N124" s="2578"/>
      <c r="P124" s="2578"/>
      <c r="R124" s="2578"/>
      <c r="T124" s="3056"/>
      <c r="V124" s="2578"/>
      <c r="X124" s="2578"/>
      <c r="Z124" s="2578"/>
      <c r="AA124" s="2578"/>
      <c r="AB124" s="3780" t="s">
        <v>15</v>
      </c>
      <c r="AC124" s="2578"/>
      <c r="AD124" s="3056"/>
      <c r="AE124" s="3056"/>
      <c r="AF124" s="3056"/>
      <c r="AG124" s="3056"/>
      <c r="AH124" s="3056"/>
      <c r="AI124" s="2024"/>
      <c r="AJ124" s="2579"/>
      <c r="AK124" s="2024"/>
      <c r="AL124" s="1432"/>
      <c r="AM124" s="2024"/>
      <c r="AN124" s="2024"/>
      <c r="AO124" s="2024"/>
      <c r="AP124" s="2024"/>
      <c r="AQ124" s="2024"/>
      <c r="AR124" s="2024"/>
      <c r="AS124" s="2024"/>
      <c r="AT124" s="2024"/>
      <c r="AU124" s="2024"/>
      <c r="AV124" s="2024"/>
      <c r="AW124" s="2024"/>
    </row>
    <row r="125" spans="1:49" ht="15" customHeight="1">
      <c r="A125" s="2527"/>
      <c r="B125" s="1433" t="s">
        <v>1262</v>
      </c>
      <c r="D125" s="2024"/>
      <c r="F125" s="2024"/>
      <c r="H125" s="2024"/>
      <c r="J125" s="2024"/>
      <c r="L125" s="2024"/>
      <c r="N125" s="2024"/>
      <c r="P125" s="2024"/>
      <c r="R125" s="2024"/>
      <c r="T125" s="2191"/>
      <c r="V125" s="2024"/>
      <c r="X125" s="2024"/>
      <c r="Z125" s="2024"/>
      <c r="AA125" s="2024"/>
      <c r="AB125" s="2579" t="s">
        <v>15</v>
      </c>
      <c r="AC125" s="2024"/>
      <c r="AD125" s="2191"/>
      <c r="AE125" s="2191"/>
      <c r="AF125" s="2191"/>
      <c r="AG125" s="2191"/>
      <c r="AH125" s="2191"/>
      <c r="AI125" s="2024"/>
      <c r="AJ125" s="2579"/>
      <c r="AK125" s="2024"/>
      <c r="AL125" s="1432"/>
      <c r="AM125" s="2024"/>
      <c r="AN125" s="2024"/>
      <c r="AO125" s="2024"/>
      <c r="AP125" s="2024"/>
      <c r="AQ125" s="2024"/>
      <c r="AR125" s="2024"/>
      <c r="AS125" s="2024"/>
      <c r="AT125" s="2024"/>
      <c r="AU125" s="2024"/>
      <c r="AV125" s="2024"/>
      <c r="AW125" s="2024"/>
    </row>
    <row r="126" spans="1:49" ht="15" customHeight="1">
      <c r="D126" s="2024"/>
      <c r="F126" s="2024"/>
      <c r="H126" s="2024"/>
      <c r="J126" s="2024"/>
      <c r="L126" s="2024"/>
      <c r="N126" s="2024"/>
      <c r="P126" s="2024"/>
      <c r="R126" s="2024"/>
      <c r="T126" s="2191"/>
      <c r="V126" s="2024"/>
      <c r="X126" s="2024"/>
      <c r="Z126" s="2024"/>
      <c r="AA126" s="2024"/>
      <c r="AB126" s="2024"/>
      <c r="AC126" s="2024"/>
      <c r="AD126" s="2191"/>
      <c r="AE126" s="2191"/>
      <c r="AF126" s="2191"/>
      <c r="AG126" s="2191"/>
      <c r="AH126" s="2191"/>
      <c r="AI126" s="2024"/>
      <c r="AJ126" s="2579"/>
      <c r="AK126" s="2024"/>
      <c r="AL126" s="1432"/>
      <c r="AM126" s="2024"/>
      <c r="AN126" s="2024"/>
      <c r="AO126" s="2024"/>
      <c r="AP126" s="2024"/>
      <c r="AQ126" s="2024"/>
      <c r="AR126" s="2024"/>
      <c r="AS126" s="2024"/>
      <c r="AT126" s="2024"/>
      <c r="AU126" s="2024"/>
      <c r="AV126" s="2024"/>
      <c r="AW126" s="2024"/>
    </row>
    <row r="127" spans="1:49" ht="15" customHeight="1">
      <c r="AJ127" s="1433"/>
      <c r="AL127" s="1432"/>
    </row>
    <row r="128" spans="1:49" ht="15" customHeight="1">
      <c r="AJ128" s="1433"/>
      <c r="AL128" s="1432"/>
    </row>
    <row r="129" spans="36:38" ht="15" customHeight="1">
      <c r="AJ129" s="1433"/>
      <c r="AL129" s="1432"/>
    </row>
    <row r="130" spans="36:38" ht="15" customHeight="1">
      <c r="AJ130" s="1433"/>
      <c r="AL130" s="1432"/>
    </row>
    <row r="131" spans="36:38" ht="15" customHeight="1">
      <c r="AJ131" s="1433"/>
      <c r="AL131" s="1432"/>
    </row>
    <row r="132" spans="36:38" ht="15" customHeight="1">
      <c r="AJ132" s="1433"/>
      <c r="AL132" s="1432"/>
    </row>
    <row r="133" spans="36:38" ht="15" customHeight="1">
      <c r="AJ133" s="1433"/>
      <c r="AL133" s="1432"/>
    </row>
    <row r="134" spans="36:38" ht="15" customHeight="1">
      <c r="AJ134" s="1433"/>
      <c r="AL134" s="1432"/>
    </row>
    <row r="135" spans="36:38" ht="15" customHeight="1">
      <c r="AJ135" s="1433"/>
      <c r="AL135" s="1432"/>
    </row>
    <row r="136" spans="36:38" ht="15" customHeight="1">
      <c r="AJ136" s="1433"/>
      <c r="AL136" s="1432"/>
    </row>
    <row r="137" spans="36:38" ht="15" customHeight="1">
      <c r="AJ137" s="1433"/>
      <c r="AL137" s="1432"/>
    </row>
    <row r="138" spans="36:38" ht="15" customHeight="1">
      <c r="AJ138" s="1433"/>
      <c r="AL138" s="1432"/>
    </row>
    <row r="139" spans="36:38" ht="15" customHeight="1">
      <c r="AJ139" s="1433"/>
      <c r="AL139" s="1432"/>
    </row>
    <row r="140" spans="36:38" ht="15" customHeight="1">
      <c r="AJ140" s="1433"/>
      <c r="AL140" s="1432"/>
    </row>
    <row r="141" spans="36:38" ht="15" customHeight="1">
      <c r="AJ141" s="1433"/>
      <c r="AL141" s="1432"/>
    </row>
    <row r="142" spans="36:38" ht="15" customHeight="1">
      <c r="AJ142" s="1433"/>
      <c r="AL142" s="1432"/>
    </row>
    <row r="143" spans="36:38" ht="15" customHeight="1">
      <c r="AJ143" s="1433"/>
      <c r="AL143" s="1432"/>
    </row>
    <row r="144" spans="36:38" ht="15" customHeight="1">
      <c r="AJ144" s="1433"/>
      <c r="AL144" s="1432"/>
    </row>
    <row r="145" spans="36:38" ht="15" customHeight="1">
      <c r="AJ145" s="1433"/>
      <c r="AL145" s="1432"/>
    </row>
    <row r="146" spans="36:38" ht="15" customHeight="1">
      <c r="AJ146" s="1433"/>
      <c r="AL146" s="1432"/>
    </row>
    <row r="147" spans="36:38" ht="15" customHeight="1">
      <c r="AJ147" s="1433"/>
      <c r="AL147" s="1432"/>
    </row>
    <row r="148" spans="36:38" ht="15" customHeight="1">
      <c r="AJ148" s="1433"/>
      <c r="AL148" s="1432"/>
    </row>
    <row r="149" spans="36:38" ht="15" customHeight="1">
      <c r="AJ149" s="1433"/>
      <c r="AL149" s="1432"/>
    </row>
    <row r="150" spans="36:38" ht="15" customHeight="1">
      <c r="AJ150" s="1433"/>
      <c r="AL150" s="1432"/>
    </row>
    <row r="151" spans="36:38" ht="15" customHeight="1">
      <c r="AJ151" s="1433"/>
      <c r="AL151" s="1432"/>
    </row>
    <row r="152" spans="36:38" ht="15" customHeight="1">
      <c r="AJ152" s="1433"/>
      <c r="AL152" s="1432"/>
    </row>
    <row r="153" spans="36:38" ht="15" customHeight="1">
      <c r="AJ153" s="1433"/>
      <c r="AL153" s="1432"/>
    </row>
    <row r="154" spans="36:38" ht="15" customHeight="1">
      <c r="AJ154" s="1433"/>
      <c r="AL154" s="1432"/>
    </row>
    <row r="155" spans="36:38" ht="15" customHeight="1">
      <c r="AJ155" s="1433"/>
      <c r="AL155" s="1432"/>
    </row>
    <row r="156" spans="36:38" ht="15" customHeight="1">
      <c r="AJ156" s="1433"/>
      <c r="AL156" s="1432"/>
    </row>
    <row r="157" spans="36:38" ht="15" customHeight="1">
      <c r="AJ157" s="1433"/>
      <c r="AL157" s="1432"/>
    </row>
    <row r="158" spans="36:38" ht="15" customHeight="1">
      <c r="AJ158" s="1433"/>
      <c r="AL158" s="1432"/>
    </row>
    <row r="159" spans="36:38" ht="15" customHeight="1">
      <c r="AJ159" s="1433"/>
      <c r="AL159" s="1432"/>
    </row>
    <row r="160" spans="36:38" ht="15" customHeight="1">
      <c r="AJ160" s="1433"/>
      <c r="AL160" s="1432"/>
    </row>
    <row r="161" spans="36:38" ht="15" customHeight="1">
      <c r="AJ161" s="1433"/>
      <c r="AL161" s="1432"/>
    </row>
    <row r="162" spans="36:38" ht="15" customHeight="1">
      <c r="AJ162" s="1433"/>
      <c r="AL162" s="1432"/>
    </row>
    <row r="163" spans="36:38" ht="15" customHeight="1">
      <c r="AJ163" s="1433"/>
      <c r="AL163" s="1432"/>
    </row>
    <row r="164" spans="36:38" ht="15" customHeight="1">
      <c r="AJ164" s="1433"/>
      <c r="AL164" s="1432"/>
    </row>
    <row r="165" spans="36:38" ht="15" customHeight="1">
      <c r="AJ165" s="1433"/>
      <c r="AL165" s="1432"/>
    </row>
    <row r="166" spans="36:38" ht="15" customHeight="1">
      <c r="AJ166" s="1433"/>
      <c r="AL166" s="1432"/>
    </row>
    <row r="167" spans="36:38" ht="15" customHeight="1">
      <c r="AJ167" s="1433"/>
      <c r="AL167" s="1432"/>
    </row>
    <row r="168" spans="36:38" ht="15" customHeight="1">
      <c r="AJ168" s="1433"/>
      <c r="AL168" s="1432"/>
    </row>
    <row r="169" spans="36:38" ht="15" customHeight="1"/>
    <row r="170" spans="36:38" ht="15" customHeight="1"/>
    <row r="171" spans="36:38" ht="15" customHeight="1"/>
    <row r="172" spans="36:38" ht="15" customHeight="1"/>
    <row r="173" spans="36:38" ht="15" customHeight="1"/>
    <row r="174" spans="36:38" ht="15" customHeight="1"/>
  </sheetData>
  <mergeCells count="1">
    <mergeCell ref="AC9:AL9"/>
  </mergeCells>
  <pageMargins left="0.25" right="0.25" top="0.5" bottom="0.25" header="0" footer="0.25"/>
  <pageSetup scale="36" firstPageNumber="22" orientation="landscape" useFirstPageNumber="1" r:id="rId1"/>
  <headerFooter scaleWithDoc="0" alignWithMargins="0">
    <oddFooter>&amp;C&amp;8&amp;P</oddFooter>
  </headerFooter>
  <rowBreaks count="1" manualBreakCount="1">
    <brk id="85" min="1" max="37" man="1"/>
  </rowBreaks>
  <ignoredErrors>
    <ignoredError sqref="AL108:AL109 AL117:AL119 AL121 AL123 AL49:AL50 AL24:AL25 AL76:AL83 AL85:AL88 AL99:AL102 AL111:AL113 AL19:AL20 AL106 AL63:AL67 AL28:AL32 AL115 AL52:AL60 AL90:AL95 AL34:AL35 AL36:AL47" unlockedFormula="1"/>
    <ignoredError sqref="AL73:AL75 AL71 AL22" formula="1" unlockedFormula="1"/>
    <ignoredError sqref="AJ23:AL23 AL51 AL69 AL89 AJ70"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6"/>
  <sheetViews>
    <sheetView showGridLines="0" topLeftCell="B11" zoomScale="130" zoomScaleNormal="130" workbookViewId="0"/>
  </sheetViews>
  <sheetFormatPr defaultColWidth="8.6640625" defaultRowHeight="11.25"/>
  <cols>
    <col min="1" max="1" width="35.109375" style="2235" customWidth="1"/>
    <col min="2" max="2" width="9.109375" style="2235" customWidth="1"/>
    <col min="3" max="3" width="5.5546875" style="2235" customWidth="1"/>
    <col min="4" max="4" width="12.6640625" style="2236" bestFit="1" customWidth="1"/>
    <col min="5" max="5" width="1.6640625" style="2235" customWidth="1"/>
    <col min="6" max="6" width="13.44140625" style="2235" customWidth="1"/>
    <col min="7" max="7" width="2.109375" style="2235" customWidth="1"/>
    <col min="8" max="8" width="12.6640625" style="2236" bestFit="1" customWidth="1"/>
    <col min="9" max="9" width="1.6640625" style="2235" customWidth="1"/>
    <col min="10" max="10" width="13.6640625" style="2235" customWidth="1"/>
    <col min="11" max="11" width="1.6640625" style="2235" customWidth="1"/>
    <col min="12" max="12" width="11.6640625" style="2236" customWidth="1"/>
    <col min="13" max="13" width="2" style="2235" customWidth="1"/>
    <col min="14" max="14" width="13.6640625" style="2235" customWidth="1"/>
    <col min="15" max="15" width="1.6640625" style="2235" customWidth="1"/>
    <col min="16" max="16" width="13" style="2235" customWidth="1"/>
    <col min="17" max="17" width="1.6640625" style="2235" customWidth="1"/>
    <col min="18" max="18" width="13.109375" style="2235" customWidth="1"/>
    <col min="19" max="21" width="1.109375" style="2235" customWidth="1"/>
    <col min="22" max="22" width="12.6640625" style="2236" bestFit="1" customWidth="1"/>
    <col min="23" max="23" width="1.6640625" style="2235" customWidth="1"/>
    <col min="24" max="24" width="13.6640625" style="2235" customWidth="1"/>
    <col min="25" max="27" width="1.109375" style="2235" customWidth="1"/>
    <col min="28" max="28" width="12.109375" style="3426" customWidth="1"/>
    <col min="29" max="29" width="1.6640625" style="2237" customWidth="1"/>
    <col min="30" max="30" width="13.6640625" style="2237" customWidth="1"/>
    <col min="31" max="31" width="1" style="2237" customWidth="1"/>
    <col min="32" max="32" width="1" style="2235" customWidth="1"/>
    <col min="33" max="33" width="13.109375" style="2235" bestFit="1" customWidth="1"/>
    <col min="34" max="34" width="1.6640625" style="2235" customWidth="1"/>
    <col min="35" max="35" width="12.6640625" style="2238" customWidth="1"/>
    <col min="36" max="36" width="19.109375" style="2235" customWidth="1"/>
    <col min="37" max="16384" width="8.6640625" style="2235"/>
  </cols>
  <sheetData>
    <row r="1" spans="1:38" ht="15">
      <c r="A1" s="2234" t="s">
        <v>963</v>
      </c>
    </row>
    <row r="2" spans="1:38" ht="15">
      <c r="A2" s="2234"/>
    </row>
    <row r="3" spans="1:38" ht="20.25">
      <c r="A3" s="2239" t="s">
        <v>0</v>
      </c>
      <c r="B3" s="2240"/>
      <c r="C3" s="2240"/>
      <c r="D3" s="2240"/>
      <c r="E3" s="2240"/>
      <c r="F3" s="2240"/>
      <c r="G3" s="2240"/>
      <c r="H3" s="2240"/>
      <c r="I3" s="2240"/>
      <c r="J3" s="2240"/>
      <c r="K3" s="2240"/>
      <c r="L3" s="2240"/>
      <c r="M3" s="2240"/>
      <c r="N3" s="2240"/>
      <c r="O3" s="2240"/>
      <c r="P3" s="2240"/>
      <c r="Q3" s="2240"/>
      <c r="R3" s="2240"/>
      <c r="S3" s="2240"/>
      <c r="T3" s="2240"/>
      <c r="U3" s="2240"/>
      <c r="V3" s="2240"/>
      <c r="W3" s="2240"/>
      <c r="X3" s="2240"/>
      <c r="Y3" s="2240"/>
      <c r="Z3" s="2240"/>
      <c r="AA3" s="2240"/>
      <c r="AB3" s="3385"/>
      <c r="AC3" s="3385"/>
      <c r="AD3" s="3385"/>
      <c r="AE3" s="2240"/>
      <c r="AF3" s="2240"/>
      <c r="AG3" s="2240"/>
      <c r="AH3" s="2240"/>
      <c r="AI3" s="2241" t="s">
        <v>2</v>
      </c>
      <c r="AJ3" s="2242"/>
    </row>
    <row r="4" spans="1:38" ht="20.25" customHeight="1">
      <c r="A4" s="3926" t="s">
        <v>1</v>
      </c>
      <c r="B4" s="3927"/>
      <c r="C4" s="3927"/>
      <c r="D4" s="3927"/>
      <c r="E4" s="3927"/>
      <c r="F4" s="3927"/>
      <c r="G4" s="3927"/>
      <c r="H4" s="3927"/>
      <c r="I4" s="3927"/>
      <c r="J4" s="3927"/>
      <c r="K4" s="3927"/>
      <c r="L4" s="3927"/>
      <c r="M4" s="3927"/>
      <c r="N4" s="3927"/>
      <c r="O4" s="3927"/>
      <c r="P4" s="3927"/>
      <c r="Q4" s="3927"/>
      <c r="R4" s="3927"/>
      <c r="S4" s="3927"/>
      <c r="T4" s="3927"/>
      <c r="U4" s="3927"/>
      <c r="V4" s="3927"/>
      <c r="W4" s="3927"/>
      <c r="X4" s="3927"/>
      <c r="Y4" s="3927"/>
      <c r="Z4" s="3927"/>
      <c r="AA4" s="3927"/>
      <c r="AB4" s="3927"/>
      <c r="AC4" s="3927"/>
      <c r="AD4" s="3927"/>
      <c r="AE4" s="3927"/>
      <c r="AF4" s="3927"/>
      <c r="AG4" s="3927"/>
      <c r="AH4" s="3927"/>
      <c r="AI4" s="3927"/>
      <c r="AJ4" s="2242"/>
    </row>
    <row r="5" spans="1:38" ht="20.25">
      <c r="A5" s="3926" t="s">
        <v>873</v>
      </c>
      <c r="B5" s="3928"/>
      <c r="C5" s="3928"/>
      <c r="D5" s="3928"/>
      <c r="E5" s="3928"/>
      <c r="F5" s="3928"/>
      <c r="G5" s="3928"/>
      <c r="H5" s="3928"/>
      <c r="I5" s="3928"/>
      <c r="J5" s="3928"/>
      <c r="K5" s="3928"/>
      <c r="L5" s="3928"/>
      <c r="M5" s="3928"/>
      <c r="N5" s="3928"/>
      <c r="O5" s="3928"/>
      <c r="P5" s="3928"/>
      <c r="Q5" s="3928"/>
      <c r="R5" s="3928"/>
      <c r="S5" s="3928"/>
      <c r="T5" s="3928"/>
      <c r="U5" s="3928"/>
      <c r="V5" s="3928"/>
      <c r="W5" s="3928"/>
      <c r="X5" s="3928"/>
      <c r="Y5" s="3928"/>
      <c r="Z5" s="3928"/>
      <c r="AA5" s="3928"/>
      <c r="AB5" s="3928"/>
      <c r="AC5" s="3928"/>
      <c r="AD5" s="3928"/>
      <c r="AE5" s="3927"/>
      <c r="AF5" s="3927"/>
      <c r="AG5" s="3927"/>
      <c r="AH5" s="3927"/>
      <c r="AI5" s="3927"/>
      <c r="AJ5" s="2242"/>
    </row>
    <row r="6" spans="1:38" ht="21" customHeight="1">
      <c r="A6" s="3926" t="s">
        <v>1363</v>
      </c>
      <c r="B6" s="3927"/>
      <c r="C6" s="3927"/>
      <c r="D6" s="3927"/>
      <c r="E6" s="3927"/>
      <c r="F6" s="3927"/>
      <c r="G6" s="3927"/>
      <c r="H6" s="3927"/>
      <c r="I6" s="3927"/>
      <c r="J6" s="3927"/>
      <c r="K6" s="3927"/>
      <c r="L6" s="3927"/>
      <c r="M6" s="3927"/>
      <c r="N6" s="3927"/>
      <c r="O6" s="3927"/>
      <c r="P6" s="3927"/>
      <c r="Q6" s="3927"/>
      <c r="R6" s="3927"/>
      <c r="S6" s="3927"/>
      <c r="T6" s="3927"/>
      <c r="U6" s="3927"/>
      <c r="V6" s="3927"/>
      <c r="W6" s="3927"/>
      <c r="X6" s="3927"/>
      <c r="Y6" s="3927"/>
      <c r="Z6" s="3927"/>
      <c r="AA6" s="3927"/>
      <c r="AB6" s="3927"/>
      <c r="AC6" s="3927"/>
      <c r="AD6" s="3927"/>
      <c r="AE6" s="3927"/>
      <c r="AF6" s="3927"/>
      <c r="AG6" s="3927"/>
      <c r="AH6" s="3927"/>
      <c r="AI6" s="3927"/>
      <c r="AJ6" s="2242"/>
    </row>
    <row r="7" spans="1:38" ht="15.75">
      <c r="A7" s="1"/>
      <c r="B7" s="1"/>
      <c r="C7" s="1"/>
      <c r="D7" s="2243"/>
      <c r="E7" s="1"/>
      <c r="F7" s="1"/>
      <c r="G7" s="1"/>
      <c r="H7" s="2244"/>
      <c r="I7" s="2"/>
      <c r="J7" s="2"/>
      <c r="K7" s="2"/>
      <c r="L7" s="2244"/>
      <c r="M7" s="1"/>
      <c r="N7" s="2"/>
      <c r="O7" s="2"/>
      <c r="P7" s="2"/>
      <c r="Q7" s="2"/>
      <c r="R7" s="2"/>
      <c r="S7" s="1"/>
      <c r="T7" s="1"/>
      <c r="U7" s="1"/>
      <c r="V7" s="2243"/>
      <c r="W7" s="1"/>
      <c r="X7" s="1"/>
      <c r="Y7" s="1"/>
      <c r="Z7" s="1"/>
      <c r="AA7" s="1"/>
      <c r="AB7" s="3427"/>
      <c r="AC7" s="2250"/>
      <c r="AD7" s="2245"/>
      <c r="AE7" s="2245"/>
      <c r="AF7" s="2246"/>
      <c r="AG7" s="2246"/>
      <c r="AJ7" s="2242"/>
      <c r="AK7" s="2242"/>
      <c r="AL7" s="2242"/>
    </row>
    <row r="8" spans="1:38" ht="16.350000000000001" customHeight="1">
      <c r="A8" s="2"/>
      <c r="B8" s="1"/>
      <c r="C8" s="1"/>
      <c r="D8" s="2244"/>
      <c r="E8" s="1"/>
      <c r="F8" s="1"/>
      <c r="G8" s="1"/>
      <c r="H8" s="2244"/>
      <c r="I8" s="2"/>
      <c r="J8" s="2"/>
      <c r="K8" s="2"/>
      <c r="L8" s="2244"/>
      <c r="M8" s="1"/>
      <c r="N8" s="2"/>
      <c r="O8" s="2"/>
      <c r="P8" s="2"/>
      <c r="Q8" s="2"/>
      <c r="R8" s="2"/>
      <c r="S8" s="1"/>
      <c r="T8" s="1"/>
      <c r="U8" s="1"/>
      <c r="V8" s="2243"/>
      <c r="W8" s="1"/>
      <c r="X8" s="1"/>
      <c r="Y8" s="1"/>
      <c r="Z8" s="1"/>
      <c r="AA8" s="1"/>
      <c r="AB8" s="3427"/>
      <c r="AC8" s="2250"/>
      <c r="AD8" s="2247"/>
      <c r="AE8" s="2247"/>
      <c r="AF8" s="2248"/>
      <c r="AG8" s="2248"/>
      <c r="AI8" s="2242"/>
      <c r="AJ8" s="2242"/>
      <c r="AK8" s="2242"/>
      <c r="AL8" s="2242"/>
    </row>
    <row r="9" spans="1:38" ht="16.350000000000001" customHeight="1">
      <c r="A9" s="1"/>
      <c r="B9" s="1"/>
      <c r="C9" s="1"/>
      <c r="D9" s="1"/>
      <c r="E9" s="1"/>
      <c r="F9" s="1"/>
      <c r="G9" s="1"/>
      <c r="H9" s="2"/>
      <c r="I9" s="2"/>
      <c r="J9" s="2"/>
      <c r="K9" s="2"/>
      <c r="L9" s="2"/>
      <c r="M9" s="1"/>
      <c r="N9" s="2"/>
      <c r="O9" s="2"/>
      <c r="P9" s="2"/>
      <c r="Q9" s="2"/>
      <c r="R9" s="2"/>
      <c r="S9" s="1"/>
      <c r="T9" s="1"/>
      <c r="U9" s="2249"/>
      <c r="V9" s="1"/>
      <c r="W9" s="1"/>
      <c r="X9" s="1"/>
      <c r="Y9" s="1"/>
      <c r="Z9" s="1"/>
      <c r="AA9" s="1"/>
      <c r="AB9" s="2250"/>
      <c r="AC9" s="2250"/>
      <c r="AD9" s="2251"/>
      <c r="AE9" s="2251"/>
      <c r="AF9" s="2252"/>
      <c r="AG9" s="2252"/>
      <c r="AI9" s="2234"/>
      <c r="AJ9" s="2242"/>
      <c r="AK9" s="2242"/>
      <c r="AL9" s="2242"/>
    </row>
    <row r="10" spans="1:38" ht="16.350000000000001" customHeight="1">
      <c r="A10" s="2253"/>
      <c r="B10" s="2253"/>
      <c r="C10" s="2253"/>
      <c r="D10" s="3" t="s">
        <v>3</v>
      </c>
      <c r="E10" s="3"/>
      <c r="F10" s="3"/>
      <c r="G10" s="2252"/>
      <c r="H10" s="3" t="s">
        <v>4</v>
      </c>
      <c r="I10" s="3"/>
      <c r="J10" s="3"/>
      <c r="K10" s="2252"/>
      <c r="L10" s="3" t="s">
        <v>5</v>
      </c>
      <c r="M10" s="3"/>
      <c r="N10" s="3"/>
      <c r="O10" s="2252"/>
      <c r="P10" s="3" t="s">
        <v>6</v>
      </c>
      <c r="Q10" s="3"/>
      <c r="R10" s="3"/>
      <c r="S10" s="2252"/>
      <c r="T10" s="2254"/>
      <c r="U10" s="2254"/>
      <c r="V10" s="3929" t="s">
        <v>1514</v>
      </c>
      <c r="W10" s="3930"/>
      <c r="X10" s="3930"/>
      <c r="Y10" s="3930"/>
      <c r="Z10" s="3930"/>
      <c r="AA10" s="3930"/>
      <c r="AB10" s="3930"/>
      <c r="AC10" s="3930"/>
      <c r="AD10" s="3930"/>
      <c r="AE10" s="3930"/>
      <c r="AF10" s="3930"/>
      <c r="AG10" s="3930"/>
      <c r="AH10" s="3930"/>
      <c r="AI10" s="3930"/>
      <c r="AJ10" s="1429"/>
      <c r="AK10" s="2242"/>
      <c r="AL10" s="2242"/>
    </row>
    <row r="11" spans="1:38" ht="16.350000000000001" customHeight="1">
      <c r="A11" s="2253"/>
      <c r="B11" s="2253"/>
      <c r="C11" s="2253"/>
      <c r="D11" s="5" t="s">
        <v>7</v>
      </c>
      <c r="E11" s="5"/>
      <c r="F11" s="4" t="s">
        <v>1551</v>
      </c>
      <c r="G11" s="2248"/>
      <c r="H11" s="5" t="s">
        <v>7</v>
      </c>
      <c r="I11" s="5"/>
      <c r="J11" s="5" t="str">
        <f>F11</f>
        <v>10 MOS. ENDED</v>
      </c>
      <c r="K11" s="2248"/>
      <c r="L11" s="5" t="s">
        <v>7</v>
      </c>
      <c r="M11" s="5"/>
      <c r="N11" s="5" t="str">
        <f>F11</f>
        <v>10 MOS. ENDED</v>
      </c>
      <c r="O11" s="2248"/>
      <c r="P11" s="5" t="s">
        <v>7</v>
      </c>
      <c r="Q11" s="5"/>
      <c r="R11" s="5" t="str">
        <f>J11</f>
        <v>10 MOS. ENDED</v>
      </c>
      <c r="S11" s="2248"/>
      <c r="T11" s="2248"/>
      <c r="U11" s="2255"/>
      <c r="V11" s="5" t="s">
        <v>7</v>
      </c>
      <c r="W11" s="5"/>
      <c r="X11" s="5" t="str">
        <f>F11</f>
        <v>10 MOS. ENDED</v>
      </c>
      <c r="Y11" s="5"/>
      <c r="Z11" s="5"/>
      <c r="AA11" s="5"/>
      <c r="AB11" s="3436" t="s">
        <v>7</v>
      </c>
      <c r="AC11" s="3436"/>
      <c r="AD11" s="3863" t="str">
        <f>F11</f>
        <v>10 MOS. ENDED</v>
      </c>
      <c r="AE11" s="2256"/>
      <c r="AF11" s="5"/>
      <c r="AG11" s="5" t="s">
        <v>8</v>
      </c>
      <c r="AH11" s="2257"/>
      <c r="AI11" s="5" t="s">
        <v>9</v>
      </c>
      <c r="AJ11" s="2242"/>
      <c r="AK11" s="2242"/>
      <c r="AL11" s="2242"/>
    </row>
    <row r="12" spans="1:38" ht="16.350000000000001" customHeight="1">
      <c r="A12" s="2253"/>
      <c r="B12" s="2253"/>
      <c r="C12" s="2253"/>
      <c r="D12" s="904" t="s">
        <v>1555</v>
      </c>
      <c r="E12" s="2248"/>
      <c r="F12" s="904" t="s">
        <v>1554</v>
      </c>
      <c r="G12" s="2248"/>
      <c r="H12" s="6" t="str">
        <f>D12</f>
        <v>JAN. 2021</v>
      </c>
      <c r="I12" s="2248"/>
      <c r="J12" s="6" t="str">
        <f>F12</f>
        <v>JAN. 31, 2021</v>
      </c>
      <c r="K12" s="2248"/>
      <c r="L12" s="6" t="str">
        <f>D12</f>
        <v>JAN. 2021</v>
      </c>
      <c r="M12" s="2248"/>
      <c r="N12" s="6" t="str">
        <f>F12</f>
        <v>JAN. 31, 2021</v>
      </c>
      <c r="O12" s="2248"/>
      <c r="P12" s="6" t="str">
        <f>D12</f>
        <v>JAN. 2021</v>
      </c>
      <c r="Q12" s="2248"/>
      <c r="R12" s="6" t="str">
        <f>J12</f>
        <v>JAN. 31, 2021</v>
      </c>
      <c r="S12" s="2248"/>
      <c r="T12" s="2248"/>
      <c r="U12" s="2258"/>
      <c r="V12" s="6" t="str">
        <f>D12</f>
        <v>JAN. 2021</v>
      </c>
      <c r="W12" s="2248"/>
      <c r="X12" s="6" t="str">
        <f>F12</f>
        <v>JAN. 31, 2021</v>
      </c>
      <c r="Y12" s="2248"/>
      <c r="Z12" s="2248"/>
      <c r="AA12" s="2248"/>
      <c r="AB12" s="3424" t="s">
        <v>1553</v>
      </c>
      <c r="AC12" s="2360"/>
      <c r="AD12" s="3424" t="s">
        <v>1552</v>
      </c>
      <c r="AE12" s="4"/>
      <c r="AF12" s="4"/>
      <c r="AG12" s="6" t="s">
        <v>12</v>
      </c>
      <c r="AH12" s="2234"/>
      <c r="AI12" s="904" t="s">
        <v>13</v>
      </c>
      <c r="AJ12" s="1429"/>
      <c r="AK12" s="2242"/>
      <c r="AL12" s="2242"/>
    </row>
    <row r="13" spans="1:38" ht="16.350000000000001" customHeight="1">
      <c r="A13" s="2252" t="s">
        <v>14</v>
      </c>
      <c r="B13" s="2253"/>
      <c r="C13" s="2253"/>
      <c r="D13" s="2259" t="s">
        <v>15</v>
      </c>
      <c r="E13" s="2253"/>
      <c r="F13" s="7"/>
      <c r="G13" s="2253"/>
      <c r="H13" s="2259" t="s">
        <v>15</v>
      </c>
      <c r="I13" s="2253"/>
      <c r="J13" s="7"/>
      <c r="K13" s="2253"/>
      <c r="L13" s="2259" t="s">
        <v>15</v>
      </c>
      <c r="M13" s="2253"/>
      <c r="N13" s="7"/>
      <c r="O13" s="2253"/>
      <c r="P13" s="614" t="s">
        <v>15</v>
      </c>
      <c r="Q13" s="2260"/>
      <c r="R13" s="614"/>
      <c r="S13" s="2261"/>
      <c r="T13" s="2261"/>
      <c r="U13" s="7"/>
      <c r="V13" s="2259"/>
      <c r="W13" s="2253"/>
      <c r="X13" s="7"/>
      <c r="Y13" s="2261"/>
      <c r="Z13" s="2262"/>
      <c r="AA13" s="7"/>
      <c r="AB13" s="3428"/>
      <c r="AC13" s="2302"/>
      <c r="AD13" s="2263"/>
      <c r="AE13" s="2263"/>
      <c r="AF13" s="2264"/>
      <c r="AG13" s="7"/>
      <c r="AI13" s="1429"/>
      <c r="AJ13" s="1429"/>
      <c r="AK13" s="2242"/>
      <c r="AL13" s="2242"/>
    </row>
    <row r="14" spans="1:38" ht="18" customHeight="1">
      <c r="A14" s="2253" t="s">
        <v>16</v>
      </c>
      <c r="B14" s="2265">
        <v>-3</v>
      </c>
      <c r="C14" s="2253"/>
      <c r="D14" s="1362">
        <f>+'Exhibit F'!V26</f>
        <v>2754.5</v>
      </c>
      <c r="E14" s="2266" t="s">
        <v>15</v>
      </c>
      <c r="F14" s="656">
        <f>+'Exhibit F'!AC26</f>
        <v>21117</v>
      </c>
      <c r="G14" s="2266"/>
      <c r="H14" s="1362">
        <f>'Exhibit G'!V17</f>
        <v>1972</v>
      </c>
      <c r="I14" s="2267"/>
      <c r="J14" s="656">
        <f>'Exhibit G'!AD17</f>
        <v>2008.6</v>
      </c>
      <c r="K14" s="2266"/>
      <c r="L14" s="1422">
        <f>+'Exhibit H'!T16</f>
        <v>4726.4999999999991</v>
      </c>
      <c r="M14" s="656"/>
      <c r="N14" s="656">
        <f>+'Exhibit H'!AA16</f>
        <v>23125.599999999999</v>
      </c>
      <c r="O14" s="656"/>
      <c r="P14" s="673">
        <v>0</v>
      </c>
      <c r="Q14" s="1362"/>
      <c r="R14" s="673">
        <v>0</v>
      </c>
      <c r="S14" s="2268"/>
      <c r="T14" s="2268"/>
      <c r="U14" s="2269"/>
      <c r="V14" s="1362">
        <f t="shared" ref="V14:V19" si="0">ROUND(SUM(D14)+SUM(H14)+SUM(L14)+SUM(P14),1)</f>
        <v>9453</v>
      </c>
      <c r="W14" s="656" t="s">
        <v>15</v>
      </c>
      <c r="X14" s="656">
        <f>ROUND(SUM(F14)+SUM(J14)+SUM(N14)+SUM(R14),1)</f>
        <v>46251.199999999997</v>
      </c>
      <c r="Y14" s="2270"/>
      <c r="Z14" s="2271"/>
      <c r="AA14" s="2272"/>
      <c r="AB14" s="3429">
        <v>8899.1999999999989</v>
      </c>
      <c r="AC14" s="3386"/>
      <c r="AD14" s="1807">
        <f>'Exhibit F'!AF26+'Exhibit G'!AG17+'Exhibit H'!AD16</f>
        <v>46216.399999999994</v>
      </c>
      <c r="AE14" s="1807"/>
      <c r="AF14" s="2273"/>
      <c r="AG14" s="2266">
        <f t="shared" ref="AG14:AG19" si="1">ROUND(SUM(X14-AD14),1)</f>
        <v>34.799999999999997</v>
      </c>
      <c r="AH14" s="2274"/>
      <c r="AI14" s="1426">
        <f t="shared" ref="AI14:AI19" si="2">ROUND(SUM((+X14-AD14)/ABS(AD14)),3)</f>
        <v>1E-3</v>
      </c>
      <c r="AJ14" s="2275"/>
      <c r="AK14" s="2242"/>
      <c r="AL14" s="2242"/>
    </row>
    <row r="15" spans="1:38" ht="18" customHeight="1">
      <c r="A15" s="2253" t="s">
        <v>17</v>
      </c>
      <c r="B15" s="2265" t="s">
        <v>15</v>
      </c>
      <c r="C15" s="2253"/>
      <c r="D15" s="616">
        <f>+'Exhibit F'!V36</f>
        <v>663.1</v>
      </c>
      <c r="E15" s="9"/>
      <c r="F15" s="9">
        <f>+'Exhibit F'!AC36</f>
        <v>6055.6</v>
      </c>
      <c r="G15" s="9"/>
      <c r="H15" s="616">
        <f>'Exhibit G'!V28</f>
        <v>153.4</v>
      </c>
      <c r="I15" s="9"/>
      <c r="J15" s="9">
        <f>+'Exhibit G'!AD28</f>
        <v>1489</v>
      </c>
      <c r="K15" s="9"/>
      <c r="L15" s="1421">
        <f>'Exhibit H'!T20</f>
        <v>597.79999999999995</v>
      </c>
      <c r="M15" s="9"/>
      <c r="N15" s="9">
        <f>+'Exhibit H'!AA20</f>
        <v>5510.1</v>
      </c>
      <c r="O15" s="9"/>
      <c r="P15" s="1421">
        <f>'Exhibit I'!W23</f>
        <v>35.1</v>
      </c>
      <c r="Q15" s="616"/>
      <c r="R15" s="1421">
        <f>+'Exhibit I'!AF23</f>
        <v>438.4</v>
      </c>
      <c r="S15" s="2277"/>
      <c r="T15" s="2277"/>
      <c r="U15" s="14"/>
      <c r="V15" s="616">
        <f>ROUND(SUM(D15)+SUM(H15)+SUM(L15)+SUM(P15),1)</f>
        <v>1449.4</v>
      </c>
      <c r="W15" s="9" t="s">
        <v>15</v>
      </c>
      <c r="X15" s="22">
        <f t="shared" ref="X15:X19" si="3">ROUND(SUM(F15)+SUM(J15)+SUM(N15)+SUM(R15),1)</f>
        <v>13493.1</v>
      </c>
      <c r="Y15" s="2277"/>
      <c r="Z15" s="2278"/>
      <c r="AA15" s="14"/>
      <c r="AB15" s="2041">
        <v>1546.8</v>
      </c>
      <c r="AC15" s="22"/>
      <c r="AD15" s="2263">
        <f>'Exhibit F'!AF36+'Exhibit G'!AG28+'Exhibit H'!AD20+'Exhibit I'!AI23</f>
        <v>15314.2</v>
      </c>
      <c r="AE15" s="1425"/>
      <c r="AF15" s="2279"/>
      <c r="AG15" s="9">
        <f t="shared" si="1"/>
        <v>-1821.1</v>
      </c>
      <c r="AI15" s="1426">
        <f t="shared" si="2"/>
        <v>-0.11899999999999999</v>
      </c>
      <c r="AJ15" s="7"/>
      <c r="AK15" s="2242"/>
      <c r="AL15" s="2242"/>
    </row>
    <row r="16" spans="1:38" ht="18" customHeight="1">
      <c r="A16" s="2253" t="s">
        <v>18</v>
      </c>
      <c r="B16" s="2280"/>
      <c r="C16" s="2253"/>
      <c r="D16" s="616">
        <f>+'Exhibit F'!V43</f>
        <v>-29.7</v>
      </c>
      <c r="E16" s="9"/>
      <c r="F16" s="9">
        <f>+'Exhibit F'!AC43</f>
        <v>4440.3999999999996</v>
      </c>
      <c r="G16" s="9"/>
      <c r="H16" s="616">
        <f>'Exhibit G'!V35</f>
        <v>104.2</v>
      </c>
      <c r="I16" s="9"/>
      <c r="J16" s="9">
        <f>'Exhibit G'!AD35</f>
        <v>1355.1</v>
      </c>
      <c r="K16" s="9"/>
      <c r="L16" s="619">
        <v>0</v>
      </c>
      <c r="M16" s="9"/>
      <c r="N16" s="10">
        <v>0</v>
      </c>
      <c r="O16" s="9"/>
      <c r="P16" s="1421">
        <f>'Exhibit I'!W28</f>
        <v>42.9</v>
      </c>
      <c r="Q16" s="616"/>
      <c r="R16" s="1421">
        <f>'Exhibit I'!AF28</f>
        <v>452.8</v>
      </c>
      <c r="S16" s="2277"/>
      <c r="T16" s="2277"/>
      <c r="U16" s="14"/>
      <c r="V16" s="616">
        <f t="shared" si="0"/>
        <v>117.4</v>
      </c>
      <c r="W16" s="9" t="s">
        <v>15</v>
      </c>
      <c r="X16" s="22">
        <f t="shared" si="3"/>
        <v>6248.3</v>
      </c>
      <c r="Y16" s="2277"/>
      <c r="Z16" s="2278"/>
      <c r="AA16" s="14"/>
      <c r="AB16" s="2041">
        <v>251.5</v>
      </c>
      <c r="AC16" s="22"/>
      <c r="AD16" s="2263">
        <f>'Exhibit F'!AF43+'Exhibit G'!AG35+'Exhibit I'!AI28</f>
        <v>6595.2</v>
      </c>
      <c r="AE16" s="1425"/>
      <c r="AF16" s="2279"/>
      <c r="AG16" s="9">
        <f t="shared" si="1"/>
        <v>-346.9</v>
      </c>
      <c r="AI16" s="1426">
        <f t="shared" si="2"/>
        <v>-5.2999999999999999E-2</v>
      </c>
      <c r="AJ16" s="7"/>
      <c r="AK16" s="2242"/>
      <c r="AL16" s="2242"/>
    </row>
    <row r="17" spans="1:38" ht="18" customHeight="1">
      <c r="A17" s="2253" t="s">
        <v>19</v>
      </c>
      <c r="B17" s="2265" t="s">
        <v>15</v>
      </c>
      <c r="C17" s="2253"/>
      <c r="D17" s="616">
        <f>+'Exhibit F'!V51</f>
        <v>294.5</v>
      </c>
      <c r="E17" s="9"/>
      <c r="F17" s="9">
        <f>+'Exhibit F'!AC51</f>
        <v>1260.2</v>
      </c>
      <c r="G17" s="9"/>
      <c r="H17" s="616">
        <v>0</v>
      </c>
      <c r="I17" s="9"/>
      <c r="J17" s="9">
        <v>0</v>
      </c>
      <c r="K17" s="9"/>
      <c r="L17" s="1421">
        <f>'Exhibit H'!T24</f>
        <v>111.2</v>
      </c>
      <c r="M17" s="9"/>
      <c r="N17" s="9">
        <f>+'Exhibit H'!AA24</f>
        <v>675.4</v>
      </c>
      <c r="O17" s="9"/>
      <c r="P17" s="1421">
        <f>'Exhibit I'!W31</f>
        <v>11.9</v>
      </c>
      <c r="Q17" s="616"/>
      <c r="R17" s="1421">
        <f>'Exhibit I'!AF31</f>
        <v>95.3</v>
      </c>
      <c r="S17" s="2277"/>
      <c r="T17" s="2277"/>
      <c r="U17" s="14"/>
      <c r="V17" s="616">
        <f t="shared" si="0"/>
        <v>417.6</v>
      </c>
      <c r="W17" s="9" t="s">
        <v>15</v>
      </c>
      <c r="X17" s="22">
        <f t="shared" si="3"/>
        <v>2030.9</v>
      </c>
      <c r="Y17" s="2277"/>
      <c r="Z17" s="2278"/>
      <c r="AA17" s="14"/>
      <c r="AB17" s="2041">
        <v>189.4</v>
      </c>
      <c r="AC17" s="22"/>
      <c r="AD17" s="1425">
        <f>'Exhibit F'!AF51+'Exhibit H'!AD24+'Exhibit I'!AI31</f>
        <v>1875.7</v>
      </c>
      <c r="AE17" s="1425"/>
      <c r="AF17" s="2279"/>
      <c r="AG17" s="9">
        <f t="shared" si="1"/>
        <v>155.19999999999999</v>
      </c>
      <c r="AI17" s="1426">
        <f t="shared" si="2"/>
        <v>8.3000000000000004E-2</v>
      </c>
      <c r="AJ17" s="2263"/>
      <c r="AK17" s="2242"/>
      <c r="AL17" s="2242"/>
    </row>
    <row r="18" spans="1:38" ht="18" customHeight="1">
      <c r="A18" s="2253" t="s">
        <v>20</v>
      </c>
      <c r="B18" s="2265" t="s">
        <v>15</v>
      </c>
      <c r="C18" s="2253"/>
      <c r="D18" s="616">
        <f>+'Exhibit F'!V92</f>
        <v>127.2</v>
      </c>
      <c r="E18" s="9"/>
      <c r="F18" s="9">
        <f>+'Exhibit F'!AC92</f>
        <v>6706.9</v>
      </c>
      <c r="G18" s="9"/>
      <c r="H18" s="616">
        <f>'Exhibit G'!V80</f>
        <v>1528.3</v>
      </c>
      <c r="I18" s="9"/>
      <c r="J18" s="9">
        <f>+'Exhibit G'!AD80</f>
        <v>13842.9</v>
      </c>
      <c r="K18" s="9"/>
      <c r="L18" s="1421">
        <f>+'Exhibit H'!T47</f>
        <v>18.5</v>
      </c>
      <c r="M18" s="9"/>
      <c r="N18" s="9">
        <f>+'Exhibit H'!AA47</f>
        <v>344.1</v>
      </c>
      <c r="O18" s="9"/>
      <c r="P18" s="1421">
        <f>+'Exhibit I'!W61</f>
        <v>78.7</v>
      </c>
      <c r="Q18" s="616"/>
      <c r="R18" s="616">
        <f>+'Exhibit I'!AF61</f>
        <v>4838.8</v>
      </c>
      <c r="S18" s="2277"/>
      <c r="T18" s="2277"/>
      <c r="U18" s="14"/>
      <c r="V18" s="616">
        <f>ROUND(SUM(D18)+SUM(H18)+SUM(L18)+SUM(P18),1)</f>
        <v>1752.7</v>
      </c>
      <c r="W18" s="9" t="s">
        <v>15</v>
      </c>
      <c r="X18" s="22">
        <f t="shared" si="3"/>
        <v>25732.7</v>
      </c>
      <c r="Y18" s="2277"/>
      <c r="Z18" s="2278"/>
      <c r="AA18" s="14"/>
      <c r="AB18" s="2041">
        <v>2945.7</v>
      </c>
      <c r="AC18" s="22"/>
      <c r="AD18" s="1425">
        <f>'Exhibit F'!AF92+'Exhibit G'!AG80+'Exhibit H'!AD47+'Exhibit I'!AI61</f>
        <v>23490.100000000002</v>
      </c>
      <c r="AE18" s="1425"/>
      <c r="AF18" s="2279"/>
      <c r="AG18" s="9">
        <f t="shared" si="1"/>
        <v>2242.6</v>
      </c>
      <c r="AI18" s="1426">
        <f t="shared" si="2"/>
        <v>9.5000000000000001E-2</v>
      </c>
      <c r="AJ18" s="7"/>
      <c r="AK18" s="2242"/>
      <c r="AL18" s="2242"/>
    </row>
    <row r="19" spans="1:38" ht="18" customHeight="1">
      <c r="A19" s="2253" t="s">
        <v>21</v>
      </c>
      <c r="B19" s="2281"/>
      <c r="C19" s="2253"/>
      <c r="D19" s="616">
        <f>+'Exhibit F'!V94</f>
        <v>0</v>
      </c>
      <c r="E19" s="14"/>
      <c r="F19" s="9">
        <f>+'Exhibit F'!AC94</f>
        <v>0.2</v>
      </c>
      <c r="G19" s="9"/>
      <c r="H19" s="616">
        <f>'Exhibit G'!V82</f>
        <v>5782.6999999999971</v>
      </c>
      <c r="I19" s="9"/>
      <c r="J19" s="9">
        <f>+'Exhibit G'!AD82</f>
        <v>66364.600000000006</v>
      </c>
      <c r="K19" s="9"/>
      <c r="L19" s="1421">
        <f>+'Exhibit H'!T49</f>
        <v>0</v>
      </c>
      <c r="M19" s="14"/>
      <c r="N19" s="9">
        <f>+'Exhibit H'!AA49</f>
        <v>36.9</v>
      </c>
      <c r="O19" s="9"/>
      <c r="P19" s="1421">
        <f>+'Exhibit I'!W63</f>
        <v>125.90000000000018</v>
      </c>
      <c r="Q19" s="616"/>
      <c r="R19" s="616">
        <f>+'Exhibit I'!AF63</f>
        <v>1673</v>
      </c>
      <c r="S19" s="2277"/>
      <c r="T19" s="2277"/>
      <c r="U19" s="14"/>
      <c r="V19" s="617">
        <f t="shared" si="0"/>
        <v>5908.6</v>
      </c>
      <c r="W19" s="9" t="s">
        <v>15</v>
      </c>
      <c r="X19" s="1425">
        <f t="shared" si="3"/>
        <v>68074.7</v>
      </c>
      <c r="Y19" s="2277"/>
      <c r="Z19" s="2278"/>
      <c r="AA19" s="14"/>
      <c r="AB19" s="2041">
        <v>5728.8</v>
      </c>
      <c r="AC19" s="22"/>
      <c r="AD19" s="1425">
        <f>'Exhibit F'!AF94+'Exhibit G'!AG82+'Exhibit H'!AD49+'Exhibit I'!AI63</f>
        <v>55464.200000000004</v>
      </c>
      <c r="AE19" s="1425"/>
      <c r="AF19" s="2279"/>
      <c r="AG19" s="9">
        <f t="shared" si="1"/>
        <v>12610.5</v>
      </c>
      <c r="AI19" s="1426">
        <f t="shared" si="2"/>
        <v>0.22700000000000001</v>
      </c>
      <c r="AJ19" s="7"/>
      <c r="AK19" s="2242"/>
      <c r="AL19" s="2242"/>
    </row>
    <row r="20" spans="1:38" ht="18" customHeight="1">
      <c r="A20" s="2252" t="s">
        <v>22</v>
      </c>
      <c r="B20" s="2253"/>
      <c r="C20" s="2253"/>
      <c r="D20" s="11">
        <f>ROUND(SUM(D14:D19),1)</f>
        <v>3809.6</v>
      </c>
      <c r="E20" s="2282"/>
      <c r="F20" s="11">
        <f>ROUND(SUM(F14:F19),1)</f>
        <v>39580.300000000003</v>
      </c>
      <c r="G20" s="1364"/>
      <c r="H20" s="12">
        <f>ROUND(SUM(H14:H19),1)</f>
        <v>9540.6</v>
      </c>
      <c r="I20" s="1364"/>
      <c r="J20" s="12">
        <f>ROUND(SUM(J14:J19),1)</f>
        <v>85060.2</v>
      </c>
      <c r="K20" s="1364"/>
      <c r="L20" s="11">
        <f>ROUND(SUM(L14:L19),1)</f>
        <v>5454</v>
      </c>
      <c r="M20" s="1364"/>
      <c r="N20" s="12">
        <f>ROUND(SUM(N14:N19),1)</f>
        <v>29692.1</v>
      </c>
      <c r="O20" s="1364"/>
      <c r="P20" s="12">
        <f>ROUND(SUM(P14:P19),1)</f>
        <v>294.5</v>
      </c>
      <c r="Q20" s="1364"/>
      <c r="R20" s="12">
        <f>ROUND(SUM(R14:R19),1)</f>
        <v>7498.3</v>
      </c>
      <c r="S20" s="2283"/>
      <c r="T20" s="2283"/>
      <c r="U20" s="2284"/>
      <c r="V20" s="12">
        <f>ROUND(SUM(V14:V19),1)</f>
        <v>19098.7</v>
      </c>
      <c r="W20" s="1364"/>
      <c r="X20" s="1558">
        <f>ROUND(SUM(X14:X19),1)</f>
        <v>161830.9</v>
      </c>
      <c r="Y20" s="2283"/>
      <c r="Z20" s="2285"/>
      <c r="AA20" s="2284"/>
      <c r="AB20" s="1558">
        <f>ROUND(SUM(AB14:AB19),1)</f>
        <v>19561.400000000001</v>
      </c>
      <c r="AC20" s="23"/>
      <c r="AD20" s="1558">
        <f>ROUND(SUM(AD14:AD19),1)</f>
        <v>148955.79999999999</v>
      </c>
      <c r="AE20" s="1478"/>
      <c r="AF20" s="2286"/>
      <c r="AG20" s="12">
        <f>ROUND(SUM(AG14:AG19),1)</f>
        <v>12875.1</v>
      </c>
      <c r="AH20" s="2287"/>
      <c r="AI20" s="1442">
        <f>(+X20-AD20)/ABS(AD20)</f>
        <v>8.6435707773715467E-2</v>
      </c>
      <c r="AJ20" s="2288"/>
      <c r="AK20" s="2242"/>
      <c r="AL20" s="2242"/>
    </row>
    <row r="21" spans="1:38" ht="16.350000000000001" customHeight="1">
      <c r="A21" s="2252"/>
      <c r="B21" s="2253"/>
      <c r="C21" s="2253"/>
      <c r="D21" s="617"/>
      <c r="E21" s="14"/>
      <c r="F21" s="14"/>
      <c r="G21" s="9"/>
      <c r="H21" s="617"/>
      <c r="I21" s="9"/>
      <c r="J21" s="14"/>
      <c r="K21" s="9"/>
      <c r="L21" s="617"/>
      <c r="M21" s="9"/>
      <c r="N21" s="14"/>
      <c r="O21" s="9"/>
      <c r="P21" s="617"/>
      <c r="Q21" s="616"/>
      <c r="R21" s="617"/>
      <c r="S21" s="2277"/>
      <c r="T21" s="2277"/>
      <c r="U21" s="14"/>
      <c r="V21" s="617"/>
      <c r="W21" s="9"/>
      <c r="X21" s="1425"/>
      <c r="Y21" s="2277"/>
      <c r="Z21" s="2278"/>
      <c r="AA21" s="14"/>
      <c r="AB21" s="1420"/>
      <c r="AC21" s="22"/>
      <c r="AD21" s="1425"/>
      <c r="AE21" s="1425"/>
      <c r="AF21" s="2279"/>
      <c r="AG21" s="14"/>
      <c r="AI21" s="1429"/>
      <c r="AJ21" s="7"/>
      <c r="AK21" s="2242"/>
      <c r="AL21" s="2242"/>
    </row>
    <row r="22" spans="1:38" ht="16.350000000000001" customHeight="1">
      <c r="A22" s="2252" t="s">
        <v>23</v>
      </c>
      <c r="B22" s="2253"/>
      <c r="C22" s="2253"/>
      <c r="D22" s="616"/>
      <c r="E22" s="9"/>
      <c r="F22" s="9"/>
      <c r="G22" s="9"/>
      <c r="H22" s="616"/>
      <c r="I22" s="9"/>
      <c r="J22" s="9"/>
      <c r="K22" s="9"/>
      <c r="L22" s="616"/>
      <c r="M22" s="9"/>
      <c r="N22" s="9"/>
      <c r="O22" s="9"/>
      <c r="P22" s="616"/>
      <c r="Q22" s="616"/>
      <c r="R22" s="616"/>
      <c r="S22" s="2277"/>
      <c r="T22" s="2277"/>
      <c r="U22" s="14"/>
      <c r="V22" s="616"/>
      <c r="W22" s="9"/>
      <c r="X22" s="22"/>
      <c r="Y22" s="2277"/>
      <c r="Z22" s="2278"/>
      <c r="AA22" s="14"/>
      <c r="AB22" s="621"/>
      <c r="AC22" s="22"/>
      <c r="AD22" s="1425"/>
      <c r="AE22" s="1425"/>
      <c r="AF22" s="2279"/>
      <c r="AG22" s="9"/>
      <c r="AI22" s="1429"/>
      <c r="AJ22" s="7"/>
      <c r="AK22" s="2242"/>
      <c r="AL22" s="2242"/>
    </row>
    <row r="23" spans="1:38" ht="16.350000000000001" customHeight="1">
      <c r="A23" s="2253" t="s">
        <v>24</v>
      </c>
      <c r="B23" s="2289" t="s">
        <v>15</v>
      </c>
      <c r="C23" s="2253"/>
      <c r="D23" s="619" t="s">
        <v>15</v>
      </c>
      <c r="E23" s="9"/>
      <c r="F23" s="10" t="s">
        <v>15</v>
      </c>
      <c r="G23" s="9"/>
      <c r="H23" s="618"/>
      <c r="I23" s="9"/>
      <c r="J23" s="15"/>
      <c r="K23" s="9"/>
      <c r="L23" s="618"/>
      <c r="M23" s="9"/>
      <c r="N23" s="15"/>
      <c r="O23" s="9"/>
      <c r="P23" s="618"/>
      <c r="Q23" s="616"/>
      <c r="R23" s="618"/>
      <c r="S23" s="2277"/>
      <c r="T23" s="2277"/>
      <c r="U23" s="14"/>
      <c r="V23" s="618"/>
      <c r="W23" s="9"/>
      <c r="X23" s="2389"/>
      <c r="Y23" s="2277"/>
      <c r="Z23" s="2278"/>
      <c r="AA23" s="14"/>
      <c r="AB23" s="1790"/>
      <c r="AC23" s="22"/>
      <c r="AD23" s="2389"/>
      <c r="AE23" s="1425"/>
      <c r="AF23" s="2279"/>
      <c r="AG23" s="15"/>
      <c r="AI23" s="2290"/>
      <c r="AJ23" s="7"/>
      <c r="AK23" s="2242"/>
      <c r="AL23" s="2242"/>
    </row>
    <row r="24" spans="1:38" ht="18" customHeight="1">
      <c r="A24" s="2291" t="s">
        <v>25</v>
      </c>
      <c r="B24" s="2253"/>
      <c r="C24" s="2253"/>
      <c r="D24" s="1367">
        <f>+'Exhibit F'!V100</f>
        <v>480.60000000000127</v>
      </c>
      <c r="E24" s="9"/>
      <c r="F24" s="9">
        <f>+'Exhibit F'!AC100</f>
        <v>16239.1</v>
      </c>
      <c r="G24" s="9"/>
      <c r="H24" s="1421">
        <f>'Exhibit G'!V88</f>
        <v>2492.2000000000003</v>
      </c>
      <c r="I24" s="9"/>
      <c r="J24" s="9">
        <f>+'Exhibit G'!AD88</f>
        <v>7737.7</v>
      </c>
      <c r="K24" s="9"/>
      <c r="L24" s="1363">
        <v>0</v>
      </c>
      <c r="M24" s="14"/>
      <c r="N24" s="16">
        <v>0</v>
      </c>
      <c r="O24" s="9"/>
      <c r="P24" s="1421">
        <f>'Exhibit I'!W69</f>
        <v>1.3000000000000114</v>
      </c>
      <c r="Q24" s="1421"/>
      <c r="R24" s="616">
        <f>+'Exhibit I'!AF69</f>
        <v>91.7</v>
      </c>
      <c r="S24" s="2277"/>
      <c r="T24" s="2277"/>
      <c r="U24" s="14"/>
      <c r="V24" s="616">
        <f>ROUND(SUM(D24)+SUM(H24)+SUM(L24)+SUM(P24),1)</f>
        <v>2974.1</v>
      </c>
      <c r="W24" s="9" t="s">
        <v>15</v>
      </c>
      <c r="X24" s="22">
        <f>ROUND(SUM(F24)+SUM(J24)+SUM(N24)+SUM(R24),1)</f>
        <v>24068.5</v>
      </c>
      <c r="Y24" s="2277"/>
      <c r="Z24" s="2278"/>
      <c r="AA24" s="14"/>
      <c r="AB24" s="2041">
        <v>3365.7999999999997</v>
      </c>
      <c r="AC24" s="22"/>
      <c r="AD24" s="1425">
        <f>'Exhibit F'!AF100+'Exhibit G'!AG88+'Exhibit I'!AI69</f>
        <v>26308.899999999998</v>
      </c>
      <c r="AE24" s="2292"/>
      <c r="AF24" s="2293"/>
      <c r="AG24" s="9">
        <f>ROUND(SUM(X24-AD24),1)</f>
        <v>-2240.4</v>
      </c>
      <c r="AI24" s="1426">
        <f>ROUND(SUM((+X24-AD24)/ABS(AD24)),3)</f>
        <v>-8.5000000000000006E-2</v>
      </c>
      <c r="AJ24" s="7"/>
      <c r="AK24" s="2242"/>
      <c r="AL24" s="2242"/>
    </row>
    <row r="25" spans="1:38" ht="18" customHeight="1">
      <c r="A25" s="2291" t="s">
        <v>26</v>
      </c>
      <c r="B25" s="2294"/>
      <c r="C25" s="2253"/>
      <c r="D25" s="1367">
        <f>+'Exhibit F'!V101</f>
        <v>0.2</v>
      </c>
      <c r="E25" s="9"/>
      <c r="F25" s="9">
        <f>+'Exhibit F'!AC101</f>
        <v>0.5</v>
      </c>
      <c r="G25" s="9"/>
      <c r="H25" s="1421">
        <f>'Exhibit G'!V89</f>
        <v>9.9999999999999978E-2</v>
      </c>
      <c r="I25" s="9"/>
      <c r="J25" s="9">
        <f>+'Exhibit G'!AD89</f>
        <v>2.4</v>
      </c>
      <c r="K25" s="9"/>
      <c r="L25" s="1363">
        <v>0</v>
      </c>
      <c r="M25" s="14"/>
      <c r="N25" s="16">
        <v>0</v>
      </c>
      <c r="O25" s="9"/>
      <c r="P25" s="1421">
        <f>'Exhibit I'!W70</f>
        <v>36.300000000000018</v>
      </c>
      <c r="Q25" s="1421"/>
      <c r="R25" s="616">
        <f>+'Exhibit I'!AF70</f>
        <v>143.5</v>
      </c>
      <c r="S25" s="2277"/>
      <c r="T25" s="2277"/>
      <c r="U25" s="14"/>
      <c r="V25" s="616">
        <f t="shared" ref="V25:V32" si="4">ROUND(SUM(D25)+SUM(H25)+SUM(L25)+SUM(P25),1)</f>
        <v>36.6</v>
      </c>
      <c r="W25" s="9" t="s">
        <v>15</v>
      </c>
      <c r="X25" s="22">
        <f t="shared" ref="X25:X32" si="5">ROUND(SUM(F25)+SUM(J25)+SUM(N25)+SUM(R25),1)</f>
        <v>146.4</v>
      </c>
      <c r="Y25" s="2277"/>
      <c r="Z25" s="2278"/>
      <c r="AA25" s="14"/>
      <c r="AB25" s="2041">
        <v>233.3</v>
      </c>
      <c r="AC25" s="3387"/>
      <c r="AD25" s="1425">
        <f>'Exhibit F'!AF101+'Exhibit G'!AG89+'Exhibit I'!AI70</f>
        <v>385.29999999999995</v>
      </c>
      <c r="AE25" s="14"/>
      <c r="AF25" s="2279"/>
      <c r="AG25" s="9">
        <f t="shared" ref="AG25:AG33" si="6">ROUND(SUM(X25-AD25),1)</f>
        <v>-238.9</v>
      </c>
      <c r="AI25" s="1426">
        <f t="shared" ref="AI25:AI32" si="7">ROUND(SUM((+X25-AD25)/ABS(AD25)),3)</f>
        <v>-0.62</v>
      </c>
      <c r="AJ25" s="7"/>
      <c r="AK25" s="2242"/>
      <c r="AL25" s="2242"/>
    </row>
    <row r="26" spans="1:38" ht="18" customHeight="1">
      <c r="A26" s="2291" t="s">
        <v>27</v>
      </c>
      <c r="B26" s="2295"/>
      <c r="C26" s="2253"/>
      <c r="D26" s="1367">
        <f>+'Exhibit F'!V102</f>
        <v>10.399999999999977</v>
      </c>
      <c r="E26" s="9"/>
      <c r="F26" s="9">
        <f>+'Exhibit F'!AC102</f>
        <v>815.9</v>
      </c>
      <c r="G26" s="9"/>
      <c r="H26" s="1421">
        <f>'Exhibit G'!V90</f>
        <v>22.799999999998022</v>
      </c>
      <c r="I26" s="9"/>
      <c r="J26" s="9">
        <f>+'Exhibit G'!AD90</f>
        <v>4352.3999999999996</v>
      </c>
      <c r="K26" s="9"/>
      <c r="L26" s="1363">
        <v>0</v>
      </c>
      <c r="M26" s="14"/>
      <c r="N26" s="16">
        <v>0</v>
      </c>
      <c r="O26" s="9"/>
      <c r="P26" s="1421">
        <f>'Exhibit I'!W71</f>
        <v>60.399999999999977</v>
      </c>
      <c r="Q26" s="1421"/>
      <c r="R26" s="616">
        <f>+'Exhibit I'!AF71</f>
        <v>464.1</v>
      </c>
      <c r="S26" s="2277"/>
      <c r="T26" s="2277"/>
      <c r="U26" s="14"/>
      <c r="V26" s="616">
        <f t="shared" si="4"/>
        <v>93.6</v>
      </c>
      <c r="W26" s="9" t="s">
        <v>15</v>
      </c>
      <c r="X26" s="22">
        <f t="shared" si="5"/>
        <v>5632.4</v>
      </c>
      <c r="Y26" s="2277"/>
      <c r="Z26" s="2278"/>
      <c r="AA26" s="14"/>
      <c r="AB26" s="2041">
        <v>87.9</v>
      </c>
      <c r="AC26" s="22"/>
      <c r="AD26" s="1425">
        <f>'Exhibit F'!AF102+'Exhibit G'!AG90+'Exhibit I'!AI71</f>
        <v>1945.8</v>
      </c>
      <c r="AE26" s="14"/>
      <c r="AF26" s="2279"/>
      <c r="AG26" s="9">
        <f t="shared" si="6"/>
        <v>3686.6</v>
      </c>
      <c r="AI26" s="1426">
        <f t="shared" si="7"/>
        <v>1.895</v>
      </c>
      <c r="AJ26" s="7"/>
      <c r="AK26" s="2242"/>
      <c r="AL26" s="2242"/>
    </row>
    <row r="27" spans="1:38" ht="18" customHeight="1">
      <c r="A27" s="2291" t="s">
        <v>28</v>
      </c>
      <c r="B27" s="2296"/>
      <c r="C27" s="2253"/>
      <c r="D27" s="616"/>
      <c r="E27" s="9"/>
      <c r="F27" s="9"/>
      <c r="G27" s="9"/>
      <c r="H27" s="1421"/>
      <c r="I27" s="9"/>
      <c r="J27" s="9" t="s">
        <v>15</v>
      </c>
      <c r="K27" s="9"/>
      <c r="L27" s="1418" t="s">
        <v>15</v>
      </c>
      <c r="M27" s="14"/>
      <c r="N27" s="17" t="s">
        <v>15</v>
      </c>
      <c r="O27" s="9"/>
      <c r="P27" s="1421"/>
      <c r="Q27" s="1421"/>
      <c r="R27" s="616"/>
      <c r="S27" s="2277"/>
      <c r="T27" s="2277"/>
      <c r="U27" s="14"/>
      <c r="V27" s="616" t="s">
        <v>15</v>
      </c>
      <c r="W27" s="9"/>
      <c r="X27" s="621" t="s">
        <v>15</v>
      </c>
      <c r="Y27" s="2277"/>
      <c r="Z27" s="2278"/>
      <c r="AA27" s="14"/>
      <c r="AB27" s="621"/>
      <c r="AC27" s="22"/>
      <c r="AD27" s="22"/>
      <c r="AE27" s="14"/>
      <c r="AF27" s="2279"/>
      <c r="AG27" s="9"/>
      <c r="AI27" s="1438" t="s">
        <v>15</v>
      </c>
      <c r="AJ27" s="7"/>
      <c r="AK27" s="2242"/>
      <c r="AL27" s="2242"/>
    </row>
    <row r="28" spans="1:38" ht="18" customHeight="1">
      <c r="A28" s="2297" t="s">
        <v>29</v>
      </c>
      <c r="B28" s="2276"/>
      <c r="C28" s="2253"/>
      <c r="D28" s="1367">
        <f>+'Exhibit F'!V104</f>
        <v>1007.1000000000008</v>
      </c>
      <c r="E28" s="9"/>
      <c r="F28" s="9">
        <f>+'Exhibit F'!AC104</f>
        <v>12928.1</v>
      </c>
      <c r="G28" s="9"/>
      <c r="H28" s="1421">
        <f>'Exhibit G'!V92</f>
        <v>4408.3999999999942</v>
      </c>
      <c r="I28" s="9"/>
      <c r="J28" s="9">
        <f>+'Exhibit G'!AD92</f>
        <v>42542.8</v>
      </c>
      <c r="K28" s="9"/>
      <c r="L28" s="1363">
        <v>0</v>
      </c>
      <c r="M28" s="14"/>
      <c r="N28" s="16">
        <v>0</v>
      </c>
      <c r="O28" s="9"/>
      <c r="P28" s="1421">
        <f>'Exhibit I'!W73</f>
        <v>0</v>
      </c>
      <c r="Q28" s="1421"/>
      <c r="R28" s="618">
        <f>+'Exhibit I'!AF73</f>
        <v>0</v>
      </c>
      <c r="S28" s="2277"/>
      <c r="T28" s="2277"/>
      <c r="U28" s="14"/>
      <c r="V28" s="616">
        <f t="shared" si="4"/>
        <v>5415.5</v>
      </c>
      <c r="W28" s="9" t="s">
        <v>15</v>
      </c>
      <c r="X28" s="22">
        <f t="shared" si="5"/>
        <v>55470.9</v>
      </c>
      <c r="Y28" s="2277"/>
      <c r="Z28" s="2278"/>
      <c r="AA28" s="14"/>
      <c r="AB28" s="2041">
        <v>6153.4</v>
      </c>
      <c r="AC28" s="22"/>
      <c r="AD28" s="1425">
        <f>'Exhibit F'!AF104+'Exhibit G'!AG92+'Exhibit I'!AI73</f>
        <v>55670.9</v>
      </c>
      <c r="AE28" s="14"/>
      <c r="AF28" s="2279"/>
      <c r="AG28" s="9">
        <f t="shared" si="6"/>
        <v>-200</v>
      </c>
      <c r="AI28" s="1426">
        <f t="shared" si="7"/>
        <v>-4.0000000000000001E-3</v>
      </c>
      <c r="AJ28" s="7"/>
      <c r="AK28" s="2298"/>
      <c r="AL28" s="2242"/>
    </row>
    <row r="29" spans="1:38" ht="18" customHeight="1">
      <c r="A29" s="2291" t="s">
        <v>30</v>
      </c>
      <c r="B29" s="2276"/>
      <c r="C29" s="2253"/>
      <c r="D29" s="1367">
        <f>+'Exhibit F'!V105</f>
        <v>225.69999999999976</v>
      </c>
      <c r="E29" s="9"/>
      <c r="F29" s="9">
        <f>+'Exhibit F'!AC105</f>
        <v>1873.9999999999998</v>
      </c>
      <c r="G29" s="9"/>
      <c r="H29" s="1421">
        <f>'Exhibit G'!V93</f>
        <v>761.80000000000018</v>
      </c>
      <c r="I29" s="9"/>
      <c r="J29" s="9">
        <f>+'Exhibit G'!AD93</f>
        <v>6201.3</v>
      </c>
      <c r="K29" s="9"/>
      <c r="L29" s="1363">
        <v>0</v>
      </c>
      <c r="M29" s="14"/>
      <c r="N29" s="16">
        <v>0</v>
      </c>
      <c r="O29" s="9"/>
      <c r="P29" s="1421">
        <f>'Exhibit I'!W74</f>
        <v>41</v>
      </c>
      <c r="Q29" s="1421"/>
      <c r="R29" s="616">
        <f>+'Exhibit I'!AF74</f>
        <v>437.5</v>
      </c>
      <c r="S29" s="2277"/>
      <c r="T29" s="2277"/>
      <c r="U29" s="14"/>
      <c r="V29" s="616">
        <f t="shared" si="4"/>
        <v>1028.5</v>
      </c>
      <c r="W29" s="9" t="s">
        <v>15</v>
      </c>
      <c r="X29" s="22">
        <f t="shared" si="5"/>
        <v>8512.7999999999993</v>
      </c>
      <c r="Y29" s="2277"/>
      <c r="Z29" s="2278"/>
      <c r="AA29" s="14"/>
      <c r="AB29" s="2041">
        <v>825.6</v>
      </c>
      <c r="AC29" s="22"/>
      <c r="AD29" s="1425">
        <f>'Exhibit F'!AF105+'Exhibit G'!AG93+'Exhibit I'!AI74</f>
        <v>8376.6</v>
      </c>
      <c r="AE29" s="14"/>
      <c r="AF29" s="2279"/>
      <c r="AG29" s="9">
        <f t="shared" si="6"/>
        <v>136.19999999999999</v>
      </c>
      <c r="AI29" s="1426">
        <f t="shared" si="7"/>
        <v>1.6E-2</v>
      </c>
      <c r="AJ29" s="7"/>
      <c r="AK29" s="2242"/>
      <c r="AL29" s="2242"/>
    </row>
    <row r="30" spans="1:38" ht="18" customHeight="1">
      <c r="A30" s="2291" t="s">
        <v>31</v>
      </c>
      <c r="B30" s="2296"/>
      <c r="C30" s="2253"/>
      <c r="D30" s="1367">
        <f>+'Exhibit F'!V106</f>
        <v>7.5999999999999943</v>
      </c>
      <c r="E30" s="9"/>
      <c r="F30" s="9">
        <f>+'Exhibit F'!AC106</f>
        <v>93.5</v>
      </c>
      <c r="G30" s="9"/>
      <c r="H30" s="1421">
        <f>'Exhibit G'!V94</f>
        <v>84.800000000000239</v>
      </c>
      <c r="I30" s="9"/>
      <c r="J30" s="9">
        <f>+'Exhibit G'!AD94</f>
        <v>1638.6</v>
      </c>
      <c r="K30" s="9"/>
      <c r="L30" s="1363">
        <v>0</v>
      </c>
      <c r="M30" s="14"/>
      <c r="N30" s="16">
        <v>0</v>
      </c>
      <c r="O30" s="9"/>
      <c r="P30" s="1421">
        <f>'Exhibit I'!W75</f>
        <v>3.2999999999999972</v>
      </c>
      <c r="Q30" s="1421"/>
      <c r="R30" s="618">
        <f>+'Exhibit I'!AF75</f>
        <v>45.4</v>
      </c>
      <c r="S30" s="2277"/>
      <c r="T30" s="2277"/>
      <c r="U30" s="14"/>
      <c r="V30" s="616">
        <f t="shared" si="4"/>
        <v>95.7</v>
      </c>
      <c r="W30" s="9" t="s">
        <v>15</v>
      </c>
      <c r="X30" s="22">
        <f t="shared" si="5"/>
        <v>1777.5</v>
      </c>
      <c r="Y30" s="2277"/>
      <c r="Z30" s="2278"/>
      <c r="AA30" s="14"/>
      <c r="AB30" s="2041">
        <v>239.2</v>
      </c>
      <c r="AC30" s="22"/>
      <c r="AD30" s="1425">
        <f>'Exhibit F'!AF106+'Exhibit G'!AG94+'Exhibit I'!AI75</f>
        <v>1455.8</v>
      </c>
      <c r="AE30" s="14"/>
      <c r="AF30" s="2279"/>
      <c r="AG30" s="9">
        <f t="shared" si="6"/>
        <v>321.7</v>
      </c>
      <c r="AI30" s="1426">
        <f t="shared" si="7"/>
        <v>0.221</v>
      </c>
      <c r="AJ30" s="7"/>
      <c r="AK30" s="2242"/>
      <c r="AL30" s="2242"/>
    </row>
    <row r="31" spans="1:38" ht="18" customHeight="1">
      <c r="A31" s="2291" t="s">
        <v>32</v>
      </c>
      <c r="B31" s="2253"/>
      <c r="C31" s="2253"/>
      <c r="D31" s="1367">
        <f>+'Exhibit F'!V107</f>
        <v>154.10000000000002</v>
      </c>
      <c r="E31" s="9"/>
      <c r="F31" s="9">
        <f>+'Exhibit F'!AC107</f>
        <v>1971.6</v>
      </c>
      <c r="G31" s="9"/>
      <c r="H31" s="1421">
        <f>'Exhibit G'!V95</f>
        <v>265.7999999999999</v>
      </c>
      <c r="I31" s="9"/>
      <c r="J31" s="9">
        <f>+'Exhibit G'!AD95</f>
        <v>2797.6</v>
      </c>
      <c r="K31" s="9"/>
      <c r="L31" s="1363">
        <v>0</v>
      </c>
      <c r="M31" s="14"/>
      <c r="N31" s="16">
        <v>0</v>
      </c>
      <c r="O31" s="9"/>
      <c r="P31" s="1421">
        <f>'Exhibit I'!W76</f>
        <v>16.800000000000011</v>
      </c>
      <c r="Q31" s="1421"/>
      <c r="R31" s="616">
        <f>+'Exhibit I'!AF76</f>
        <v>488.2</v>
      </c>
      <c r="S31" s="2277"/>
      <c r="T31" s="2277"/>
      <c r="U31" s="14"/>
      <c r="V31" s="616">
        <f t="shared" si="4"/>
        <v>436.7</v>
      </c>
      <c r="W31" s="9" t="s">
        <v>15</v>
      </c>
      <c r="X31" s="22">
        <f t="shared" si="5"/>
        <v>5257.4</v>
      </c>
      <c r="Y31" s="2277"/>
      <c r="Z31" s="2278"/>
      <c r="AA31" s="14"/>
      <c r="AB31" s="2041">
        <v>672.8</v>
      </c>
      <c r="AC31" s="22"/>
      <c r="AD31" s="1425">
        <f>'Exhibit F'!AF107+'Exhibit G'!AG95+'Exhibit I'!AI76</f>
        <v>5995.7</v>
      </c>
      <c r="AE31" s="14"/>
      <c r="AF31" s="2279"/>
      <c r="AG31" s="9">
        <f t="shared" si="6"/>
        <v>-738.3</v>
      </c>
      <c r="AI31" s="1426">
        <f t="shared" si="7"/>
        <v>-0.123</v>
      </c>
      <c r="AJ31" s="7"/>
      <c r="AK31" s="2242"/>
      <c r="AL31" s="2242"/>
    </row>
    <row r="32" spans="1:38" ht="18" customHeight="1">
      <c r="A32" s="2291" t="s">
        <v>33</v>
      </c>
      <c r="B32" s="2296"/>
      <c r="C32" s="2253"/>
      <c r="D32" s="1367">
        <f>+'Exhibit F'!V108</f>
        <v>9</v>
      </c>
      <c r="E32" s="9"/>
      <c r="F32" s="9">
        <f>+'Exhibit F'!AC108</f>
        <v>66.2</v>
      </c>
      <c r="G32" s="9"/>
      <c r="H32" s="1421">
        <f>'Exhibit G'!V96</f>
        <v>1.5999999999999996</v>
      </c>
      <c r="I32" s="9"/>
      <c r="J32" s="9">
        <f>+'Exhibit G'!AD96</f>
        <v>45.4</v>
      </c>
      <c r="K32" s="9"/>
      <c r="L32" s="1363">
        <v>0</v>
      </c>
      <c r="M32" s="14" t="s">
        <v>15</v>
      </c>
      <c r="N32" s="16">
        <v>0</v>
      </c>
      <c r="O32" s="9"/>
      <c r="P32" s="1421">
        <f>'Exhibit I'!W77</f>
        <v>20.800000000000011</v>
      </c>
      <c r="Q32" s="1421"/>
      <c r="R32" s="616">
        <f>+'Exhibit I'!AF77</f>
        <v>415.7</v>
      </c>
      <c r="S32" s="2277"/>
      <c r="T32" s="2277"/>
      <c r="U32" s="14"/>
      <c r="V32" s="616">
        <f t="shared" si="4"/>
        <v>31.4</v>
      </c>
      <c r="W32" s="9" t="s">
        <v>15</v>
      </c>
      <c r="X32" s="22">
        <f t="shared" si="5"/>
        <v>527.29999999999995</v>
      </c>
      <c r="Y32" s="2277"/>
      <c r="Z32" s="2278"/>
      <c r="AA32" s="14"/>
      <c r="AB32" s="2041">
        <v>36.4</v>
      </c>
      <c r="AC32" s="22"/>
      <c r="AD32" s="1425">
        <f>'Exhibit F'!AF108+'Exhibit G'!AG96+'Exhibit I'!AI77</f>
        <v>898.9</v>
      </c>
      <c r="AE32" s="14"/>
      <c r="AF32" s="2279"/>
      <c r="AG32" s="9">
        <f t="shared" si="6"/>
        <v>-371.6</v>
      </c>
      <c r="AI32" s="1426">
        <f t="shared" si="7"/>
        <v>-0.41299999999999998</v>
      </c>
      <c r="AJ32" s="7"/>
      <c r="AK32" s="2242"/>
      <c r="AL32" s="2242"/>
    </row>
    <row r="33" spans="1:38" ht="18" customHeight="1">
      <c r="A33" s="2291" t="s">
        <v>34</v>
      </c>
      <c r="B33" s="2253"/>
      <c r="C33" s="2253"/>
      <c r="D33" s="1367">
        <f>+'Exhibit F'!V109</f>
        <v>0</v>
      </c>
      <c r="E33" s="9"/>
      <c r="F33" s="9">
        <f>+'Exhibit F'!AC109</f>
        <v>80.400000000000006</v>
      </c>
      <c r="G33" s="9"/>
      <c r="H33" s="1421">
        <f>'Exhibit G'!V97</f>
        <v>74.500000000000313</v>
      </c>
      <c r="I33" s="9"/>
      <c r="J33" s="9">
        <f>+'Exhibit G'!AD97</f>
        <v>2974.9</v>
      </c>
      <c r="K33" s="9"/>
      <c r="L33" s="1363">
        <v>0</v>
      </c>
      <c r="M33" s="14"/>
      <c r="N33" s="16">
        <v>0</v>
      </c>
      <c r="O33" s="9"/>
      <c r="P33" s="1421">
        <f>'Exhibit I'!W78</f>
        <v>200.59999999999988</v>
      </c>
      <c r="Q33" s="1421"/>
      <c r="R33" s="616">
        <f>+'Exhibit I'!AF78</f>
        <v>2137</v>
      </c>
      <c r="S33" s="2277"/>
      <c r="T33" s="2277"/>
      <c r="U33" s="14"/>
      <c r="V33" s="616">
        <f>ROUND(SUM(D33)+SUM(H33)+SUM(L33)+SUM(P33),1)</f>
        <v>275.10000000000002</v>
      </c>
      <c r="W33" s="9" t="s">
        <v>15</v>
      </c>
      <c r="X33" s="22">
        <f>ROUND(SUM(F33)+SUM(J33)+SUM(N33)+SUM(R33),1)</f>
        <v>5192.3</v>
      </c>
      <c r="Y33" s="2277"/>
      <c r="Z33" s="2278"/>
      <c r="AA33" s="14"/>
      <c r="AB33" s="2041">
        <v>120.7</v>
      </c>
      <c r="AC33" s="22"/>
      <c r="AD33" s="1425">
        <f>'Exhibit F'!AF109+'Exhibit G'!AG97+'Exhibit I'!AI78</f>
        <v>4801.6000000000004</v>
      </c>
      <c r="AE33" s="14"/>
      <c r="AF33" s="2279"/>
      <c r="AG33" s="9">
        <f t="shared" si="6"/>
        <v>390.7</v>
      </c>
      <c r="AI33" s="1426">
        <f>ROUND(SUM((+X33-AD33)/ABS(AD33)),3)</f>
        <v>8.1000000000000003E-2</v>
      </c>
      <c r="AJ33" s="7"/>
      <c r="AK33" s="2242"/>
      <c r="AL33" s="2242"/>
    </row>
    <row r="34" spans="1:38" ht="18" customHeight="1">
      <c r="A34" s="2252" t="s">
        <v>35</v>
      </c>
      <c r="B34" s="2253"/>
      <c r="C34" s="2253"/>
      <c r="D34" s="12">
        <f>ROUND(SUM(D24:D33),1)</f>
        <v>1894.7</v>
      </c>
      <c r="E34" s="2284"/>
      <c r="F34" s="12">
        <f>ROUND(SUM(F24:F33),1)</f>
        <v>34069.300000000003</v>
      </c>
      <c r="G34" s="1364"/>
      <c r="H34" s="12">
        <f>ROUND(SUM(H24:H33),1)</f>
        <v>8112</v>
      </c>
      <c r="I34" s="1364"/>
      <c r="J34" s="12">
        <f>ROUND(SUM(J24:J33),1)</f>
        <v>68293.100000000006</v>
      </c>
      <c r="K34" s="1364"/>
      <c r="L34" s="12">
        <f>ROUND(SUM(L24:L33),1)</f>
        <v>0</v>
      </c>
      <c r="M34" s="1364"/>
      <c r="N34" s="1423">
        <f>ROUND(SUM(N24:N33),1)</f>
        <v>0</v>
      </c>
      <c r="O34" s="1364"/>
      <c r="P34" s="11">
        <f>ROUND(SUM(P24:P33),1)</f>
        <v>380.5</v>
      </c>
      <c r="Q34" s="1364"/>
      <c r="R34" s="11">
        <f>ROUND(SUM(R24:R33),1)</f>
        <v>4223.1000000000004</v>
      </c>
      <c r="S34" s="2283"/>
      <c r="T34" s="2283"/>
      <c r="U34" s="2284"/>
      <c r="V34" s="12">
        <f>ROUND(SUM(V24:V33),1)</f>
        <v>10387.200000000001</v>
      </c>
      <c r="W34" s="1364"/>
      <c r="X34" s="1558">
        <f>ROUND(SUM(X24:X33),1)</f>
        <v>106585.5</v>
      </c>
      <c r="Y34" s="2283"/>
      <c r="Z34" s="2285"/>
      <c r="AA34" s="2284"/>
      <c r="AB34" s="1558">
        <f>ROUND(SUM(AB23:AB33),1)</f>
        <v>11735.1</v>
      </c>
      <c r="AC34" s="23"/>
      <c r="AD34" s="1558">
        <f>ROUND(SUM(AD23:AD33),1)</f>
        <v>105839.5</v>
      </c>
      <c r="AE34" s="1478"/>
      <c r="AF34" s="2286"/>
      <c r="AG34" s="12">
        <f>ROUND(SUM(AG24:AG33),1)</f>
        <v>746</v>
      </c>
      <c r="AH34" s="2287"/>
      <c r="AI34" s="1442">
        <f>ROUND(SUM((+X34-AD34)/ABS(AD34)),3)</f>
        <v>7.0000000000000001E-3</v>
      </c>
      <c r="AJ34" s="2254"/>
      <c r="AK34" s="2242"/>
      <c r="AL34" s="2242"/>
    </row>
    <row r="35" spans="1:38" ht="18" customHeight="1">
      <c r="A35" s="2253" t="s">
        <v>36</v>
      </c>
      <c r="B35" s="2295"/>
      <c r="C35" s="2253"/>
      <c r="D35" s="616"/>
      <c r="E35" s="9"/>
      <c r="F35" s="9"/>
      <c r="G35" s="9"/>
      <c r="H35" s="616"/>
      <c r="I35" s="9"/>
      <c r="J35" s="9"/>
      <c r="K35" s="9"/>
      <c r="L35" s="616"/>
      <c r="M35" s="9"/>
      <c r="N35" s="9"/>
      <c r="O35" s="9"/>
      <c r="P35" s="616"/>
      <c r="Q35" s="616"/>
      <c r="R35" s="616"/>
      <c r="S35" s="2277"/>
      <c r="T35" s="2277"/>
      <c r="U35" s="14"/>
      <c r="V35" s="616"/>
      <c r="W35" s="9"/>
      <c r="X35" s="22"/>
      <c r="Y35" s="2277"/>
      <c r="Z35" s="2278"/>
      <c r="AA35" s="14"/>
      <c r="AB35" s="621"/>
      <c r="AC35" s="22"/>
      <c r="AD35" s="1425"/>
      <c r="AE35" s="1425"/>
      <c r="AF35" s="2279"/>
      <c r="AG35" s="9"/>
      <c r="AI35" s="1429"/>
      <c r="AJ35" s="7"/>
      <c r="AK35" s="2242"/>
      <c r="AL35" s="2242"/>
    </row>
    <row r="36" spans="1:38" ht="18" customHeight="1">
      <c r="A36" s="2253" t="s">
        <v>37</v>
      </c>
      <c r="B36" s="2294"/>
      <c r="C36" s="2253"/>
      <c r="D36" s="616">
        <f>+'Exhibit F'!V112</f>
        <v>594.60000000000059</v>
      </c>
      <c r="E36" s="9"/>
      <c r="F36" s="9">
        <f>+'Exhibit F'!AC112</f>
        <v>5709.8</v>
      </c>
      <c r="G36" s="9"/>
      <c r="H36" s="1421">
        <f>'Exhibit G'!V100</f>
        <v>484.20000000000016</v>
      </c>
      <c r="I36" s="9"/>
      <c r="J36" s="9">
        <f>+'Exhibit G'!AD100</f>
        <v>6558.4</v>
      </c>
      <c r="K36" s="9"/>
      <c r="L36" s="619">
        <v>0</v>
      </c>
      <c r="M36" s="9"/>
      <c r="N36" s="10">
        <v>0</v>
      </c>
      <c r="O36" s="9"/>
      <c r="P36" s="619">
        <f>'Exhibit I'!W81</f>
        <v>0</v>
      </c>
      <c r="Q36" s="616"/>
      <c r="R36" s="619">
        <f>+'Exhibit I'!AF81</f>
        <v>0</v>
      </c>
      <c r="S36" s="2277"/>
      <c r="T36" s="2277"/>
      <c r="U36" s="14"/>
      <c r="V36" s="616">
        <f>ROUND(SUM(D36)+SUM(H36)+SUM(L36)+SUM(P36),1)</f>
        <v>1078.8</v>
      </c>
      <c r="W36" s="9" t="s">
        <v>15</v>
      </c>
      <c r="X36" s="22">
        <f>ROUND(SUM(F36)+SUM(J36)+SUM(N36)+SUM(R36),1)</f>
        <v>12268.2</v>
      </c>
      <c r="Y36" s="2277"/>
      <c r="Z36" s="2278"/>
      <c r="AA36" s="14"/>
      <c r="AB36" s="2041">
        <v>1241.6999999999998</v>
      </c>
      <c r="AC36" s="3388"/>
      <c r="AD36" s="22">
        <f>'Exhibit F'!AF112+'Exhibit G'!AG100+'Exhibit I'!AI81</f>
        <v>12501.300000000001</v>
      </c>
      <c r="AE36" s="14"/>
      <c r="AF36" s="2279"/>
      <c r="AG36" s="9">
        <f>ROUND(SUM(X36-AD36),1)</f>
        <v>-233.1</v>
      </c>
      <c r="AI36" s="1426">
        <f>ROUND(SUM((+X36-AD36)/ABS(AD36)),3)</f>
        <v>-1.9E-2</v>
      </c>
      <c r="AJ36" s="7"/>
      <c r="AK36" s="2242"/>
      <c r="AL36" s="2242"/>
    </row>
    <row r="37" spans="1:38" ht="18" customHeight="1">
      <c r="A37" s="2253" t="s">
        <v>38</v>
      </c>
      <c r="B37" s="2295"/>
      <c r="C37" s="2253"/>
      <c r="D37" s="616">
        <f>+'Exhibit F'!V113</f>
        <v>219.10000000000019</v>
      </c>
      <c r="E37" s="9"/>
      <c r="F37" s="9">
        <f>+'Exhibit F'!AC113</f>
        <v>1486.3000000000002</v>
      </c>
      <c r="G37" s="9"/>
      <c r="H37" s="1421">
        <f>'Exhibit G'!V101</f>
        <v>418.49999999999977</v>
      </c>
      <c r="I37" s="9"/>
      <c r="J37" s="9">
        <f>+'Exhibit G'!AD101</f>
        <v>4327.1000000000004</v>
      </c>
      <c r="K37" s="9"/>
      <c r="L37" s="1421">
        <f>+'Exhibit H'!T55</f>
        <v>0.10000000000000142</v>
      </c>
      <c r="M37" s="9"/>
      <c r="N37" s="9">
        <f>+'Exhibit H'!AA55</f>
        <v>24</v>
      </c>
      <c r="O37" s="9" t="s">
        <v>15</v>
      </c>
      <c r="P37" s="619">
        <f>'Exhibit I'!W82</f>
        <v>0</v>
      </c>
      <c r="Q37" s="616"/>
      <c r="R37" s="619">
        <f>+'Exhibit I'!AF82</f>
        <v>0</v>
      </c>
      <c r="S37" s="2277"/>
      <c r="T37" s="2277"/>
      <c r="U37" s="14"/>
      <c r="V37" s="616">
        <f>ROUND(SUM(D37)+SUM(H37)+SUM(L37)+SUM(P37),1)</f>
        <v>637.70000000000005</v>
      </c>
      <c r="W37" s="9" t="s">
        <v>15</v>
      </c>
      <c r="X37" s="22">
        <f>ROUND(SUM(F37)+SUM(J37)+SUM(N37)+SUM(R37),1)</f>
        <v>5837.4</v>
      </c>
      <c r="Y37" s="2277"/>
      <c r="Z37" s="2278"/>
      <c r="AA37" s="14"/>
      <c r="AB37" s="2041">
        <v>683.3</v>
      </c>
      <c r="AC37" s="3388"/>
      <c r="AD37" s="22">
        <f>'Exhibit F'!AF113+'Exhibit G'!AG101+'Exhibit I'!AI82+'Exhibit H'!AD55</f>
        <v>5626.8</v>
      </c>
      <c r="AE37" s="14"/>
      <c r="AF37" s="2279"/>
      <c r="AG37" s="9">
        <f>ROUND(SUM(X37-AD37),1)</f>
        <v>210.6</v>
      </c>
      <c r="AI37" s="1426">
        <f>ROUND(SUM((+X37-AD37)/ABS(AD37)),3)</f>
        <v>3.6999999999999998E-2</v>
      </c>
      <c r="AJ37" s="7"/>
      <c r="AK37" s="2242"/>
      <c r="AL37" s="2242"/>
    </row>
    <row r="38" spans="1:38" ht="18" customHeight="1">
      <c r="A38" s="2253" t="s">
        <v>39</v>
      </c>
      <c r="B38" s="2296"/>
      <c r="C38" s="2253"/>
      <c r="D38" s="616">
        <f>+'Exhibit F'!V114</f>
        <v>-277.19999999999982</v>
      </c>
      <c r="E38" s="9"/>
      <c r="F38" s="9">
        <f>+'Exhibit F'!AC114</f>
        <v>5100.5</v>
      </c>
      <c r="G38" s="2299"/>
      <c r="H38" s="1421">
        <f>'Exhibit G'!V102</f>
        <v>844.99999999999977</v>
      </c>
      <c r="I38" s="9"/>
      <c r="J38" s="9">
        <f>+'Exhibit G'!AD102</f>
        <v>2007.3</v>
      </c>
      <c r="K38" s="9"/>
      <c r="L38" s="619">
        <v>0</v>
      </c>
      <c r="M38" s="9"/>
      <c r="N38" s="10">
        <v>0</v>
      </c>
      <c r="O38" s="9"/>
      <c r="P38" s="619">
        <f>'Exhibit I'!W83</f>
        <v>0</v>
      </c>
      <c r="Q38" s="616"/>
      <c r="R38" s="619">
        <f>+'Exhibit I'!AF83</f>
        <v>0</v>
      </c>
      <c r="S38" s="2277"/>
      <c r="T38" s="2277"/>
      <c r="U38" s="14"/>
      <c r="V38" s="616">
        <f>ROUND(SUM(D38)+SUM(H38)+SUM(L38)+SUM(P38),1)</f>
        <v>567.79999999999995</v>
      </c>
      <c r="W38" s="9" t="s">
        <v>15</v>
      </c>
      <c r="X38" s="22">
        <f>ROUND(SUM(F38)+SUM(J38)+SUM(N38)+SUM(R38),1)</f>
        <v>7107.8</v>
      </c>
      <c r="Y38" s="2277"/>
      <c r="Z38" s="2278"/>
      <c r="AA38" s="14"/>
      <c r="AB38" s="2041">
        <v>566.5</v>
      </c>
      <c r="AC38" s="22"/>
      <c r="AD38" s="22">
        <f>'Exhibit F'!AF114+'Exhibit G'!AG102+'Exhibit I'!AI83</f>
        <v>7680.9000000000005</v>
      </c>
      <c r="AE38" s="14"/>
      <c r="AF38" s="2279"/>
      <c r="AG38" s="9">
        <f>ROUND(SUM(X38-AD38),1)</f>
        <v>-573.1</v>
      </c>
      <c r="AI38" s="1426">
        <f>ROUND(SUM((+X38-AD38)/ABS(AD38)),3)</f>
        <v>-7.4999999999999997E-2</v>
      </c>
      <c r="AJ38" s="7"/>
      <c r="AK38" s="2242"/>
      <c r="AL38" s="2242"/>
    </row>
    <row r="39" spans="1:38" ht="18" customHeight="1">
      <c r="A39" s="2253" t="s">
        <v>40</v>
      </c>
      <c r="B39" s="2253"/>
      <c r="C39" s="2253"/>
      <c r="D39" s="616"/>
      <c r="E39" s="9"/>
      <c r="F39" s="9"/>
      <c r="G39" s="9"/>
      <c r="H39" s="616"/>
      <c r="I39" s="9"/>
      <c r="J39" s="18"/>
      <c r="K39" s="9"/>
      <c r="L39" s="616"/>
      <c r="M39" s="9"/>
      <c r="N39" s="9"/>
      <c r="O39" s="9"/>
      <c r="P39" s="619"/>
      <c r="Q39" s="616"/>
      <c r="R39" s="616"/>
      <c r="S39" s="2277"/>
      <c r="T39" s="2277"/>
      <c r="U39" s="14"/>
      <c r="V39" s="616"/>
      <c r="W39" s="9"/>
      <c r="X39" s="22"/>
      <c r="Y39" s="2277"/>
      <c r="Z39" s="2278"/>
      <c r="AA39" s="14"/>
      <c r="AB39" s="621"/>
      <c r="AC39" s="22"/>
      <c r="AD39" s="1425"/>
      <c r="AE39" s="14"/>
      <c r="AF39" s="2279"/>
      <c r="AG39" s="9"/>
      <c r="AI39" s="1426"/>
      <c r="AJ39" s="7"/>
      <c r="AK39" s="2242"/>
      <c r="AL39" s="2242"/>
    </row>
    <row r="40" spans="1:38" ht="18" customHeight="1">
      <c r="A40" s="2253" t="s">
        <v>41</v>
      </c>
      <c r="B40" s="2289"/>
      <c r="C40" s="2253"/>
      <c r="D40" s="619">
        <v>0</v>
      </c>
      <c r="E40" s="9"/>
      <c r="F40" s="10">
        <v>0</v>
      </c>
      <c r="G40" s="9"/>
      <c r="H40" s="1421">
        <f>'Exhibit G'!V104</f>
        <v>0</v>
      </c>
      <c r="I40" s="9"/>
      <c r="J40" s="10">
        <f>'Exhibit G'!AD104</f>
        <v>102.2</v>
      </c>
      <c r="K40" s="9"/>
      <c r="L40" s="616">
        <f>+'Exhibit H'!T57</f>
        <v>10.599999999999909</v>
      </c>
      <c r="M40" s="9"/>
      <c r="N40" s="9">
        <f>+'Exhibit H'!AA57</f>
        <v>2589.6</v>
      </c>
      <c r="O40" s="9" t="s">
        <v>15</v>
      </c>
      <c r="P40" s="619">
        <v>0</v>
      </c>
      <c r="Q40" s="616"/>
      <c r="R40" s="619">
        <v>0</v>
      </c>
      <c r="S40" s="2277"/>
      <c r="T40" s="2277"/>
      <c r="U40" s="14"/>
      <c r="V40" s="616">
        <f>ROUND(SUM(D40)+SUM(H40)+SUM(L40)+SUM(P40),1)</f>
        <v>10.6</v>
      </c>
      <c r="W40" s="9" t="s">
        <v>15</v>
      </c>
      <c r="X40" s="22">
        <f>ROUND(SUM(F40)+SUM(J40)+SUM(N40)+SUM(R40),1)</f>
        <v>2691.8</v>
      </c>
      <c r="Y40" s="2277"/>
      <c r="Z40" s="2278"/>
      <c r="AA40" s="14"/>
      <c r="AB40" s="2041">
        <v>44.6</v>
      </c>
      <c r="AC40" s="22"/>
      <c r="AD40" s="1425">
        <f>'Exhibit H'!AD57</f>
        <v>1556.8</v>
      </c>
      <c r="AE40" s="14"/>
      <c r="AF40" s="2279"/>
      <c r="AG40" s="9">
        <f>ROUND(SUM(X40-AD40),1)</f>
        <v>1135</v>
      </c>
      <c r="AI40" s="1426">
        <f>ROUND(SUM((+X40-AD40)/ABS(AD40)),3)</f>
        <v>0.72899999999999998</v>
      </c>
      <c r="AJ40" s="2300"/>
      <c r="AK40" s="2242"/>
      <c r="AL40" s="2242"/>
    </row>
    <row r="41" spans="1:38" ht="18" customHeight="1">
      <c r="A41" s="2253" t="s">
        <v>42</v>
      </c>
      <c r="B41" s="2296" t="s">
        <v>948</v>
      </c>
      <c r="C41" s="2253"/>
      <c r="D41" s="1418">
        <v>0</v>
      </c>
      <c r="E41" s="9"/>
      <c r="F41" s="17">
        <v>0</v>
      </c>
      <c r="G41" s="9"/>
      <c r="H41" s="1421">
        <f>'Exhibit G'!V105</f>
        <v>0</v>
      </c>
      <c r="I41" s="9"/>
      <c r="J41" s="9">
        <f>+'Exhibit G'!AD105</f>
        <v>2.2999999999999998</v>
      </c>
      <c r="K41" s="9"/>
      <c r="L41" s="1418">
        <v>0</v>
      </c>
      <c r="M41" s="9"/>
      <c r="N41" s="17">
        <v>0</v>
      </c>
      <c r="O41" s="9"/>
      <c r="P41" s="1421">
        <f>'Exhibit I'!W84</f>
        <v>453.49999999999977</v>
      </c>
      <c r="Q41" s="616"/>
      <c r="R41" s="620">
        <f>+'Exhibit I'!AF84</f>
        <v>5838.5</v>
      </c>
      <c r="S41" s="2277"/>
      <c r="T41" s="2277"/>
      <c r="U41" s="14"/>
      <c r="V41" s="616">
        <f>ROUND(SUM(D41)+SUM(H41)+SUM(L41)+SUM(P41),1)</f>
        <v>453.5</v>
      </c>
      <c r="W41" s="9" t="s">
        <v>15</v>
      </c>
      <c r="X41" s="22">
        <f>ROUND(SUM(F41)+SUM(J41)+SUM(N41)+SUM(R41),1)</f>
        <v>5840.8</v>
      </c>
      <c r="Y41" s="2277"/>
      <c r="Z41" s="2278"/>
      <c r="AA41" s="14"/>
      <c r="AB41" s="2041">
        <v>551.80000000000007</v>
      </c>
      <c r="AC41" s="22"/>
      <c r="AD41" s="1425">
        <f>'Exhibit G'!AG105+'Exhibit I'!AI84</f>
        <v>5976.8</v>
      </c>
      <c r="AE41" s="14"/>
      <c r="AF41" s="2279"/>
      <c r="AG41" s="9">
        <f>ROUND(SUM(X41-AD41),1)</f>
        <v>-136</v>
      </c>
      <c r="AI41" s="1426">
        <f>ROUND(SUM((+X41-AD41)/ABS(AD41)),3)</f>
        <v>-2.3E-2</v>
      </c>
      <c r="AJ41" s="2300"/>
      <c r="AK41" s="2242"/>
      <c r="AL41" s="2242"/>
    </row>
    <row r="42" spans="1:38" ht="18" customHeight="1">
      <c r="A42" s="2252" t="s">
        <v>43</v>
      </c>
      <c r="B42" s="2253"/>
      <c r="C42" s="2253"/>
      <c r="D42" s="12">
        <f>ROUND(SUM(D34:D41),1)</f>
        <v>2431.1999999999998</v>
      </c>
      <c r="E42" s="1364"/>
      <c r="F42" s="12">
        <f>ROUND(SUM(F34:F41),1)</f>
        <v>46365.9</v>
      </c>
      <c r="G42" s="1364"/>
      <c r="H42" s="12">
        <f>ROUND(SUM(H34:H41),1)</f>
        <v>9859.7000000000007</v>
      </c>
      <c r="I42" s="1364"/>
      <c r="J42" s="12">
        <f>ROUND(SUM(J34:J41),1)</f>
        <v>81290.399999999994</v>
      </c>
      <c r="K42" s="1364"/>
      <c r="L42" s="12">
        <f>ROUND(SUM(L34:L41),1)</f>
        <v>10.7</v>
      </c>
      <c r="M42" s="1364"/>
      <c r="N42" s="12">
        <f>ROUND(SUM(N34:N41),1)</f>
        <v>2613.6</v>
      </c>
      <c r="O42" s="1364"/>
      <c r="P42" s="12">
        <f>ROUND(SUM(P34:P41),1)</f>
        <v>834</v>
      </c>
      <c r="Q42" s="1364"/>
      <c r="R42" s="12">
        <f>ROUND(SUM(R34:R41),1)</f>
        <v>10061.6</v>
      </c>
      <c r="S42" s="2283"/>
      <c r="T42" s="2283"/>
      <c r="U42" s="2284"/>
      <c r="V42" s="12">
        <f>ROUND(SUM(V34:V41),1)</f>
        <v>13135.6</v>
      </c>
      <c r="W42" s="1364"/>
      <c r="X42" s="1558">
        <f>ROUND(SUM(X34:X41),1)</f>
        <v>140331.5</v>
      </c>
      <c r="Y42" s="2283"/>
      <c r="Z42" s="2285"/>
      <c r="AA42" s="2284"/>
      <c r="AB42" s="1558">
        <f>ROUND(SUM(AB34:AB41),1)</f>
        <v>14823</v>
      </c>
      <c r="AC42" s="23"/>
      <c r="AD42" s="1558">
        <f>ROUND(SUM(AD34:AD41),1)</f>
        <v>139182.1</v>
      </c>
      <c r="AE42" s="1478"/>
      <c r="AF42" s="2286"/>
      <c r="AG42" s="12">
        <f>ROUND(SUM(AG34:AG41),1)</f>
        <v>1149.4000000000001</v>
      </c>
      <c r="AH42" s="2287"/>
      <c r="AI42" s="1442">
        <f>ROUND(SUM((+X42-AD42)/ABS(AD42)),3)</f>
        <v>8.0000000000000002E-3</v>
      </c>
      <c r="AJ42" s="2254"/>
      <c r="AK42" s="2242"/>
      <c r="AL42" s="2242"/>
    </row>
    <row r="43" spans="1:38" ht="16.350000000000001" customHeight="1">
      <c r="A43" s="2252"/>
      <c r="B43" s="2253"/>
      <c r="C43" s="2253"/>
      <c r="D43" s="617"/>
      <c r="E43" s="9"/>
      <c r="F43" s="14"/>
      <c r="G43" s="9"/>
      <c r="H43" s="617"/>
      <c r="I43" s="9"/>
      <c r="J43" s="14"/>
      <c r="K43" s="9"/>
      <c r="L43" s="617"/>
      <c r="M43" s="9"/>
      <c r="N43" s="14"/>
      <c r="O43" s="9"/>
      <c r="P43" s="1424"/>
      <c r="Q43" s="616"/>
      <c r="R43" s="617"/>
      <c r="S43" s="2277"/>
      <c r="T43" s="2277"/>
      <c r="U43" s="14"/>
      <c r="V43" s="617"/>
      <c r="W43" s="9"/>
      <c r="X43" s="1425"/>
      <c r="Y43" s="2277"/>
      <c r="Z43" s="2278"/>
      <c r="AA43" s="14"/>
      <c r="AB43" s="1420" t="s">
        <v>15</v>
      </c>
      <c r="AC43" s="22"/>
      <c r="AD43" s="1425"/>
      <c r="AE43" s="1425"/>
      <c r="AF43" s="2279"/>
      <c r="AG43" s="14"/>
      <c r="AI43" s="1429"/>
      <c r="AJ43" s="7"/>
      <c r="AK43" s="2242"/>
      <c r="AL43" s="2242"/>
    </row>
    <row r="44" spans="1:38" ht="16.350000000000001" customHeight="1">
      <c r="A44" s="2252" t="s">
        <v>44</v>
      </c>
      <c r="B44" s="2252"/>
      <c r="C44" s="2253"/>
      <c r="D44" s="616"/>
      <c r="E44" s="9"/>
      <c r="F44" s="9"/>
      <c r="G44" s="9"/>
      <c r="H44" s="616"/>
      <c r="I44" s="9"/>
      <c r="J44" s="9"/>
      <c r="K44" s="9"/>
      <c r="L44" s="616" t="s">
        <v>15</v>
      </c>
      <c r="M44" s="9"/>
      <c r="N44" s="9"/>
      <c r="O44" s="9"/>
      <c r="P44" s="1421"/>
      <c r="Q44" s="616"/>
      <c r="R44" s="616"/>
      <c r="S44" s="2277"/>
      <c r="T44" s="2277"/>
      <c r="U44" s="14"/>
      <c r="V44" s="616"/>
      <c r="W44" s="9"/>
      <c r="X44" s="22"/>
      <c r="Y44" s="2277"/>
      <c r="Z44" s="2278"/>
      <c r="AA44" s="14"/>
      <c r="AB44" s="621"/>
      <c r="AC44" s="22"/>
      <c r="AD44" s="1425"/>
      <c r="AE44" s="1425"/>
      <c r="AF44" s="2279"/>
      <c r="AG44" s="9"/>
      <c r="AI44" s="1429"/>
      <c r="AJ44" s="7"/>
      <c r="AK44" s="2242"/>
      <c r="AL44" s="2242"/>
    </row>
    <row r="45" spans="1:38" ht="16.350000000000001" customHeight="1">
      <c r="A45" s="2252" t="s">
        <v>45</v>
      </c>
      <c r="B45" s="2252"/>
      <c r="C45" s="2253"/>
      <c r="D45" s="19">
        <f>ROUND(SUM(D20-D42),1)</f>
        <v>1378.4</v>
      </c>
      <c r="E45" s="1364"/>
      <c r="F45" s="19">
        <f>ROUND(SUM(F20-F42),1)</f>
        <v>-6785.6</v>
      </c>
      <c r="G45" s="1364"/>
      <c r="H45" s="19">
        <f>ROUND(SUM(H20-H42),1)</f>
        <v>-319.10000000000002</v>
      </c>
      <c r="I45" s="1364"/>
      <c r="J45" s="19">
        <f>ROUND(SUM(J20-J42),1)</f>
        <v>3769.8</v>
      </c>
      <c r="K45" s="1364"/>
      <c r="L45" s="19">
        <f>ROUND(SUM(L20-L42),1)</f>
        <v>5443.3</v>
      </c>
      <c r="M45" s="1364" t="s">
        <v>15</v>
      </c>
      <c r="N45" s="19">
        <f>ROUND(SUM(N20-N42),1)</f>
        <v>27078.5</v>
      </c>
      <c r="O45" s="1364" t="s">
        <v>15</v>
      </c>
      <c r="P45" s="20">
        <f>ROUND(SUM(P20-P42),1)</f>
        <v>-539.5</v>
      </c>
      <c r="Q45" s="1364" t="s">
        <v>15</v>
      </c>
      <c r="R45" s="20">
        <f>ROUND(SUM(R20-R42),1)</f>
        <v>-2563.3000000000002</v>
      </c>
      <c r="S45" s="2283"/>
      <c r="T45" s="2283"/>
      <c r="U45" s="2284"/>
      <c r="V45" s="19">
        <f>ROUND(SUM(V20-V42),1)</f>
        <v>5963.1</v>
      </c>
      <c r="W45" s="1364" t="s">
        <v>15</v>
      </c>
      <c r="X45" s="1652">
        <f>ROUND(SUM(X20-X42),1)</f>
        <v>21499.4</v>
      </c>
      <c r="Y45" s="2283"/>
      <c r="Z45" s="2285"/>
      <c r="AA45" s="2284"/>
      <c r="AB45" s="1652">
        <f>ROUND(SUM(AB20-AB42),1)</f>
        <v>4738.3999999999996</v>
      </c>
      <c r="AC45" s="23"/>
      <c r="AD45" s="1652">
        <f>ROUND(SUM(AD20-AD42),1)</f>
        <v>9773.7000000000007</v>
      </c>
      <c r="AE45" s="1478"/>
      <c r="AF45" s="2286"/>
      <c r="AG45" s="19">
        <f>ROUND(SUM(X45-AD45),1)</f>
        <v>11725.7</v>
      </c>
      <c r="AH45" s="2301"/>
      <c r="AI45" s="1428">
        <f>ROUND(SUM((+X45-AD45)/ABS(AD45)),3)</f>
        <v>1.2</v>
      </c>
      <c r="AJ45" s="2254"/>
      <c r="AK45" s="2242"/>
      <c r="AL45" s="2242"/>
    </row>
    <row r="46" spans="1:38" ht="16.350000000000001" customHeight="1">
      <c r="A46" s="2253"/>
      <c r="B46" s="2253"/>
      <c r="C46" s="2253"/>
      <c r="D46" s="617"/>
      <c r="E46" s="9"/>
      <c r="F46" s="14"/>
      <c r="G46" s="9"/>
      <c r="H46" s="1420"/>
      <c r="I46" s="9"/>
      <c r="J46" s="14"/>
      <c r="K46" s="9"/>
      <c r="L46" s="617"/>
      <c r="M46" s="9"/>
      <c r="N46" s="14"/>
      <c r="O46" s="9"/>
      <c r="P46" s="3609"/>
      <c r="Q46" s="616"/>
      <c r="R46" s="617"/>
      <c r="S46" s="2277"/>
      <c r="T46" s="2277"/>
      <c r="U46" s="14"/>
      <c r="V46" s="617"/>
      <c r="W46" s="9"/>
      <c r="X46" s="1425"/>
      <c r="Y46" s="2277"/>
      <c r="Z46" s="2278"/>
      <c r="AA46" s="14"/>
      <c r="AB46" s="1420"/>
      <c r="AC46" s="22"/>
      <c r="AD46" s="1425"/>
      <c r="AE46" s="1425"/>
      <c r="AF46" s="2279"/>
      <c r="AG46" s="14"/>
      <c r="AI46" s="1429"/>
      <c r="AJ46" s="7"/>
      <c r="AK46" s="2242"/>
      <c r="AL46" s="2242"/>
    </row>
    <row r="47" spans="1:38" ht="16.350000000000001" customHeight="1">
      <c r="A47" s="2252" t="s">
        <v>46</v>
      </c>
      <c r="B47" s="2252"/>
      <c r="C47" s="2253"/>
      <c r="D47" s="616"/>
      <c r="E47" s="9"/>
      <c r="F47" s="22"/>
      <c r="G47" s="22"/>
      <c r="H47" s="621"/>
      <c r="I47" s="22"/>
      <c r="J47" s="22"/>
      <c r="K47" s="22"/>
      <c r="L47" s="621"/>
      <c r="M47" s="22"/>
      <c r="N47" s="22"/>
      <c r="O47" s="22"/>
      <c r="P47" s="3495"/>
      <c r="Q47" s="621"/>
      <c r="R47" s="1420"/>
      <c r="S47" s="2277"/>
      <c r="T47" s="2277"/>
      <c r="U47" s="14"/>
      <c r="V47" s="616"/>
      <c r="W47" s="9"/>
      <c r="X47" s="22"/>
      <c r="Y47" s="2277"/>
      <c r="Z47" s="2278"/>
      <c r="AA47" s="14"/>
      <c r="AB47" s="621"/>
      <c r="AC47" s="22"/>
      <c r="AD47" s="1425"/>
      <c r="AE47" s="1425"/>
      <c r="AF47" s="2279"/>
      <c r="AG47" s="9"/>
      <c r="AI47" s="1429"/>
      <c r="AJ47" s="7"/>
      <c r="AK47" s="2242"/>
      <c r="AL47" s="2242"/>
    </row>
    <row r="48" spans="1:38" ht="18" customHeight="1">
      <c r="A48" s="3691" t="s">
        <v>1479</v>
      </c>
      <c r="B48" s="2253"/>
      <c r="C48" s="2253"/>
      <c r="D48" s="1419">
        <v>0</v>
      </c>
      <c r="E48" s="9"/>
      <c r="F48" s="21">
        <v>0</v>
      </c>
      <c r="G48" s="22"/>
      <c r="H48" s="1419">
        <v>0</v>
      </c>
      <c r="I48" s="22"/>
      <c r="J48" s="21">
        <v>0</v>
      </c>
      <c r="K48" s="22"/>
      <c r="L48" s="1419">
        <v>0</v>
      </c>
      <c r="M48" s="1425"/>
      <c r="N48" s="21">
        <v>0</v>
      </c>
      <c r="O48" s="1425"/>
      <c r="P48" s="1419">
        <f>+'Exhibit I'!W92</f>
        <v>0</v>
      </c>
      <c r="Q48" s="1420"/>
      <c r="R48" s="1419">
        <f>'Exhibit I'!AF92</f>
        <v>0</v>
      </c>
      <c r="S48" s="2277"/>
      <c r="T48" s="2277"/>
      <c r="U48" s="14"/>
      <c r="V48" s="616">
        <f>ROUND(SUM(D48)+SUM(H48)+SUM(L48)+SUM(P48),1)</f>
        <v>0</v>
      </c>
      <c r="W48" s="17"/>
      <c r="X48" s="22">
        <f>ROUND(SUM(F48)+SUM(J48)+SUM(N48)+SUM(R48),1)</f>
        <v>0</v>
      </c>
      <c r="Y48" s="2277"/>
      <c r="Z48" s="2278"/>
      <c r="AA48" s="14"/>
      <c r="AB48" s="2041">
        <v>0</v>
      </c>
      <c r="AC48" s="21"/>
      <c r="AD48" s="3867">
        <f>'Exhibit I'!AI92</f>
        <v>0</v>
      </c>
      <c r="AE48" s="17"/>
      <c r="AF48" s="2303"/>
      <c r="AG48" s="14">
        <f>X48-AD48</f>
        <v>0</v>
      </c>
      <c r="AH48" s="2304"/>
      <c r="AI48" s="1426">
        <f>ROUND(IF(AD48=0,0,AG48/ABS(AD48)),3)</f>
        <v>0</v>
      </c>
      <c r="AJ48" s="2305"/>
      <c r="AK48" s="2242"/>
      <c r="AL48" s="2242"/>
    </row>
    <row r="49" spans="1:40" ht="18" customHeight="1">
      <c r="A49" s="2302" t="s">
        <v>47</v>
      </c>
      <c r="B49" s="2306" t="s">
        <v>1243</v>
      </c>
      <c r="C49" s="2302"/>
      <c r="D49" s="621">
        <f>+'Exhibit F'!V123+'Exhibit F'!V124+'Exhibit F'!V125+'Exhibit F'!V126</f>
        <v>2103.8000000000006</v>
      </c>
      <c r="E49" s="9"/>
      <c r="F49" s="22">
        <f>+'Exhibit F'!AC123+'Exhibit F'!AC124+'Exhibit F'!AC125+'Exhibit F'!AC126</f>
        <v>22066.600000000002</v>
      </c>
      <c r="G49" s="22"/>
      <c r="H49" s="621">
        <f>'Exhibit G'!V113-18.9</f>
        <v>44.999999999999638</v>
      </c>
      <c r="I49" s="22"/>
      <c r="J49" s="22">
        <f>+'Exhibit G'!AD113</f>
        <v>1889.3</v>
      </c>
      <c r="K49" s="1425"/>
      <c r="L49" s="1420">
        <f>+'Exhibit H'!T66</f>
        <v>367.2</v>
      </c>
      <c r="M49" s="1425"/>
      <c r="N49" s="22">
        <f>+'Exhibit H'!AA66</f>
        <v>1968.7</v>
      </c>
      <c r="O49" s="1425"/>
      <c r="P49" s="1419">
        <f>'Exhibit I'!W93</f>
        <v>481.90000000000009</v>
      </c>
      <c r="Q49" s="1420"/>
      <c r="R49" s="1420">
        <f>+'Exhibit I'!AF93</f>
        <v>2698.8</v>
      </c>
      <c r="S49" s="2307"/>
      <c r="T49" s="2307"/>
      <c r="U49" s="1425"/>
      <c r="V49" s="616">
        <f>ROUND(SUM(D49)+SUM(H49)+SUM(L49)+SUM(P49),1)</f>
        <v>2997.9</v>
      </c>
      <c r="W49" s="22" t="s">
        <v>15</v>
      </c>
      <c r="X49" s="22">
        <f>ROUND(SUM(F49)+SUM(J49)+SUM(N49)+SUM(R49),1)</f>
        <v>28623.4</v>
      </c>
      <c r="Y49" s="2307"/>
      <c r="Z49" s="2308"/>
      <c r="AA49" s="1425"/>
      <c r="AB49" s="2041">
        <v>4969.2</v>
      </c>
      <c r="AC49" s="22"/>
      <c r="AD49" s="1425">
        <f>'Exhibit F'!AF123+'Exhibit F'!AF124+'Exhibit F'!AF125+'Exhibit F'!AF126+'Exhibit G'!AG113+'Exhibit H'!AD66+'Exhibit I'!AI93</f>
        <v>37629.600000000006</v>
      </c>
      <c r="AE49" s="1425"/>
      <c r="AF49" s="2279"/>
      <c r="AG49" s="14">
        <f>ROUND(SUM(X49-AD49),1)</f>
        <v>-9006.2000000000007</v>
      </c>
      <c r="AH49" s="2304"/>
      <c r="AI49" s="1426">
        <f>ROUND(SUM((+X49-AD49)/ABS(AD49)),3)</f>
        <v>-0.23899999999999999</v>
      </c>
      <c r="AJ49" s="7"/>
      <c r="AK49" s="2242"/>
      <c r="AL49" s="2242"/>
    </row>
    <row r="50" spans="1:40" ht="18" customHeight="1">
      <c r="A50" s="2302" t="s">
        <v>48</v>
      </c>
      <c r="B50" s="2306" t="s">
        <v>1243</v>
      </c>
      <c r="C50" s="2302"/>
      <c r="D50" s="1420">
        <f>+'Exhibit F'!V127+'Exhibit F'!V129+'Exhibit F'!V130+'Exhibit F'!V128</f>
        <v>-701.90000000000009</v>
      </c>
      <c r="E50" s="22"/>
      <c r="F50" s="22">
        <f>+'Exhibit F'!AC127+'Exhibit F'!AC129+'Exhibit F'!AC130+'Exhibit F'!AC128</f>
        <v>-4892.5</v>
      </c>
      <c r="G50" s="22"/>
      <c r="H50" s="621">
        <f>'Exhibit G'!V114+18.9</f>
        <v>-210.60000000000005</v>
      </c>
      <c r="I50" s="22"/>
      <c r="J50" s="22">
        <f>+'Exhibit G'!AD114</f>
        <v>-1677.3</v>
      </c>
      <c r="K50" s="22"/>
      <c r="L50" s="1420">
        <f>+'Exhibit H'!T67</f>
        <v>-2075.1000000000022</v>
      </c>
      <c r="M50" s="1425"/>
      <c r="N50" s="22">
        <f>+'Exhibit H'!AA67</f>
        <v>-21901.4</v>
      </c>
      <c r="O50" s="1425"/>
      <c r="P50" s="1419">
        <f>'Exhibit I'!W94</f>
        <v>-11.600000000000023</v>
      </c>
      <c r="Q50" s="621"/>
      <c r="R50" s="1420">
        <f>+'Exhibit I'!AF94</f>
        <v>-364.5</v>
      </c>
      <c r="S50" s="2307"/>
      <c r="T50" s="2307"/>
      <c r="U50" s="1425"/>
      <c r="V50" s="616">
        <f>ROUND(SUM(D50)+SUM(H50)+SUM(L50)+SUM(P50),1)</f>
        <v>-2999.2</v>
      </c>
      <c r="W50" s="2309" t="s">
        <v>15</v>
      </c>
      <c r="X50" s="22">
        <f>ROUND(SUM(F50)+SUM(J50)+SUM(N50)+SUM(R50),1)</f>
        <v>-28835.7</v>
      </c>
      <c r="Y50" s="2307"/>
      <c r="Z50" s="2308"/>
      <c r="AA50" s="1425"/>
      <c r="AB50" s="2041">
        <v>-4979.8999999999996</v>
      </c>
      <c r="AC50" s="22"/>
      <c r="AD50" s="1425">
        <f>'Exhibit F'!AF127+'Exhibit F'!AF128+'Exhibit F'!AF129+'Exhibit F'!AF130+'Exhibit G'!AG114+'Exhibit H'!AD67+'Exhibit I'!AI94</f>
        <v>-37750.300000000003</v>
      </c>
      <c r="AE50" s="1425"/>
      <c r="AF50" s="2279"/>
      <c r="AG50" s="2310">
        <f>ROUND(SUM(X50-AD50),1)*-1</f>
        <v>-8914.6</v>
      </c>
      <c r="AI50" s="1427">
        <f>-ROUND(SUM((+X50-AD50)/ABS(AD50)),3)</f>
        <v>-0.23599999999999999</v>
      </c>
      <c r="AJ50" s="7"/>
      <c r="AK50" s="2242"/>
      <c r="AL50" s="2242"/>
    </row>
    <row r="51" spans="1:40" ht="18" customHeight="1">
      <c r="A51" s="2252" t="s">
        <v>49</v>
      </c>
      <c r="B51" s="2252"/>
      <c r="C51" s="2253"/>
      <c r="D51" s="12">
        <f>ROUND(SUM(D48:D50),1)</f>
        <v>1401.9</v>
      </c>
      <c r="E51" s="9"/>
      <c r="F51" s="1558">
        <f>ROUND(SUM(F48:F50),1)</f>
        <v>17174.099999999999</v>
      </c>
      <c r="G51" s="23"/>
      <c r="H51" s="1558">
        <f>ROUND(SUM(H48:H50),1)</f>
        <v>-165.6</v>
      </c>
      <c r="I51" s="23"/>
      <c r="J51" s="1558">
        <f>ROUND(SUM(J48:J50),1)</f>
        <v>212</v>
      </c>
      <c r="K51" s="23"/>
      <c r="L51" s="1558">
        <f>ROUND(SUM(L48:L50),1)</f>
        <v>-1707.9</v>
      </c>
      <c r="M51" s="23"/>
      <c r="N51" s="1558">
        <f>ROUND(SUM(N48:N50),1)</f>
        <v>-19932.7</v>
      </c>
      <c r="O51" s="23"/>
      <c r="P51" s="1558">
        <f>ROUND(SUM(P48:P50),1)</f>
        <v>470.3</v>
      </c>
      <c r="Q51" s="23"/>
      <c r="R51" s="1558">
        <f>ROUND(SUM(R48:R50),1)</f>
        <v>2334.3000000000002</v>
      </c>
      <c r="S51" s="2283"/>
      <c r="T51" s="2283"/>
      <c r="U51" s="2284"/>
      <c r="V51" s="1502">
        <f>ROUND(SUM(V48+V49+V50),1)</f>
        <v>-1.3</v>
      </c>
      <c r="W51" s="1364"/>
      <c r="X51" s="2311">
        <f>ROUND(SUM(+X48+X49+X50),1)</f>
        <v>-212.3</v>
      </c>
      <c r="Y51" s="2283"/>
      <c r="Z51" s="2285"/>
      <c r="AA51" s="2284"/>
      <c r="AB51" s="2311">
        <f>ROUND(SUM(+AB48+AB49+AB50),1)</f>
        <v>-10.7</v>
      </c>
      <c r="AC51" s="23"/>
      <c r="AD51" s="2311">
        <f>ROUND(SUM(+AD48+AD49+AD50),1)</f>
        <v>-120.7</v>
      </c>
      <c r="AE51" s="2312"/>
      <c r="AF51" s="2286"/>
      <c r="AG51" s="11">
        <f>ROUND(SUM(+AG49-AG50+AG48),1)</f>
        <v>-91.6</v>
      </c>
      <c r="AH51" s="2287"/>
      <c r="AI51" s="1428">
        <f>-ROUND(SUM(AG51/AD51),3)</f>
        <v>-0.75900000000000001</v>
      </c>
      <c r="AJ51" s="2254"/>
      <c r="AK51" s="2242"/>
      <c r="AL51" s="2242"/>
    </row>
    <row r="52" spans="1:40" ht="16.350000000000001" customHeight="1">
      <c r="A52" s="2253"/>
      <c r="B52" s="2253"/>
      <c r="C52" s="2253"/>
      <c r="D52" s="617"/>
      <c r="E52" s="9"/>
      <c r="F52" s="1420" t="s">
        <v>15</v>
      </c>
      <c r="G52" s="22"/>
      <c r="H52" s="1420" t="s">
        <v>15</v>
      </c>
      <c r="I52" s="22"/>
      <c r="J52" s="1425"/>
      <c r="K52" s="22"/>
      <c r="L52" s="1420" t="s">
        <v>15</v>
      </c>
      <c r="M52" s="22"/>
      <c r="N52" s="1425"/>
      <c r="O52" s="22"/>
      <c r="P52" s="1420" t="s">
        <v>15</v>
      </c>
      <c r="Q52" s="621"/>
      <c r="R52" s="1420" t="s">
        <v>15</v>
      </c>
      <c r="S52" s="2277"/>
      <c r="T52" s="2277"/>
      <c r="U52" s="14"/>
      <c r="V52" s="617"/>
      <c r="W52" s="9"/>
      <c r="X52" s="14"/>
      <c r="Y52" s="2277"/>
      <c r="Z52" s="2278"/>
      <c r="AA52" s="14"/>
      <c r="AB52" s="1420"/>
      <c r="AC52" s="22"/>
      <c r="AD52" s="1425"/>
      <c r="AE52" s="1425"/>
      <c r="AF52" s="2279"/>
      <c r="AG52" s="14"/>
      <c r="AI52" s="1429"/>
      <c r="AJ52" s="7"/>
      <c r="AK52" s="2242"/>
      <c r="AL52" s="2242"/>
    </row>
    <row r="53" spans="1:40" ht="18" customHeight="1">
      <c r="A53" s="2251" t="s">
        <v>44</v>
      </c>
      <c r="B53" s="2252"/>
      <c r="C53" s="2253"/>
      <c r="D53" s="616"/>
      <c r="E53" s="9"/>
      <c r="F53" s="616" t="s">
        <v>15</v>
      </c>
      <c r="G53" s="9"/>
      <c r="H53" s="616" t="s">
        <v>15</v>
      </c>
      <c r="I53" s="9"/>
      <c r="J53" s="9"/>
      <c r="K53" s="9"/>
      <c r="L53" s="616"/>
      <c r="M53" s="9"/>
      <c r="N53" s="9"/>
      <c r="O53" s="9"/>
      <c r="P53" s="616"/>
      <c r="Q53" s="616"/>
      <c r="R53" s="616"/>
      <c r="S53" s="2277"/>
      <c r="T53" s="2277"/>
      <c r="U53" s="14"/>
      <c r="V53" s="616"/>
      <c r="W53" s="9"/>
      <c r="X53" s="9"/>
      <c r="Y53" s="2277"/>
      <c r="Z53" s="2278"/>
      <c r="AA53" s="14"/>
      <c r="AB53" s="621"/>
      <c r="AC53" s="22"/>
      <c r="AD53" s="1425"/>
      <c r="AE53" s="1425"/>
      <c r="AF53" s="2279"/>
      <c r="AG53" s="9"/>
      <c r="AI53" s="1430"/>
      <c r="AJ53" s="7"/>
      <c r="AK53" s="2242"/>
      <c r="AL53" s="2242"/>
    </row>
    <row r="54" spans="1:40" ht="18" customHeight="1">
      <c r="A54" s="2251" t="s">
        <v>50</v>
      </c>
      <c r="B54" s="2251"/>
      <c r="C54" s="2302"/>
      <c r="D54" s="621"/>
      <c r="E54" s="22"/>
      <c r="F54" s="22"/>
      <c r="G54" s="22"/>
      <c r="H54" s="616"/>
      <c r="I54" s="9"/>
      <c r="J54" s="9"/>
      <c r="K54" s="9"/>
      <c r="L54" s="616"/>
      <c r="M54" s="9"/>
      <c r="N54" s="9"/>
      <c r="O54" s="9"/>
      <c r="P54" s="621"/>
      <c r="Q54" s="616"/>
      <c r="R54" s="616"/>
      <c r="S54" s="2277"/>
      <c r="T54" s="2277"/>
      <c r="U54" s="14"/>
      <c r="V54" s="616" t="s">
        <v>15</v>
      </c>
      <c r="W54" s="9"/>
      <c r="X54" s="9"/>
      <c r="Y54" s="2277"/>
      <c r="Z54" s="2278"/>
      <c r="AA54" s="14"/>
      <c r="AB54" s="621"/>
      <c r="AC54" s="22"/>
      <c r="AD54" s="1425"/>
      <c r="AE54" s="1425"/>
      <c r="AF54" s="2279"/>
      <c r="AG54" s="9"/>
      <c r="AI54" s="1429"/>
      <c r="AJ54" s="7"/>
      <c r="AK54" s="2242"/>
      <c r="AL54" s="2242"/>
    </row>
    <row r="55" spans="1:40" ht="18" customHeight="1">
      <c r="A55" s="2251" t="s">
        <v>51</v>
      </c>
      <c r="B55" s="2251"/>
      <c r="C55" s="2302"/>
      <c r="D55" s="23">
        <f>ROUND(SUM(D45+D51),1)</f>
        <v>2780.3</v>
      </c>
      <c r="E55" s="23"/>
      <c r="F55" s="23">
        <f>ROUND(SUM(F45)+SUM(F51),1)</f>
        <v>10388.5</v>
      </c>
      <c r="G55" s="23"/>
      <c r="H55" s="23">
        <f>ROUND(SUM(H45+H51),1)</f>
        <v>-484.7</v>
      </c>
      <c r="I55" s="23"/>
      <c r="J55" s="23">
        <f>ROUND(SUM(J45)+SUM(J51),1)</f>
        <v>3981.8</v>
      </c>
      <c r="K55" s="23"/>
      <c r="L55" s="23">
        <f>ROUND(SUM(L45+L51),1)</f>
        <v>3735.4</v>
      </c>
      <c r="M55" s="23"/>
      <c r="N55" s="23">
        <f>ROUND(SUM(N45+N51),1)</f>
        <v>7145.8</v>
      </c>
      <c r="O55" s="23"/>
      <c r="P55" s="23">
        <f>ROUND(SUM(P45+P51),1)</f>
        <v>-69.2</v>
      </c>
      <c r="Q55" s="23"/>
      <c r="R55" s="23">
        <f>ROUND(SUM(R45+R51),1)</f>
        <v>-229</v>
      </c>
      <c r="S55" s="2313"/>
      <c r="T55" s="2313"/>
      <c r="U55" s="1478"/>
      <c r="V55" s="23">
        <f>ROUND(SUM(V45)+SUM(V51),1)</f>
        <v>5961.8</v>
      </c>
      <c r="W55" s="23"/>
      <c r="X55" s="23">
        <f>ROUND(SUM(X45)+SUM(X51),1)</f>
        <v>21287.1</v>
      </c>
      <c r="Y55" s="2313"/>
      <c r="Z55" s="2314"/>
      <c r="AA55" s="1478"/>
      <c r="AB55" s="23">
        <f>ROUND(SUM(AB45)+SUM(AB51),1)</f>
        <v>4727.7</v>
      </c>
      <c r="AC55" s="23"/>
      <c r="AD55" s="23">
        <f>ROUND(SUM(AD45)+SUM(AD51),1)</f>
        <v>9653</v>
      </c>
      <c r="AE55" s="1478"/>
      <c r="AF55" s="2286"/>
      <c r="AG55" s="2284">
        <f>ROUND(SUM(+AG45+AG51),1)</f>
        <v>11634.1</v>
      </c>
      <c r="AH55" s="2287"/>
      <c r="AI55" s="1490">
        <f>ROUND(SUM((+X55-AD55)/ABS(AD55)),3)</f>
        <v>1.2050000000000001</v>
      </c>
      <c r="AJ55" s="2315"/>
      <c r="AK55" s="2316"/>
      <c r="AL55" s="2242"/>
    </row>
    <row r="56" spans="1:40" ht="16.350000000000001" customHeight="1">
      <c r="A56" s="2252"/>
      <c r="B56" s="2251"/>
      <c r="C56" s="2302"/>
      <c r="D56" s="621"/>
      <c r="E56" s="22"/>
      <c r="F56" s="1425"/>
      <c r="G56" s="22"/>
      <c r="H56" s="621"/>
      <c r="I56" s="22"/>
      <c r="J56" s="22"/>
      <c r="K56" s="22"/>
      <c r="L56" s="621"/>
      <c r="M56" s="22"/>
      <c r="N56" s="22"/>
      <c r="O56" s="22"/>
      <c r="P56" s="1420"/>
      <c r="Q56" s="621"/>
      <c r="R56" s="621"/>
      <c r="S56" s="2307"/>
      <c r="T56" s="2307"/>
      <c r="U56" s="1425"/>
      <c r="V56" s="621"/>
      <c r="W56" s="22"/>
      <c r="X56" s="22"/>
      <c r="Y56" s="2307"/>
      <c r="Z56" s="2308"/>
      <c r="AA56" s="1425"/>
      <c r="AB56" s="621"/>
      <c r="AC56" s="22"/>
      <c r="AD56" s="1425"/>
      <c r="AE56" s="1425"/>
      <c r="AF56" s="2279"/>
      <c r="AG56" s="9"/>
      <c r="AI56" s="1429"/>
      <c r="AJ56" s="7"/>
      <c r="AK56" s="2242"/>
      <c r="AL56" s="2242"/>
    </row>
    <row r="57" spans="1:40" s="2237" customFormat="1" ht="18" customHeight="1">
      <c r="A57" s="2318" t="s">
        <v>52</v>
      </c>
      <c r="B57" s="3106"/>
      <c r="C57" s="2302"/>
      <c r="D57" s="1652">
        <f>+'Exhibit F'!V12</f>
        <v>16552.400000000001</v>
      </c>
      <c r="E57" s="23"/>
      <c r="F57" s="1652">
        <f>'Exhibit F'!D12</f>
        <v>8944.2000000000007</v>
      </c>
      <c r="G57" s="23"/>
      <c r="H57" s="1652">
        <f>+'Exhibit G'!V13</f>
        <v>10778.6</v>
      </c>
      <c r="I57" s="23"/>
      <c r="J57" s="1652">
        <f>'Exhibit G'!D13</f>
        <v>6312.0999999999995</v>
      </c>
      <c r="K57" s="23"/>
      <c r="L57" s="1652">
        <f>'Exhibit H'!T12</f>
        <v>3473.8</v>
      </c>
      <c r="M57" s="23"/>
      <c r="N57" s="1652">
        <f>'Exhibit H'!B12</f>
        <v>63.4</v>
      </c>
      <c r="O57" s="1478"/>
      <c r="P57" s="1652">
        <f>+'Exhibit I'!W15</f>
        <v>-1194.7</v>
      </c>
      <c r="Q57" s="1478"/>
      <c r="R57" s="1652">
        <f>'Exhibit I'!E15</f>
        <v>-1034.9000000000001</v>
      </c>
      <c r="S57" s="2313"/>
      <c r="T57" s="2313"/>
      <c r="U57" s="1478"/>
      <c r="V57" s="1652">
        <f>D57+H57+L57+P57</f>
        <v>29610.1</v>
      </c>
      <c r="W57" s="23"/>
      <c r="X57" s="1652">
        <f>F57+J57+N57+R57</f>
        <v>14284.8</v>
      </c>
      <c r="Y57" s="2313"/>
      <c r="Z57" s="2314"/>
      <c r="AA57" s="1478"/>
      <c r="AB57" s="3695">
        <v>14900.3</v>
      </c>
      <c r="AC57" s="23"/>
      <c r="AD57" s="1652">
        <f>'Exhibit F'!AF12+'Exhibit G'!AG13+'Exhibit H'!AD12+'Exhibit I'!AI15</f>
        <v>9975</v>
      </c>
      <c r="AE57" s="1478"/>
      <c r="AF57" s="3082"/>
      <c r="AG57" s="1652">
        <f>ROUND(SUM(X57-AD57),1)</f>
        <v>4309.8</v>
      </c>
      <c r="AH57" s="3073"/>
      <c r="AI57" s="3083">
        <f>ROUND(SUM((+X57-AD57)/ABS(AD57)),3)</f>
        <v>0.432</v>
      </c>
      <c r="AJ57" s="2315"/>
      <c r="AK57" s="3080"/>
      <c r="AL57" s="3080"/>
    </row>
    <row r="58" spans="1:40" s="2237" customFormat="1" ht="16.350000000000001" customHeight="1">
      <c r="A58" s="2302"/>
      <c r="B58" s="2302"/>
      <c r="C58" s="2302"/>
      <c r="D58" s="1420"/>
      <c r="E58" s="22"/>
      <c r="F58" s="1425"/>
      <c r="G58" s="22"/>
      <c r="H58" s="1420"/>
      <c r="I58" s="22"/>
      <c r="J58" s="1425"/>
      <c r="K58" s="22"/>
      <c r="L58" s="1420"/>
      <c r="M58" s="22"/>
      <c r="N58" s="1425"/>
      <c r="O58" s="22"/>
      <c r="P58" s="1420"/>
      <c r="Q58" s="621"/>
      <c r="R58" s="1420"/>
      <c r="S58" s="2307"/>
      <c r="T58" s="2307"/>
      <c r="U58" s="1425"/>
      <c r="V58" s="1420"/>
      <c r="W58" s="22"/>
      <c r="X58" s="1425"/>
      <c r="Y58" s="2307"/>
      <c r="Z58" s="2308"/>
      <c r="AA58" s="1425"/>
      <c r="AB58" s="1420"/>
      <c r="AC58" s="22"/>
      <c r="AD58" s="1425"/>
      <c r="AE58" s="1425"/>
      <c r="AF58" s="3081"/>
      <c r="AG58" s="1425"/>
      <c r="AI58" s="3079"/>
      <c r="AJ58" s="2263"/>
      <c r="AK58" s="3080"/>
      <c r="AL58" s="3080"/>
    </row>
    <row r="59" spans="1:40" s="2237" customFormat="1" ht="18" customHeight="1" thickBot="1">
      <c r="A59" s="2318" t="s">
        <v>53</v>
      </c>
      <c r="B59" s="2319"/>
      <c r="C59" s="3071"/>
      <c r="D59" s="25">
        <f>ROUND(SUM(D55+D57),1)</f>
        <v>19332.7</v>
      </c>
      <c r="E59" s="2320"/>
      <c r="F59" s="25">
        <f>ROUND(SUM(F55+F57),1)</f>
        <v>19332.7</v>
      </c>
      <c r="G59" s="2320"/>
      <c r="H59" s="25">
        <f>ROUND(SUM(H55+H57),1)</f>
        <v>10293.9</v>
      </c>
      <c r="I59" s="2320"/>
      <c r="J59" s="25">
        <f>ROUND(SUM(J55)+SUM(J57),1)</f>
        <v>10293.9</v>
      </c>
      <c r="K59" s="2320"/>
      <c r="L59" s="25">
        <f>ROUND(SUM(L55+L57),1)</f>
        <v>7209.2</v>
      </c>
      <c r="M59" s="2320"/>
      <c r="N59" s="25">
        <f>ROUND(SUM(N55+N57),1)</f>
        <v>7209.2</v>
      </c>
      <c r="O59" s="2320"/>
      <c r="P59" s="25">
        <f>ROUND(SUM(P55+P57),1)</f>
        <v>-1263.9000000000001</v>
      </c>
      <c r="Q59" s="2320"/>
      <c r="R59" s="25">
        <f>ROUND(SUM(R55+R57),1)</f>
        <v>-1263.9000000000001</v>
      </c>
      <c r="S59" s="2321"/>
      <c r="T59" s="2321"/>
      <c r="U59" s="2322"/>
      <c r="V59" s="25">
        <f>ROUND(SUM(V55+V57),1)</f>
        <v>35571.9</v>
      </c>
      <c r="W59" s="2320"/>
      <c r="X59" s="25">
        <f>ROUND(SUM(X55+X57),1)</f>
        <v>35571.9</v>
      </c>
      <c r="Y59" s="2321"/>
      <c r="Z59" s="2323"/>
      <c r="AA59" s="2322"/>
      <c r="AB59" s="25">
        <f>ROUND(SUM(AB55+AB57),1)</f>
        <v>19628</v>
      </c>
      <c r="AC59" s="2320"/>
      <c r="AD59" s="25">
        <f>ROUND(SUM(AD55+AD57),1)</f>
        <v>19628</v>
      </c>
      <c r="AE59" s="2322"/>
      <c r="AF59" s="3072"/>
      <c r="AG59" s="25">
        <f>ROUND(SUM(AG55+AG57),1)</f>
        <v>15943.9</v>
      </c>
      <c r="AH59" s="3073"/>
      <c r="AI59" s="3074">
        <f>ROUND(SUM((+X59-AD59)/ABS(AD59)),3)</f>
        <v>0.81200000000000006</v>
      </c>
      <c r="AJ59" s="2325"/>
      <c r="AK59" s="3075"/>
      <c r="AL59" s="3075"/>
      <c r="AM59" s="3076"/>
      <c r="AN59" s="3073"/>
    </row>
    <row r="60" spans="1:40" s="2237" customFormat="1" ht="15.75" thickTop="1">
      <c r="A60" s="3077"/>
      <c r="B60" s="3077"/>
      <c r="C60" s="3077"/>
      <c r="D60" s="2329"/>
      <c r="E60" s="2330"/>
      <c r="F60" s="2330"/>
      <c r="G60" s="2330"/>
      <c r="H60" s="2329"/>
      <c r="I60" s="2330"/>
      <c r="J60" s="2330"/>
      <c r="K60" s="2330"/>
      <c r="L60" s="2329"/>
      <c r="M60" s="2330"/>
      <c r="N60" s="2330"/>
      <c r="O60" s="2330"/>
      <c r="P60" s="2330"/>
      <c r="Q60" s="2330"/>
      <c r="R60" s="2330"/>
      <c r="S60" s="2330"/>
      <c r="T60" s="2330"/>
      <c r="U60" s="2330"/>
      <c r="V60" s="2329"/>
      <c r="W60" s="2330"/>
      <c r="X60" s="2330"/>
      <c r="Y60" s="2330"/>
      <c r="Z60" s="2330"/>
      <c r="AA60" s="2330"/>
      <c r="AB60" s="2329"/>
      <c r="AC60" s="3389"/>
      <c r="AD60" s="2330"/>
      <c r="AE60" s="2330"/>
      <c r="AF60" s="2330"/>
      <c r="AG60" s="2330"/>
      <c r="AI60" s="3078"/>
      <c r="AJ60" s="3079"/>
      <c r="AK60" s="3080"/>
      <c r="AL60" s="3080"/>
    </row>
    <row r="61" spans="1:40" ht="15.75">
      <c r="A61" s="2332"/>
      <c r="B61" s="3868"/>
      <c r="C61" s="3868"/>
      <c r="D61" s="2334"/>
      <c r="E61" s="2343"/>
      <c r="F61" s="2343"/>
      <c r="G61" s="2343"/>
      <c r="H61" s="2334"/>
      <c r="I61" s="2343"/>
      <c r="J61" s="2343"/>
      <c r="K61" s="2343"/>
      <c r="L61" s="2334"/>
      <c r="M61" s="2343"/>
      <c r="N61" s="2343"/>
      <c r="O61" s="2343"/>
      <c r="P61" s="3373" t="s">
        <v>15</v>
      </c>
      <c r="Q61" s="2343"/>
      <c r="R61" s="2343"/>
      <c r="S61" s="2343"/>
      <c r="T61" s="2343"/>
      <c r="U61" s="2343"/>
      <c r="V61" s="2334" t="s">
        <v>15</v>
      </c>
      <c r="W61" s="2343"/>
      <c r="X61" s="2343"/>
      <c r="Y61" s="2343"/>
      <c r="Z61" s="2343"/>
      <c r="AA61" s="2343"/>
      <c r="AB61" s="2334"/>
      <c r="AC61" s="2343"/>
      <c r="AI61" s="2331"/>
      <c r="AJ61" s="1429"/>
      <c r="AK61" s="2242"/>
      <c r="AL61" s="2242"/>
    </row>
    <row r="62" spans="1:40" ht="15">
      <c r="A62" s="2304"/>
      <c r="B62" s="2343"/>
      <c r="C62" s="2343"/>
      <c r="D62" s="2334"/>
      <c r="E62" s="2343"/>
      <c r="F62" s="2343"/>
      <c r="G62" s="2343"/>
      <c r="H62" s="2334"/>
      <c r="I62" s="2343"/>
      <c r="J62" s="2343"/>
      <c r="K62" s="2343"/>
      <c r="L62" s="2334"/>
      <c r="M62" s="2343"/>
      <c r="N62" s="2343" t="s">
        <v>15</v>
      </c>
      <c r="O62" s="2343"/>
      <c r="P62" s="2343" t="s">
        <v>15</v>
      </c>
      <c r="Q62" s="2343"/>
      <c r="R62" s="2343"/>
      <c r="S62" s="2343"/>
      <c r="T62" s="2343"/>
      <c r="U62" s="2343"/>
      <c r="V62" s="2334" t="s">
        <v>15</v>
      </c>
      <c r="W62" s="2343"/>
      <c r="X62" s="2343"/>
      <c r="Y62" s="2343"/>
      <c r="Z62" s="2343"/>
      <c r="AA62" s="2343"/>
      <c r="AB62" s="3430"/>
      <c r="AC62" s="2343"/>
      <c r="AD62" s="2335"/>
      <c r="AI62" s="2331"/>
      <c r="AJ62" s="1429"/>
      <c r="AK62" s="2242"/>
      <c r="AL62" s="2242"/>
    </row>
    <row r="63" spans="1:40" ht="15">
      <c r="A63" s="2304"/>
      <c r="B63" s="2343"/>
      <c r="C63" s="2343"/>
      <c r="D63" s="2334"/>
      <c r="E63" s="2343"/>
      <c r="F63" s="2343"/>
      <c r="G63" s="2343"/>
      <c r="H63" s="2334"/>
      <c r="I63" s="2343"/>
      <c r="J63" s="2343"/>
      <c r="K63" s="2343"/>
      <c r="L63" s="2334" t="s">
        <v>15</v>
      </c>
      <c r="M63" s="2343"/>
      <c r="N63" s="2343" t="s">
        <v>15</v>
      </c>
      <c r="O63" s="2343"/>
      <c r="P63" s="2343" t="s">
        <v>15</v>
      </c>
      <c r="Q63" s="2343"/>
      <c r="R63" s="2343"/>
      <c r="S63" s="2343"/>
      <c r="T63" s="2343"/>
      <c r="U63" s="2343"/>
      <c r="V63" s="2334"/>
      <c r="W63" s="2343"/>
      <c r="X63" s="2343"/>
      <c r="Y63" s="2343"/>
      <c r="Z63" s="2343"/>
      <c r="AA63" s="2343"/>
      <c r="AB63" s="3430"/>
      <c r="AC63" s="2343"/>
      <c r="AI63" s="2336"/>
      <c r="AJ63" s="1429"/>
      <c r="AK63" s="2242"/>
      <c r="AL63" s="2242"/>
    </row>
    <row r="64" spans="1:40" ht="15.75">
      <c r="A64" s="2337"/>
      <c r="B64" s="2343"/>
      <c r="C64" s="2343"/>
      <c r="D64" s="2334"/>
      <c r="E64" s="2343"/>
      <c r="F64" s="2343"/>
      <c r="G64" s="2343"/>
      <c r="H64" s="2334"/>
      <c r="I64" s="2343"/>
      <c r="J64" s="2343"/>
      <c r="K64" s="2343"/>
      <c r="L64" s="2334"/>
      <c r="M64" s="2343"/>
      <c r="N64" s="2343" t="s">
        <v>15</v>
      </c>
      <c r="O64" s="2343"/>
      <c r="P64" s="2343"/>
      <c r="Q64" s="2343"/>
      <c r="R64" s="2343"/>
      <c r="S64" s="2343"/>
      <c r="T64" s="2343"/>
      <c r="U64" s="2343"/>
      <c r="V64" s="2334"/>
      <c r="W64" s="2343"/>
      <c r="X64" s="2343"/>
      <c r="Y64" s="2343"/>
      <c r="Z64" s="2343"/>
      <c r="AA64" s="2343"/>
      <c r="AB64" s="2334"/>
      <c r="AC64" s="2343"/>
      <c r="AI64" s="2336"/>
      <c r="AJ64" s="2242"/>
      <c r="AK64" s="2242"/>
      <c r="AL64" s="2242"/>
    </row>
    <row r="65" spans="1:38" ht="15.75">
      <c r="A65" s="2337"/>
      <c r="B65" s="2343"/>
      <c r="C65" s="2343"/>
      <c r="D65" s="2334"/>
      <c r="E65" s="2343"/>
      <c r="F65" s="2343"/>
      <c r="G65" s="2343"/>
      <c r="H65" s="2334"/>
      <c r="I65" s="2343"/>
      <c r="J65" s="2343"/>
      <c r="K65" s="2343"/>
      <c r="L65" s="2334"/>
      <c r="M65" s="2343"/>
      <c r="N65" s="2343"/>
      <c r="O65" s="2343"/>
      <c r="P65" s="2343"/>
      <c r="Q65" s="2343"/>
      <c r="R65" s="2343"/>
      <c r="S65" s="2343"/>
      <c r="T65" s="2343"/>
      <c r="U65" s="2343"/>
      <c r="V65" s="2334"/>
      <c r="W65" s="2343"/>
      <c r="X65" s="2343"/>
      <c r="Y65" s="2343"/>
      <c r="Z65" s="2343"/>
      <c r="AA65" s="2343"/>
      <c r="AB65" s="3430"/>
      <c r="AC65" s="2343"/>
      <c r="AI65" s="2336"/>
      <c r="AJ65" s="2242" t="s">
        <v>15</v>
      </c>
      <c r="AK65" s="2242"/>
      <c r="AL65" s="2242"/>
    </row>
    <row r="66" spans="1:38" ht="15.75">
      <c r="A66" s="2338"/>
      <c r="B66" s="3869"/>
      <c r="C66" s="3373"/>
      <c r="D66" s="3870"/>
      <c r="E66" s="3871"/>
      <c r="F66" s="3871"/>
      <c r="G66" s="3871"/>
      <c r="H66" s="3870"/>
      <c r="I66" s="3871"/>
      <c r="J66" s="3871"/>
      <c r="K66" s="3871"/>
      <c r="L66" s="3870"/>
      <c r="M66" s="2343"/>
      <c r="N66" s="2343" t="s">
        <v>15</v>
      </c>
      <c r="O66" s="2343"/>
      <c r="P66" s="2343"/>
      <c r="Q66" s="2343"/>
      <c r="R66" s="2343"/>
      <c r="S66" s="2343"/>
      <c r="T66" s="2343"/>
      <c r="U66" s="2343"/>
      <c r="V66" s="2334"/>
      <c r="W66" s="2343"/>
      <c r="X66" s="2343"/>
      <c r="Y66" s="2343"/>
      <c r="Z66" s="2343"/>
      <c r="AA66" s="2343"/>
      <c r="AB66" s="2334"/>
      <c r="AC66" s="2343"/>
      <c r="AI66" s="2336"/>
      <c r="AJ66" s="2242"/>
      <c r="AK66" s="2242"/>
      <c r="AL66" s="2242"/>
    </row>
    <row r="67" spans="1:38" ht="15">
      <c r="A67" s="1429"/>
      <c r="B67" s="1429"/>
      <c r="C67" s="1429"/>
      <c r="D67" s="2342"/>
      <c r="E67" s="1429"/>
      <c r="F67" s="1429"/>
      <c r="G67" s="1429"/>
      <c r="H67" s="2342"/>
      <c r="I67" s="1429"/>
      <c r="J67" s="1429"/>
      <c r="K67" s="1429"/>
      <c r="L67" s="2342"/>
      <c r="M67" s="2304"/>
      <c r="N67" s="2304" t="s">
        <v>15</v>
      </c>
      <c r="O67" s="2304"/>
      <c r="P67" s="2304"/>
      <c r="Q67" s="2304"/>
      <c r="R67" s="2304"/>
      <c r="S67" s="2304"/>
      <c r="T67" s="2304"/>
      <c r="U67" s="2304"/>
      <c r="V67" s="2333"/>
      <c r="W67" s="2304"/>
      <c r="X67" s="2304"/>
      <c r="Y67" s="2304"/>
      <c r="Z67" s="2304"/>
      <c r="AA67" s="2304"/>
      <c r="AB67" s="2334"/>
      <c r="AC67" s="2343"/>
      <c r="AI67" s="2336"/>
      <c r="AJ67" s="2242"/>
      <c r="AK67" s="2242"/>
      <c r="AL67" s="2242"/>
    </row>
    <row r="68" spans="1:38" ht="15">
      <c r="A68" s="1429"/>
      <c r="B68" s="1429"/>
      <c r="C68" s="1429"/>
      <c r="D68" s="2342"/>
      <c r="E68" s="1429"/>
      <c r="F68" s="1429"/>
      <c r="G68" s="1429"/>
      <c r="H68" s="2342"/>
      <c r="I68" s="1429"/>
      <c r="J68" s="1429"/>
      <c r="K68" s="1429"/>
      <c r="L68" s="2342"/>
      <c r="M68" s="2304"/>
      <c r="N68" s="2304" t="s">
        <v>15</v>
      </c>
      <c r="O68" s="2304"/>
      <c r="P68" s="2304"/>
      <c r="Q68" s="2304"/>
      <c r="R68" s="2304"/>
      <c r="S68" s="2304"/>
      <c r="T68" s="2304"/>
      <c r="U68" s="2304"/>
      <c r="V68" s="2333"/>
      <c r="W68" s="2304"/>
      <c r="X68" s="2304"/>
      <c r="Y68" s="2304"/>
      <c r="Z68" s="2304"/>
      <c r="AA68" s="2304"/>
      <c r="AB68" s="2334"/>
      <c r="AC68" s="2343"/>
      <c r="AI68" s="2336"/>
      <c r="AJ68" s="2242"/>
      <c r="AK68" s="2242"/>
      <c r="AL68" s="2242"/>
    </row>
    <row r="69" spans="1:38" ht="15">
      <c r="A69" s="1429"/>
      <c r="B69" s="1429"/>
      <c r="C69" s="1429"/>
      <c r="D69" s="2342"/>
      <c r="E69" s="1429"/>
      <c r="F69" s="1429"/>
      <c r="G69" s="1429"/>
      <c r="H69" s="2342"/>
      <c r="I69" s="1429"/>
      <c r="J69" s="1429"/>
      <c r="K69" s="1429"/>
      <c r="L69" s="2342"/>
      <c r="M69" s="2304"/>
      <c r="N69" s="2304"/>
      <c r="O69" s="2304"/>
      <c r="P69" s="2304"/>
      <c r="Q69" s="2304"/>
      <c r="R69" s="2304"/>
      <c r="S69" s="2304"/>
      <c r="T69" s="2304"/>
      <c r="U69" s="2304"/>
      <c r="V69" s="2333"/>
      <c r="W69" s="2304"/>
      <c r="X69" s="2304"/>
      <c r="Y69" s="2304"/>
      <c r="Z69" s="2304"/>
      <c r="AA69" s="2304"/>
      <c r="AB69" s="2334"/>
      <c r="AI69" s="2336"/>
      <c r="AJ69" s="2242"/>
      <c r="AK69" s="2242"/>
      <c r="AL69" s="2242"/>
    </row>
    <row r="70" spans="1:38" ht="15">
      <c r="AI70" s="2336"/>
      <c r="AJ70" s="2242"/>
      <c r="AK70" s="2242"/>
      <c r="AL70" s="2242"/>
    </row>
    <row r="71" spans="1:38" ht="15">
      <c r="AI71" s="2336"/>
      <c r="AJ71" s="2242"/>
      <c r="AK71" s="2242"/>
      <c r="AL71" s="2242"/>
    </row>
    <row r="72" spans="1:38" ht="15">
      <c r="AI72" s="2336"/>
      <c r="AJ72" s="2242"/>
      <c r="AK72" s="2242"/>
      <c r="AL72" s="2242"/>
    </row>
    <row r="73" spans="1:38" ht="15">
      <c r="AI73" s="2336"/>
      <c r="AJ73" s="2242"/>
      <c r="AK73" s="2242"/>
      <c r="AL73" s="2242"/>
    </row>
    <row r="74" spans="1:38" ht="15">
      <c r="AI74" s="2336"/>
      <c r="AJ74" s="2242"/>
      <c r="AK74" s="2242"/>
      <c r="AL74" s="2242"/>
    </row>
    <row r="75" spans="1:38" ht="15">
      <c r="AI75" s="2336"/>
      <c r="AJ75" s="2242"/>
      <c r="AK75" s="2242"/>
      <c r="AL75" s="2242"/>
    </row>
    <row r="76" spans="1:38" ht="15">
      <c r="AI76" s="2336"/>
      <c r="AJ76" s="2242"/>
      <c r="AK76" s="2242"/>
      <c r="AL76" s="2242"/>
    </row>
    <row r="77" spans="1:38" ht="15">
      <c r="AI77" s="2336"/>
      <c r="AJ77" s="2242"/>
      <c r="AK77" s="2242"/>
      <c r="AL77" s="2242"/>
    </row>
    <row r="78" spans="1:38" ht="15">
      <c r="AI78" s="2336"/>
      <c r="AJ78" s="2242"/>
      <c r="AK78" s="2242"/>
      <c r="AL78" s="2242"/>
    </row>
    <row r="79" spans="1:38" ht="15">
      <c r="AI79" s="2336"/>
      <c r="AJ79" s="2242"/>
      <c r="AK79" s="2242"/>
      <c r="AL79" s="2242"/>
    </row>
    <row r="80" spans="1:38" ht="15">
      <c r="AI80" s="2336"/>
      <c r="AJ80" s="2242"/>
      <c r="AK80" s="2242"/>
      <c r="AL80" s="2242"/>
    </row>
    <row r="81" spans="35:38" ht="15">
      <c r="AI81" s="2336"/>
      <c r="AJ81" s="2242"/>
      <c r="AK81" s="2242"/>
      <c r="AL81" s="2242"/>
    </row>
    <row r="82" spans="35:38" ht="15">
      <c r="AI82" s="2336"/>
      <c r="AJ82" s="2242"/>
      <c r="AK82" s="2242"/>
      <c r="AL82" s="2242"/>
    </row>
    <row r="83" spans="35:38" ht="15">
      <c r="AI83" s="2336"/>
      <c r="AJ83" s="2242"/>
      <c r="AK83" s="2242"/>
      <c r="AL83" s="2242"/>
    </row>
    <row r="84" spans="35:38" ht="15">
      <c r="AI84" s="2336"/>
      <c r="AJ84" s="2242"/>
      <c r="AK84" s="2242"/>
      <c r="AL84" s="2242"/>
    </row>
    <row r="85" spans="35:38" ht="15">
      <c r="AI85" s="2336"/>
      <c r="AJ85" s="2242"/>
      <c r="AK85" s="2242"/>
      <c r="AL85" s="2242"/>
    </row>
    <row r="86" spans="35:38" ht="15">
      <c r="AI86" s="2336"/>
      <c r="AJ86" s="2242"/>
      <c r="AK86" s="2242"/>
      <c r="AL86" s="2242"/>
    </row>
    <row r="87" spans="35:38" ht="15">
      <c r="AI87" s="2336"/>
      <c r="AJ87" s="2242"/>
      <c r="AK87" s="2242"/>
      <c r="AL87" s="2242"/>
    </row>
    <row r="88" spans="35:38" ht="15">
      <c r="AI88" s="2336"/>
      <c r="AJ88" s="2242"/>
      <c r="AK88" s="2242"/>
      <c r="AL88" s="2242"/>
    </row>
    <row r="89" spans="35:38" ht="15">
      <c r="AI89" s="2336"/>
      <c r="AJ89" s="2242"/>
      <c r="AK89" s="2242"/>
      <c r="AL89" s="2242"/>
    </row>
    <row r="90" spans="35:38" ht="15">
      <c r="AI90" s="2336"/>
      <c r="AJ90" s="2242"/>
      <c r="AK90" s="2242"/>
      <c r="AL90" s="2242"/>
    </row>
    <row r="91" spans="35:38" ht="15">
      <c r="AI91" s="2336"/>
      <c r="AJ91" s="2242"/>
      <c r="AK91" s="2242"/>
      <c r="AL91" s="2242"/>
    </row>
    <row r="92" spans="35:38" ht="15">
      <c r="AI92" s="2336"/>
      <c r="AJ92" s="2242"/>
      <c r="AK92" s="2242"/>
      <c r="AL92" s="2242"/>
    </row>
    <row r="93" spans="35:38" ht="15">
      <c r="AI93" s="2336"/>
      <c r="AJ93" s="2242"/>
      <c r="AK93" s="2242"/>
      <c r="AL93" s="2242"/>
    </row>
    <row r="94" spans="35:38" ht="15">
      <c r="AI94" s="2336"/>
      <c r="AJ94" s="2242"/>
      <c r="AK94" s="2242"/>
      <c r="AL94" s="2242"/>
    </row>
    <row r="95" spans="35:38" ht="15">
      <c r="AI95" s="2336"/>
      <c r="AJ95" s="2242"/>
      <c r="AK95" s="2242"/>
      <c r="AL95" s="2242"/>
    </row>
    <row r="96" spans="35:38" ht="15">
      <c r="AI96" s="2336"/>
      <c r="AJ96" s="2242"/>
      <c r="AK96" s="2242"/>
      <c r="AL96" s="2242"/>
    </row>
    <row r="97" spans="35:38" ht="15">
      <c r="AI97" s="2336"/>
      <c r="AJ97" s="2242"/>
      <c r="AK97" s="2242"/>
      <c r="AL97" s="2242"/>
    </row>
    <row r="98" spans="35:38" ht="15">
      <c r="AI98" s="2336"/>
      <c r="AJ98" s="2242"/>
      <c r="AK98" s="2242"/>
      <c r="AL98" s="2242"/>
    </row>
    <row r="99" spans="35:38" ht="15">
      <c r="AI99" s="2336"/>
      <c r="AJ99" s="2242"/>
      <c r="AK99" s="2242"/>
      <c r="AL99" s="2242"/>
    </row>
    <row r="100" spans="35:38" ht="15">
      <c r="AI100" s="2336"/>
      <c r="AJ100" s="2242"/>
      <c r="AK100" s="2242"/>
      <c r="AL100" s="2242"/>
    </row>
    <row r="101" spans="35:38" ht="15">
      <c r="AI101" s="2336"/>
      <c r="AJ101" s="2242"/>
      <c r="AK101" s="2242"/>
      <c r="AL101" s="2242"/>
    </row>
    <row r="102" spans="35:38" ht="15">
      <c r="AI102" s="2336"/>
      <c r="AJ102" s="2242"/>
      <c r="AK102" s="2242"/>
      <c r="AL102" s="2242"/>
    </row>
    <row r="103" spans="35:38" ht="15">
      <c r="AI103" s="2336"/>
      <c r="AJ103" s="2242"/>
      <c r="AK103" s="2242"/>
      <c r="AL103" s="2242"/>
    </row>
    <row r="104" spans="35:38" ht="15">
      <c r="AI104" s="2336"/>
      <c r="AJ104" s="2242"/>
      <c r="AK104" s="2242"/>
      <c r="AL104" s="2242"/>
    </row>
    <row r="105" spans="35:38" ht="15">
      <c r="AI105" s="2336"/>
      <c r="AJ105" s="2242"/>
      <c r="AK105" s="2242"/>
      <c r="AL105" s="2242"/>
    </row>
    <row r="106" spans="35:38" ht="15">
      <c r="AI106" s="2336"/>
      <c r="AJ106" s="2242"/>
      <c r="AK106" s="2242"/>
      <c r="AL106" s="2242"/>
    </row>
  </sheetData>
  <mergeCells count="4">
    <mergeCell ref="A4:AI4"/>
    <mergeCell ref="A5:AI5"/>
    <mergeCell ref="A6:AI6"/>
    <mergeCell ref="V10:AI10"/>
  </mergeCells>
  <pageMargins left="0.25" right="0.25" top="0.5" bottom="0.25" header="0" footer="0.25"/>
  <pageSetup scale="44" firstPageNumber="2" orientation="landscape" useFirstPageNumber="1" r:id="rId1"/>
  <headerFooter scaleWithDoc="0" alignWithMargins="0">
    <oddFooter>&amp;C&amp;8&amp;P</oddFooter>
  </headerFooter>
  <ignoredErrors>
    <ignoredError sqref="E12 I12 M12 AG20:AH20 S59:AA59 S55:U55 S51:U51 S45:AG45 S42:AD42 S34:AH34 S20:AF20 S56:AI56 S52:AI54 S46:AI47 S44:AI44 S21:AI23 S35:AI35 G12 AE14:AG14 AE19:AH19 AE24:AH24 AE25:AH25 AE26:AH26 AE28:AH28 AE29:AH29 AE30:AH30 AE31:AH31 AE32:AH32 S39:AA39 AE36:AH36 AE37:AH37 AE38:AH38 AE40:AH40 W14 S58:AI58 AE49:AF49 S14:U14 S40:AA40 S15:U15 S16:AA16 S18:U18 S19:AA19 S24:AA24 S25:AA25 S26:AA26 S29:AA29 S31:AA31 S32:AA32 S33:AA33 S41:AA41 S49:U49 S50:U50 S57:U57 S27:AA27 S28:AA28 S30:AA30 S36:AA36 S38:AA38 S37:AA37 S48:AA48 R17:AA17 F49 E17:G17 E16:G16 E15:G15 E27:G27 E34 E14:G14 E19:G19 E18 E28 I19:K19 I14 O45 M45 O42 M42 O34 M34 O20 M20 K45 I45 H46:P47 E45 D46:F47 K42 I42 H43:K44 K34 I34 K20 I20 I21:P23 E42 D43:F44 E35:F35 I27:P27 I24:O24 I25:O25 I35:P35 D20:G20 E25:G25 E26:G26 E24:G24 G35:G41 F34:G34 G43:G44 F42:G42 D21:G23 J20 J34 J42 G46:G49 F45:H45 J45 N20 N34 P34 N42 N45 P45 I50:K50 H48:O48 I15 I16 I17 I18:K18 I26:O26 I33:O33 I28:O28 I29:O29 I30:O30 I31:O31 I32:O32 I39:K39 I36:O36 I37:K37 I38:K38 I41:K41 I40 I49:K49 D39:F40 E36:F36 E37:F37 E38:F38 E50 E49 M14 M15 M17 M18:O18 M19:O19 M37:O37 M40:O40 M49:O49 M50:O50 Q17 Q48:R48 Q37:R37 Q38:R38 Q36:R36 Q30:R30 Q28:R28 Q27:R27 Q50:R50 Q49:R49 Q41:R41 Q33:R33 Q32:R32 Q31:R31 Q29:R29 Q26:R26 Q25:R25 Q24:R24 Q19:R19 Q18:R18 Q16 Q15 O57 Q40:R40 Q14:R14 D58:F58 H58:R58 Q39:R39 R59 R55 R45 R42 R34 P59 N59 P55 N51 L59 J59 J55 J51 G59:H59 G55 G56:G58 F51:G51 G52:G54 Q35:R35 D54:F54 E51 D56:F56 E55 E59 Q21:R23 Q43:R44 Q46:R47 H54:R54 I51 K51 H56:R56 I55 K55 I59 K59 M51 O51 M55 O55 M59 O59 Q20 Q34 Q42 Q45 Q51 Q55 Q59 E30 E32:G33 F59 E29:G29 E31:G31 G50 G18 AE18:AH18 H39 H34 H20 H27 H35 H21:H23 D35 C26 C38 C35 C32 C27 C34 C33 M39:P39 M38:O38 L39 M16:O16 AE50:AH50 K14 K15 K16 K17 AE15:AI17 O14:P14 O15 O17 R15:R16 C24 C25 C28 C29 C30 C31 C36 C37 AE27:AH27 AE39:AI39 AE33:AH33 AE41:AH41 W51 Y51:AA51 AH51 AE57:AF57 AH45:AI45 K57 AE42:AH42 AI14 AI18:AI20 AI24:AI34 AI36:AI38 AI40:AI42 AI57 AI59 AE48:AH48 Y57:AA57 M43:P44 W49 G28 G30 M41:O41 AH49 W15:AA15 Y14:AA14 S43:AA43 AC43:AI43 Y49:AA49 AH57 W50:AA50 K12 O12 Q12 S12:U12 W12 W18:AA18 AC51 AE51:AF51 E48 E41:F41 I52:K52 M52:O52 I53:K53 M53:R53 AC59:AH59 W55:AH55 K40 D52:E52 D53:E53 Q52" unlockedFormula="1"/>
    <ignoredError sqref="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Z171"/>
  <sheetViews>
    <sheetView showGridLines="0" zoomScale="80" zoomScaleNormal="80" workbookViewId="0"/>
  </sheetViews>
  <sheetFormatPr defaultColWidth="8.6640625" defaultRowHeight="12.75"/>
  <cols>
    <col min="1" max="1" width="1.6640625" style="247" customWidth="1"/>
    <col min="2" max="2" width="40.6640625" style="247" customWidth="1"/>
    <col min="3" max="3" width="1.6640625" style="247" customWidth="1"/>
    <col min="4" max="4" width="12.109375" style="247" customWidth="1"/>
    <col min="5" max="5" width="1.6640625" style="247" customWidth="1"/>
    <col min="6" max="6" width="12" style="247" customWidth="1"/>
    <col min="7" max="7" width="1.6640625" style="247" customWidth="1"/>
    <col min="8" max="8" width="13.109375" style="247" customWidth="1"/>
    <col min="9" max="9" width="1.6640625" style="247" customWidth="1"/>
    <col min="10" max="10" width="13.109375" style="247" customWidth="1"/>
    <col min="11" max="11" width="1.6640625" style="247" customWidth="1"/>
    <col min="12" max="12" width="13.109375" style="247" customWidth="1"/>
    <col min="13" max="13" width="1.6640625" style="247" customWidth="1"/>
    <col min="14" max="14" width="14" style="247" customWidth="1"/>
    <col min="15" max="15" width="1.6640625" style="247" customWidth="1"/>
    <col min="16" max="16" width="11.6640625" style="247" customWidth="1"/>
    <col min="17" max="17" width="1.6640625" style="247" customWidth="1"/>
    <col min="18" max="18" width="11.5546875" style="247" customWidth="1"/>
    <col min="19" max="19" width="1.6640625" style="247" customWidth="1"/>
    <col min="20" max="20" width="12.109375" style="247" customWidth="1"/>
    <col min="21" max="21" width="1.6640625" style="247" customWidth="1"/>
    <col min="22" max="22" width="13" style="247" customWidth="1"/>
    <col min="23" max="23" width="1.6640625" style="247" customWidth="1"/>
    <col min="24" max="24" width="12.109375" style="247" customWidth="1"/>
    <col min="25" max="25" width="1.6640625" style="247" customWidth="1"/>
    <col min="26" max="26" width="10.6640625" style="247" bestFit="1" customWidth="1"/>
    <col min="27" max="27" width="1.109375" style="247" customWidth="1"/>
    <col min="28" max="29" width="1.6640625" style="247" customWidth="1"/>
    <col min="30" max="30" width="11.6640625" style="887" customWidth="1"/>
    <col min="31" max="32" width="1.44140625" style="887" customWidth="1"/>
    <col min="33" max="33" width="12.6640625" style="887" bestFit="1" customWidth="1"/>
    <col min="34" max="34" width="1.5546875" style="247" customWidth="1"/>
    <col min="35" max="35" width="0.6640625" style="247" customWidth="1"/>
    <col min="36" max="36" width="14.6640625" style="247" customWidth="1"/>
    <col min="37" max="37" width="0.6640625" style="247" customWidth="1"/>
    <col min="38" max="38" width="12.109375" style="247" customWidth="1"/>
    <col min="39" max="16384" width="8.6640625" style="247"/>
  </cols>
  <sheetData>
    <row r="1" spans="1:40" ht="15">
      <c r="B1" s="644" t="s">
        <v>963</v>
      </c>
    </row>
    <row r="2" spans="1:40" ht="15.75">
      <c r="A2" s="246"/>
      <c r="M2" s="29"/>
      <c r="N2" s="29"/>
      <c r="O2" s="265"/>
    </row>
    <row r="3" spans="1:40" ht="20.25" customHeight="1">
      <c r="A3" s="246"/>
      <c r="B3" s="249" t="s">
        <v>0</v>
      </c>
      <c r="M3" s="29"/>
      <c r="N3" s="29"/>
      <c r="O3" s="265"/>
      <c r="AF3" s="3451"/>
      <c r="AG3" s="3452"/>
      <c r="AH3" s="288"/>
      <c r="AI3" s="288"/>
      <c r="AJ3" s="288"/>
      <c r="AK3" s="288"/>
      <c r="AL3" s="390" t="s">
        <v>168</v>
      </c>
    </row>
    <row r="4" spans="1:40" ht="18">
      <c r="A4" s="246"/>
      <c r="B4" s="249" t="s">
        <v>175</v>
      </c>
      <c r="L4" s="29"/>
      <c r="M4" s="29"/>
      <c r="O4" s="265"/>
    </row>
    <row r="5" spans="1:40" ht="18">
      <c r="A5" s="246"/>
      <c r="B5" s="320" t="s">
        <v>148</v>
      </c>
      <c r="L5" s="265"/>
      <c r="M5" s="265"/>
      <c r="O5" s="265"/>
      <c r="X5" s="289"/>
    </row>
    <row r="6" spans="1:40" ht="20.25">
      <c r="A6" s="246"/>
      <c r="B6" s="1534" t="str">
        <f>'Cashflow Governmental'!A6</f>
        <v xml:space="preserve">FISCAL YEAR 2020-2021   </v>
      </c>
      <c r="L6" s="265"/>
      <c r="M6" s="265"/>
      <c r="O6" s="265"/>
      <c r="AL6" s="269"/>
    </row>
    <row r="7" spans="1:40" ht="18">
      <c r="A7" s="246"/>
      <c r="B7" s="249" t="s">
        <v>1366</v>
      </c>
      <c r="AI7" s="150"/>
      <c r="AJ7" s="150"/>
      <c r="AK7" s="150"/>
      <c r="AL7" s="150"/>
    </row>
    <row r="8" spans="1:40" ht="13.5" customHeight="1">
      <c r="A8" s="246"/>
      <c r="D8" s="2140"/>
      <c r="L8" s="265"/>
      <c r="M8" s="265"/>
      <c r="N8" s="265"/>
      <c r="O8" s="265"/>
      <c r="AC8" s="150"/>
      <c r="AD8" s="3161"/>
      <c r="AE8" s="3161"/>
      <c r="AF8" s="1070"/>
      <c r="AG8" s="1070"/>
      <c r="AH8" s="150"/>
      <c r="AI8" s="265"/>
      <c r="AJ8" s="265"/>
      <c r="AK8" s="265"/>
      <c r="AL8" s="265"/>
    </row>
    <row r="9" spans="1:40" ht="20.25" customHeight="1">
      <c r="A9" s="246"/>
      <c r="L9" s="265"/>
      <c r="M9" s="265"/>
      <c r="N9" s="265"/>
      <c r="O9" s="265"/>
      <c r="AC9" s="3954" t="str">
        <f>'Exhibit G'!AC9:AL9</f>
        <v>10 Months Ended January 31</v>
      </c>
      <c r="AD9" s="3954"/>
      <c r="AE9" s="3954"/>
      <c r="AF9" s="3954"/>
      <c r="AG9" s="3954"/>
      <c r="AH9" s="3954"/>
      <c r="AI9" s="3954"/>
      <c r="AJ9" s="3954"/>
      <c r="AK9" s="3954"/>
      <c r="AL9" s="3954"/>
    </row>
    <row r="10" spans="1:40" ht="15.75">
      <c r="A10" s="246"/>
      <c r="B10" s="30"/>
      <c r="C10" s="30"/>
      <c r="D10" s="746" t="str">
        <f>'Cashflow Governmental'!C13</f>
        <v>2020</v>
      </c>
      <c r="E10" s="29"/>
      <c r="F10" s="29"/>
      <c r="G10" s="29"/>
      <c r="H10" s="29"/>
      <c r="I10" s="29"/>
      <c r="J10" s="29"/>
      <c r="K10" s="29"/>
      <c r="L10" s="29"/>
      <c r="M10" s="29"/>
      <c r="N10" s="29"/>
      <c r="O10" s="29"/>
      <c r="P10" s="29"/>
      <c r="Q10" s="29"/>
      <c r="R10" s="29"/>
      <c r="S10" s="29"/>
      <c r="T10" s="29"/>
      <c r="U10" s="29"/>
      <c r="V10" s="746">
        <f>'Cashflow Governmental'!U13</f>
        <v>2021</v>
      </c>
      <c r="W10" s="29"/>
      <c r="X10" s="29"/>
      <c r="Y10" s="29"/>
      <c r="Z10" s="29"/>
      <c r="AA10" s="29"/>
      <c r="AB10" s="29"/>
      <c r="AC10" s="29"/>
      <c r="AD10" s="3162"/>
      <c r="AE10" s="3162"/>
      <c r="AF10" s="3162"/>
      <c r="AG10" s="3162"/>
      <c r="AH10" s="210"/>
      <c r="AI10" s="209"/>
      <c r="AJ10" s="750" t="s">
        <v>8</v>
      </c>
      <c r="AK10" s="750"/>
      <c r="AL10" s="750" t="s">
        <v>9</v>
      </c>
      <c r="AM10" s="753"/>
      <c r="AN10" s="753"/>
    </row>
    <row r="11" spans="1:40" ht="15.75">
      <c r="A11" s="246"/>
      <c r="B11" s="30"/>
      <c r="C11" s="30"/>
      <c r="D11" s="1057" t="s">
        <v>124</v>
      </c>
      <c r="E11" s="29"/>
      <c r="F11" s="1057" t="s">
        <v>125</v>
      </c>
      <c r="G11" s="29"/>
      <c r="H11" s="1057" t="s">
        <v>126</v>
      </c>
      <c r="I11" s="29"/>
      <c r="J11" s="1057" t="s">
        <v>127</v>
      </c>
      <c r="K11" s="29"/>
      <c r="L11" s="1057" t="s">
        <v>128</v>
      </c>
      <c r="M11" s="29"/>
      <c r="N11" s="1057" t="s">
        <v>143</v>
      </c>
      <c r="O11" s="29"/>
      <c r="P11" s="1057" t="s">
        <v>144</v>
      </c>
      <c r="Q11" s="29"/>
      <c r="R11" s="1057" t="s">
        <v>131</v>
      </c>
      <c r="S11" s="29"/>
      <c r="T11" s="1057" t="s">
        <v>132</v>
      </c>
      <c r="U11" s="29"/>
      <c r="V11" s="1057" t="s">
        <v>133</v>
      </c>
      <c r="W11" s="29"/>
      <c r="X11" s="1057" t="s">
        <v>134</v>
      </c>
      <c r="Y11" s="29"/>
      <c r="Z11" s="1057" t="s">
        <v>185</v>
      </c>
      <c r="AA11" s="754"/>
      <c r="AB11" s="29"/>
      <c r="AC11" s="29"/>
      <c r="AD11" s="3163">
        <f>'Cashflow Governmental'!AB14</f>
        <v>2021</v>
      </c>
      <c r="AE11" s="741"/>
      <c r="AF11" s="740" t="s">
        <v>15</v>
      </c>
      <c r="AG11" s="3163">
        <f>'Cashflow Governmental'!AE14</f>
        <v>2020</v>
      </c>
      <c r="AH11" s="736"/>
      <c r="AI11" s="209"/>
      <c r="AJ11" s="1063" t="s">
        <v>12</v>
      </c>
      <c r="AK11" s="749"/>
      <c r="AL11" s="1063" t="s">
        <v>13</v>
      </c>
      <c r="AM11" s="753"/>
      <c r="AN11" s="753"/>
    </row>
    <row r="12" spans="1:40" ht="5.25" customHeight="1">
      <c r="A12" s="246"/>
      <c r="B12" s="30"/>
      <c r="C12" s="30"/>
      <c r="D12" s="754"/>
      <c r="E12" s="29"/>
      <c r="F12" s="754"/>
      <c r="G12" s="29"/>
      <c r="H12" s="754"/>
      <c r="I12" s="29"/>
      <c r="J12" s="754"/>
      <c r="K12" s="29"/>
      <c r="L12" s="754"/>
      <c r="M12" s="29"/>
      <c r="N12" s="754"/>
      <c r="O12" s="29"/>
      <c r="P12" s="754"/>
      <c r="Q12" s="29"/>
      <c r="R12" s="754"/>
      <c r="S12" s="29"/>
      <c r="T12" s="754"/>
      <c r="U12" s="29"/>
      <c r="V12" s="754"/>
      <c r="W12" s="29"/>
      <c r="X12" s="754"/>
      <c r="Y12" s="29"/>
      <c r="Z12" s="754"/>
      <c r="AA12" s="754"/>
      <c r="AB12" s="29"/>
      <c r="AC12" s="29"/>
      <c r="AD12" s="3164"/>
      <c r="AE12" s="741"/>
      <c r="AF12" s="740"/>
      <c r="AG12" s="3164"/>
      <c r="AH12" s="736"/>
      <c r="AI12" s="209"/>
      <c r="AJ12" s="749"/>
      <c r="AK12" s="749"/>
      <c r="AL12" s="749"/>
      <c r="AM12" s="753"/>
      <c r="AN12" s="753"/>
    </row>
    <row r="13" spans="1:40" s="1062" customFormat="1" ht="15.75">
      <c r="A13" s="1060"/>
      <c r="B13" s="1851" t="s">
        <v>1253</v>
      </c>
      <c r="C13" s="37"/>
      <c r="D13" s="306">
        <v>5400.7</v>
      </c>
      <c r="E13" s="254"/>
      <c r="F13" s="1854">
        <f>D120</f>
        <v>5696.2</v>
      </c>
      <c r="G13" s="254"/>
      <c r="H13" s="1854">
        <f>F120</f>
        <v>5710.4</v>
      </c>
      <c r="I13" s="254"/>
      <c r="J13" s="1854">
        <f>H120</f>
        <v>7246.4</v>
      </c>
      <c r="K13" s="254"/>
      <c r="L13" s="1854">
        <f>J120</f>
        <v>6679.9</v>
      </c>
      <c r="M13" s="254"/>
      <c r="N13" s="1854">
        <f>L120</f>
        <v>6748.8</v>
      </c>
      <c r="O13" s="254"/>
      <c r="P13" s="1854">
        <f>N120</f>
        <v>4803.8999999999996</v>
      </c>
      <c r="Q13" s="254"/>
      <c r="R13" s="1854">
        <f>P120</f>
        <v>5594.1</v>
      </c>
      <c r="S13" s="254"/>
      <c r="T13" s="1854">
        <f>R120</f>
        <v>5211.5</v>
      </c>
      <c r="U13" s="254"/>
      <c r="V13" s="1854">
        <f>T120</f>
        <v>5003.3</v>
      </c>
      <c r="W13" s="254"/>
      <c r="X13" s="1854"/>
      <c r="Y13" s="254"/>
      <c r="Z13" s="1854"/>
      <c r="AA13" s="754"/>
      <c r="AB13" s="254"/>
      <c r="AC13" s="2138"/>
      <c r="AD13" s="3165">
        <f>D13</f>
        <v>5400.7</v>
      </c>
      <c r="AE13" s="3164"/>
      <c r="AF13" s="3168"/>
      <c r="AG13" s="139">
        <v>5090.8</v>
      </c>
      <c r="AH13" s="736"/>
      <c r="AI13" s="271"/>
      <c r="AJ13" s="1852">
        <f>ROUND(SUM(+AD13-AG13),1)</f>
        <v>309.89999999999998</v>
      </c>
      <c r="AK13" s="112"/>
      <c r="AL13" s="1855">
        <f>ROUND(IF(AG13=0,1,AJ13/ABS(AG13)),3)</f>
        <v>6.0999999999999999E-2</v>
      </c>
      <c r="AM13" s="1061"/>
      <c r="AN13" s="1061"/>
    </row>
    <row r="14" spans="1:40" s="1062" customFormat="1" ht="15.75">
      <c r="A14" s="1060"/>
      <c r="B14" s="1851"/>
      <c r="C14" s="37"/>
      <c r="D14" s="754"/>
      <c r="E14" s="254"/>
      <c r="F14" s="754"/>
      <c r="G14" s="254"/>
      <c r="H14" s="754"/>
      <c r="I14" s="254"/>
      <c r="J14" s="754"/>
      <c r="K14" s="254"/>
      <c r="L14" s="754"/>
      <c r="M14" s="254"/>
      <c r="N14" s="754"/>
      <c r="O14" s="254"/>
      <c r="P14" s="754"/>
      <c r="Q14" s="254"/>
      <c r="R14" s="754"/>
      <c r="S14" s="254"/>
      <c r="T14" s="754"/>
      <c r="U14" s="254"/>
      <c r="V14" s="754"/>
      <c r="W14" s="254"/>
      <c r="X14" s="754"/>
      <c r="Y14" s="254"/>
      <c r="Z14" s="754"/>
      <c r="AA14" s="754"/>
      <c r="AB14" s="254"/>
      <c r="AC14" s="2138"/>
      <c r="AD14" s="3164"/>
      <c r="AE14" s="3164"/>
      <c r="AF14" s="3168"/>
      <c r="AG14" s="3164"/>
      <c r="AH14" s="736"/>
      <c r="AI14" s="271"/>
      <c r="AJ14" s="749"/>
      <c r="AK14" s="749"/>
      <c r="AL14" s="749"/>
      <c r="AM14" s="1061"/>
      <c r="AN14" s="1061"/>
    </row>
    <row r="15" spans="1:40" ht="15" customHeight="1">
      <c r="A15" s="150"/>
      <c r="B15" s="29" t="s">
        <v>14</v>
      </c>
      <c r="C15" s="31"/>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1059"/>
      <c r="AD15" s="1089"/>
      <c r="AE15" s="106"/>
      <c r="AF15" s="3169"/>
      <c r="AG15" s="106"/>
      <c r="AH15" s="37"/>
      <c r="AI15" s="271"/>
      <c r="AJ15" s="30"/>
      <c r="AK15" s="30"/>
      <c r="AL15" s="30"/>
    </row>
    <row r="16" spans="1:40" ht="15" customHeight="1">
      <c r="A16" s="150"/>
      <c r="B16" s="261" t="s">
        <v>1078</v>
      </c>
      <c r="C16" s="31"/>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291"/>
      <c r="AD16" s="1089"/>
      <c r="AE16" s="106"/>
      <c r="AF16" s="3170"/>
      <c r="AG16" s="106"/>
      <c r="AH16" s="274"/>
      <c r="AI16" s="37"/>
      <c r="AJ16" s="30"/>
      <c r="AK16" s="30"/>
      <c r="AL16" s="30"/>
    </row>
    <row r="17" spans="1:38" s="1827" customFormat="1" ht="15" customHeight="1">
      <c r="A17" s="1824"/>
      <c r="B17" s="1200" t="s">
        <v>1081</v>
      </c>
      <c r="C17" s="105"/>
      <c r="D17" s="896">
        <v>0</v>
      </c>
      <c r="E17" s="1531"/>
      <c r="F17" s="896">
        <v>0</v>
      </c>
      <c r="G17" s="1531"/>
      <c r="H17" s="896">
        <v>0</v>
      </c>
      <c r="I17" s="1531"/>
      <c r="J17" s="896">
        <v>0</v>
      </c>
      <c r="K17" s="1537"/>
      <c r="L17" s="896">
        <v>0</v>
      </c>
      <c r="M17" s="1796"/>
      <c r="N17" s="896">
        <v>0.1</v>
      </c>
      <c r="O17" s="1796"/>
      <c r="P17" s="896">
        <v>0.1</v>
      </c>
      <c r="Q17" s="1987"/>
      <c r="R17" s="896">
        <v>1.4</v>
      </c>
      <c r="S17" s="1987"/>
      <c r="T17" s="1789">
        <v>35</v>
      </c>
      <c r="U17" s="1987"/>
      <c r="V17" s="1789">
        <f>$AD17-$D17-$F17-$H17-$J17-$L17-$N17-$P17-$R17-$T17</f>
        <v>1972</v>
      </c>
      <c r="W17" s="1987"/>
      <c r="X17" s="1789"/>
      <c r="Y17" s="1987"/>
      <c r="Z17" s="1789"/>
      <c r="AA17" s="1988"/>
      <c r="AB17" s="2026"/>
      <c r="AC17" s="2027"/>
      <c r="AD17" s="1789">
        <v>2008.6</v>
      </c>
      <c r="AE17" s="2028"/>
      <c r="AF17" s="3171"/>
      <c r="AG17" s="1789">
        <v>2149.1</v>
      </c>
      <c r="AH17" s="1825"/>
      <c r="AI17" s="1015"/>
      <c r="AJ17" s="895">
        <f>ROUND(SUM(+AD17-AG17),1)</f>
        <v>-140.5</v>
      </c>
      <c r="AK17" s="895"/>
      <c r="AL17" s="1818">
        <f>ROUND(IF(AG17=0,1,AJ17/ABS(AG17)),3)</f>
        <v>-6.5000000000000002E-2</v>
      </c>
    </row>
    <row r="18" spans="1:38" s="1827" customFormat="1" ht="6" customHeight="1">
      <c r="A18" s="1824"/>
      <c r="B18" s="1200"/>
      <c r="C18" s="105"/>
      <c r="D18" s="896" t="s">
        <v>15</v>
      </c>
      <c r="E18" s="94"/>
      <c r="F18" s="896"/>
      <c r="G18" s="94"/>
      <c r="H18" s="896"/>
      <c r="I18" s="94"/>
      <c r="J18" s="896"/>
      <c r="K18" s="135"/>
      <c r="L18" s="896"/>
      <c r="M18" s="135"/>
      <c r="N18" s="896"/>
      <c r="O18" s="135"/>
      <c r="P18" s="1789"/>
      <c r="Q18" s="2029"/>
      <c r="R18" s="1789"/>
      <c r="S18" s="2029"/>
      <c r="T18" s="1789"/>
      <c r="U18" s="2029"/>
      <c r="V18" s="1789"/>
      <c r="W18" s="2029"/>
      <c r="X18" s="1789"/>
      <c r="Y18" s="2029"/>
      <c r="Z18" s="1789"/>
      <c r="AA18" s="2030"/>
      <c r="AB18" s="2029"/>
      <c r="AC18" s="2031"/>
      <c r="AD18" s="2029"/>
      <c r="AE18" s="2028"/>
      <c r="AF18" s="3172"/>
      <c r="AG18" s="2029"/>
      <c r="AH18" s="1825"/>
      <c r="AI18" s="1015"/>
      <c r="AJ18" s="135"/>
      <c r="AK18" s="112"/>
      <c r="AL18" s="1826"/>
    </row>
    <row r="19" spans="1:38" s="887" customFormat="1" ht="15" customHeight="1">
      <c r="A19" s="1070"/>
      <c r="B19" s="1200" t="s">
        <v>1140</v>
      </c>
      <c r="C19" s="107"/>
      <c r="D19" s="896" t="s">
        <v>15</v>
      </c>
      <c r="E19" s="1531"/>
      <c r="F19" s="896"/>
      <c r="G19" s="1531"/>
      <c r="H19" s="896"/>
      <c r="I19" s="1531"/>
      <c r="J19" s="896"/>
      <c r="K19" s="118"/>
      <c r="L19" s="896"/>
      <c r="M19" s="118"/>
      <c r="N19" s="896"/>
      <c r="O19" s="118"/>
      <c r="P19" s="1789"/>
      <c r="Q19" s="1995"/>
      <c r="R19" s="1789"/>
      <c r="S19" s="1995"/>
      <c r="T19" s="1789"/>
      <c r="U19" s="1995"/>
      <c r="V19" s="1789"/>
      <c r="W19" s="1995"/>
      <c r="X19" s="1789"/>
      <c r="Y19" s="1995"/>
      <c r="Z19" s="1789"/>
      <c r="AA19" s="1995"/>
      <c r="AB19" s="1995"/>
      <c r="AC19" s="1997"/>
      <c r="AD19" s="1995"/>
      <c r="AE19" s="1995"/>
      <c r="AF19" s="3173"/>
      <c r="AG19" s="1995"/>
      <c r="AH19" s="1073"/>
      <c r="AI19" s="67"/>
      <c r="AJ19" s="895"/>
      <c r="AK19" s="888"/>
      <c r="AL19" s="1828"/>
    </row>
    <row r="20" spans="1:38" s="887" customFormat="1" ht="15" customHeight="1">
      <c r="A20" s="1070"/>
      <c r="B20" s="1077" t="s">
        <v>1093</v>
      </c>
      <c r="C20" s="107"/>
      <c r="D20" s="896">
        <v>80.3</v>
      </c>
      <c r="E20" s="1839"/>
      <c r="F20" s="896">
        <v>51.2</v>
      </c>
      <c r="G20" s="1839"/>
      <c r="H20" s="896">
        <v>65.599999999999994</v>
      </c>
      <c r="I20" s="1839"/>
      <c r="J20" s="896">
        <v>72.700000000000017</v>
      </c>
      <c r="K20" s="1537"/>
      <c r="L20" s="896">
        <v>73.599999999999966</v>
      </c>
      <c r="M20" s="1537"/>
      <c r="N20" s="896">
        <v>83.300000000000011</v>
      </c>
      <c r="O20" s="1537"/>
      <c r="P20" s="1789">
        <v>79.19999999999996</v>
      </c>
      <c r="Q20" s="1998"/>
      <c r="R20" s="1789">
        <v>76.399999999999949</v>
      </c>
      <c r="S20" s="1998"/>
      <c r="T20" s="1789">
        <v>86.300000000000068</v>
      </c>
      <c r="U20" s="1998"/>
      <c r="V20" s="1789">
        <f t="shared" ref="V20:V27" si="0">$AD20-$D20-$F20-$H20-$J20-$L20-$N20-$P20-$R20-$T20</f>
        <v>84.600000000000023</v>
      </c>
      <c r="W20" s="1998"/>
      <c r="X20" s="1789"/>
      <c r="Y20" s="1998"/>
      <c r="Z20" s="1789"/>
      <c r="AA20" s="1999"/>
      <c r="AB20" s="2000"/>
      <c r="AC20" s="2002"/>
      <c r="AD20" s="1789">
        <v>753.2</v>
      </c>
      <c r="AE20" s="2032"/>
      <c r="AF20" s="3174"/>
      <c r="AG20" s="1789">
        <v>923.9</v>
      </c>
      <c r="AH20" s="1073"/>
      <c r="AI20" s="67"/>
      <c r="AJ20" s="895">
        <f t="shared" ref="AJ20:AJ27" si="1">ROUND(SUM(+AD20-AG20),1)</f>
        <v>-170.7</v>
      </c>
      <c r="AK20" s="888"/>
      <c r="AL20" s="1822">
        <f t="shared" ref="AL20:AL28" si="2">ROUND(IF(AG20=0,0,AJ20/ABS(AG20)),3)</f>
        <v>-0.185</v>
      </c>
    </row>
    <row r="21" spans="1:38" s="887" customFormat="1" ht="15" customHeight="1">
      <c r="A21" s="1070"/>
      <c r="B21" s="1077" t="s">
        <v>1094</v>
      </c>
      <c r="C21" s="107"/>
      <c r="D21" s="896">
        <v>-0.1</v>
      </c>
      <c r="E21" s="1839"/>
      <c r="F21" s="896">
        <v>-1.4999999999999998</v>
      </c>
      <c r="G21" s="1839"/>
      <c r="H21" s="896">
        <v>3.4</v>
      </c>
      <c r="I21" s="1839"/>
      <c r="J21" s="896">
        <v>2.1</v>
      </c>
      <c r="K21" s="1537"/>
      <c r="L21" s="896">
        <v>2.0999999999999992</v>
      </c>
      <c r="M21" s="1537"/>
      <c r="N21" s="896">
        <v>-1.0999999999999992</v>
      </c>
      <c r="O21" s="1537"/>
      <c r="P21" s="1789">
        <v>0</v>
      </c>
      <c r="Q21" s="1998"/>
      <c r="R21" s="1789">
        <v>0</v>
      </c>
      <c r="S21" s="1998"/>
      <c r="T21" s="1789">
        <v>3.7999999999999989</v>
      </c>
      <c r="U21" s="1998"/>
      <c r="V21" s="1789">
        <f t="shared" si="0"/>
        <v>0</v>
      </c>
      <c r="W21" s="1998"/>
      <c r="X21" s="1789"/>
      <c r="Y21" s="1998"/>
      <c r="Z21" s="1789"/>
      <c r="AA21" s="1999"/>
      <c r="AB21" s="2000"/>
      <c r="AC21" s="2002"/>
      <c r="AD21" s="1789">
        <v>8.6999999999999993</v>
      </c>
      <c r="AE21" s="2032"/>
      <c r="AF21" s="3174"/>
      <c r="AG21" s="1789">
        <v>12.9</v>
      </c>
      <c r="AH21" s="1073"/>
      <c r="AI21" s="67"/>
      <c r="AJ21" s="895">
        <f t="shared" si="1"/>
        <v>-4.2</v>
      </c>
      <c r="AK21" s="888"/>
      <c r="AL21" s="1818">
        <f>ROUND(IF(AG21=0,1,AJ21/ABS(AG21)),3)</f>
        <v>-0.32600000000000001</v>
      </c>
    </row>
    <row r="22" spans="1:38" s="887" customFormat="1" ht="15" customHeight="1">
      <c r="A22" s="1070"/>
      <c r="B22" s="1077" t="s">
        <v>1095</v>
      </c>
      <c r="C22" s="107"/>
      <c r="D22" s="896">
        <v>68.8</v>
      </c>
      <c r="E22" s="1839"/>
      <c r="F22" s="896">
        <v>51.3</v>
      </c>
      <c r="G22" s="1839"/>
      <c r="H22" s="896">
        <v>60.200000000000017</v>
      </c>
      <c r="I22" s="1839"/>
      <c r="J22" s="896">
        <v>68.799999999999983</v>
      </c>
      <c r="K22" s="1537"/>
      <c r="L22" s="896">
        <v>60.399999999999977</v>
      </c>
      <c r="M22" s="1537"/>
      <c r="N22" s="896">
        <v>71</v>
      </c>
      <c r="O22" s="1537"/>
      <c r="P22" s="1789">
        <v>55.699999999999989</v>
      </c>
      <c r="Q22" s="1998"/>
      <c r="R22" s="1789">
        <v>59.100000000000051</v>
      </c>
      <c r="S22" s="1998"/>
      <c r="T22" s="1789">
        <v>60.999999999999915</v>
      </c>
      <c r="U22" s="1998"/>
      <c r="V22" s="1789">
        <f t="shared" si="0"/>
        <v>61.300000000000182</v>
      </c>
      <c r="W22" s="1998"/>
      <c r="X22" s="1789"/>
      <c r="Y22" s="1998"/>
      <c r="Z22" s="1789"/>
      <c r="AA22" s="1999"/>
      <c r="AB22" s="2000"/>
      <c r="AC22" s="2002"/>
      <c r="AD22" s="1789">
        <v>617.6</v>
      </c>
      <c r="AE22" s="2032"/>
      <c r="AF22" s="3174"/>
      <c r="AG22" s="1789">
        <v>626.1</v>
      </c>
      <c r="AH22" s="1073"/>
      <c r="AI22" s="67"/>
      <c r="AJ22" s="895">
        <f t="shared" si="1"/>
        <v>-8.5</v>
      </c>
      <c r="AK22" s="888"/>
      <c r="AL22" s="1822">
        <f t="shared" si="2"/>
        <v>-1.4E-2</v>
      </c>
    </row>
    <row r="23" spans="1:38" s="887" customFormat="1" ht="15" customHeight="1">
      <c r="A23" s="1070"/>
      <c r="B23" s="1795" t="s">
        <v>1237</v>
      </c>
      <c r="C23" s="107"/>
      <c r="D23" s="896">
        <v>0.5</v>
      </c>
      <c r="E23" s="1839"/>
      <c r="F23" s="896">
        <v>0.60000000000000009</v>
      </c>
      <c r="G23" s="1839"/>
      <c r="H23" s="896">
        <v>0.7</v>
      </c>
      <c r="I23" s="1839"/>
      <c r="J23" s="896">
        <v>0.59999999999999987</v>
      </c>
      <c r="K23" s="1537"/>
      <c r="L23" s="896">
        <v>0.80000000000000027</v>
      </c>
      <c r="M23" s="1537"/>
      <c r="N23" s="896">
        <v>0.69999999999999951</v>
      </c>
      <c r="O23" s="1537"/>
      <c r="P23" s="1789">
        <v>0.80000000000000093</v>
      </c>
      <c r="Q23" s="1998"/>
      <c r="R23" s="1789">
        <v>0.70000000000000018</v>
      </c>
      <c r="S23" s="1998"/>
      <c r="T23" s="1789">
        <v>0.79999999999999871</v>
      </c>
      <c r="U23" s="1998"/>
      <c r="V23" s="1789">
        <f t="shared" si="0"/>
        <v>1.0000000000000002</v>
      </c>
      <c r="W23" s="1998"/>
      <c r="X23" s="1789"/>
      <c r="Y23" s="1998"/>
      <c r="Z23" s="1789"/>
      <c r="AA23" s="1999"/>
      <c r="AB23" s="2000"/>
      <c r="AC23" s="2002"/>
      <c r="AD23" s="1789">
        <v>7.2</v>
      </c>
      <c r="AE23" s="2032"/>
      <c r="AF23" s="3174"/>
      <c r="AG23" s="1789">
        <v>4.8</v>
      </c>
      <c r="AH23" s="1073"/>
      <c r="AI23" s="67"/>
      <c r="AJ23" s="895">
        <f t="shared" si="1"/>
        <v>2.4</v>
      </c>
      <c r="AK23" s="888"/>
      <c r="AL23" s="1724">
        <f>ROUND(IF(AG23=0,1,AJ23/ABS(AG23)),3)</f>
        <v>0.5</v>
      </c>
    </row>
    <row r="24" spans="1:38" s="887" customFormat="1" ht="15" customHeight="1">
      <c r="A24" s="1070"/>
      <c r="B24" s="1077" t="s">
        <v>1096</v>
      </c>
      <c r="C24" s="107"/>
      <c r="D24" s="896">
        <v>6.5</v>
      </c>
      <c r="E24" s="1839"/>
      <c r="F24" s="896">
        <v>4.6999999999999993</v>
      </c>
      <c r="G24" s="1839"/>
      <c r="H24" s="896">
        <v>6.5999999999999979</v>
      </c>
      <c r="I24" s="1839"/>
      <c r="J24" s="896">
        <v>8.5000000000000036</v>
      </c>
      <c r="K24" s="1537"/>
      <c r="L24" s="896">
        <v>9.0999999999999979</v>
      </c>
      <c r="M24" s="1537"/>
      <c r="N24" s="896">
        <v>8.899999999999995</v>
      </c>
      <c r="O24" s="1537"/>
      <c r="P24" s="1789">
        <v>8.3000000000000149</v>
      </c>
      <c r="Q24" s="1998"/>
      <c r="R24" s="1789">
        <v>8.5999999999999979</v>
      </c>
      <c r="S24" s="1998"/>
      <c r="T24" s="1789">
        <v>8.7000000000000064</v>
      </c>
      <c r="U24" s="1998"/>
      <c r="V24" s="1789">
        <f t="shared" si="0"/>
        <v>6.5000000000000036</v>
      </c>
      <c r="W24" s="1998"/>
      <c r="X24" s="1789"/>
      <c r="Y24" s="1998"/>
      <c r="Z24" s="1789"/>
      <c r="AA24" s="1999"/>
      <c r="AB24" s="2000"/>
      <c r="AC24" s="2002"/>
      <c r="AD24" s="1789">
        <v>76.400000000000006</v>
      </c>
      <c r="AE24" s="2032"/>
      <c r="AF24" s="3174"/>
      <c r="AG24" s="1789">
        <v>92.5</v>
      </c>
      <c r="AH24" s="1073"/>
      <c r="AI24" s="67"/>
      <c r="AJ24" s="895">
        <f t="shared" si="1"/>
        <v>-16.100000000000001</v>
      </c>
      <c r="AK24" s="888"/>
      <c r="AL24" s="1822">
        <f t="shared" si="2"/>
        <v>-0.17399999999999999</v>
      </c>
    </row>
    <row r="25" spans="1:38" s="887" customFormat="1" ht="15" customHeight="1">
      <c r="A25" s="1070"/>
      <c r="B25" s="1077" t="s">
        <v>1097</v>
      </c>
      <c r="C25" s="107"/>
      <c r="D25" s="896">
        <v>0</v>
      </c>
      <c r="E25" s="1839"/>
      <c r="F25" s="896">
        <v>0</v>
      </c>
      <c r="G25" s="1839"/>
      <c r="H25" s="896">
        <v>0</v>
      </c>
      <c r="I25" s="1839"/>
      <c r="J25" s="896">
        <v>0</v>
      </c>
      <c r="K25" s="1537"/>
      <c r="L25" s="896">
        <v>0</v>
      </c>
      <c r="M25" s="1537"/>
      <c r="N25" s="896">
        <v>0</v>
      </c>
      <c r="O25" s="1537"/>
      <c r="P25" s="1789">
        <v>0</v>
      </c>
      <c r="Q25" s="1998"/>
      <c r="R25" s="1789">
        <v>0</v>
      </c>
      <c r="S25" s="1998"/>
      <c r="T25" s="1789">
        <v>0</v>
      </c>
      <c r="U25" s="1998"/>
      <c r="V25" s="1789">
        <f t="shared" si="0"/>
        <v>0</v>
      </c>
      <c r="W25" s="1998"/>
      <c r="X25" s="1789"/>
      <c r="Y25" s="1998"/>
      <c r="Z25" s="1789"/>
      <c r="AA25" s="1999"/>
      <c r="AB25" s="2000"/>
      <c r="AC25" s="2002"/>
      <c r="AD25" s="1789">
        <v>0</v>
      </c>
      <c r="AE25" s="2032"/>
      <c r="AF25" s="3174"/>
      <c r="AG25" s="1789">
        <v>0</v>
      </c>
      <c r="AH25" s="1073"/>
      <c r="AI25" s="67"/>
      <c r="AJ25" s="895">
        <f t="shared" si="1"/>
        <v>0</v>
      </c>
      <c r="AK25" s="888"/>
      <c r="AL25" s="1822">
        <f t="shared" si="2"/>
        <v>0</v>
      </c>
    </row>
    <row r="26" spans="1:38" s="887" customFormat="1" ht="15" customHeight="1">
      <c r="A26" s="1070"/>
      <c r="B26" s="1077" t="s">
        <v>1098</v>
      </c>
      <c r="C26" s="107"/>
      <c r="D26" s="896">
        <v>0</v>
      </c>
      <c r="E26" s="1839"/>
      <c r="F26" s="896">
        <v>0.1</v>
      </c>
      <c r="G26" s="1839"/>
      <c r="H26" s="896">
        <v>0</v>
      </c>
      <c r="I26" s="1839"/>
      <c r="J26" s="896">
        <v>0</v>
      </c>
      <c r="K26" s="1537"/>
      <c r="L26" s="896">
        <v>0.1</v>
      </c>
      <c r="M26" s="1537"/>
      <c r="N26" s="896">
        <v>0</v>
      </c>
      <c r="O26" s="1537"/>
      <c r="P26" s="1789">
        <v>0</v>
      </c>
      <c r="Q26" s="1998"/>
      <c r="R26" s="1789">
        <v>9.9999999999999978E-2</v>
      </c>
      <c r="S26" s="1998"/>
      <c r="T26" s="1789">
        <v>0.10000000000000006</v>
      </c>
      <c r="U26" s="1998"/>
      <c r="V26" s="1789">
        <f t="shared" si="0"/>
        <v>0</v>
      </c>
      <c r="W26" s="1998"/>
      <c r="X26" s="1789"/>
      <c r="Y26" s="1998"/>
      <c r="Z26" s="1789"/>
      <c r="AA26" s="1999"/>
      <c r="AB26" s="2000"/>
      <c r="AC26" s="2002"/>
      <c r="AD26" s="1789">
        <v>0.4</v>
      </c>
      <c r="AE26" s="2032"/>
      <c r="AF26" s="3174"/>
      <c r="AG26" s="1789">
        <v>0.4</v>
      </c>
      <c r="AH26" s="1073"/>
      <c r="AI26" s="67"/>
      <c r="AJ26" s="895">
        <f t="shared" si="1"/>
        <v>0</v>
      </c>
      <c r="AK26" s="888"/>
      <c r="AL26" s="1829">
        <f>ROUND(IF(AG26=0,0,AJ26/ABS(AG26)),3)</f>
        <v>0</v>
      </c>
    </row>
    <row r="27" spans="1:38" s="887" customFormat="1" ht="15" customHeight="1">
      <c r="A27" s="1070"/>
      <c r="B27" s="2234" t="s">
        <v>1437</v>
      </c>
      <c r="C27" s="107"/>
      <c r="D27" s="896">
        <v>0</v>
      </c>
      <c r="E27" s="1839"/>
      <c r="F27" s="896">
        <v>0.1</v>
      </c>
      <c r="G27" s="1839"/>
      <c r="H27" s="896">
        <v>11.700000000000001</v>
      </c>
      <c r="I27" s="1839"/>
      <c r="J27" s="896">
        <v>-0.40000000000000036</v>
      </c>
      <c r="K27" s="1537"/>
      <c r="L27" s="896">
        <v>-9.9999999999999645E-2</v>
      </c>
      <c r="M27" s="1537"/>
      <c r="N27" s="896">
        <v>7.3999999999999968</v>
      </c>
      <c r="O27" s="1537"/>
      <c r="P27" s="1789">
        <v>0</v>
      </c>
      <c r="Q27" s="1998"/>
      <c r="R27" s="1789">
        <v>0</v>
      </c>
      <c r="S27" s="1998"/>
      <c r="T27" s="1789">
        <v>6.8000000000000007</v>
      </c>
      <c r="U27" s="1998"/>
      <c r="V27" s="1789">
        <f t="shared" si="0"/>
        <v>0</v>
      </c>
      <c r="W27" s="1998"/>
      <c r="X27" s="1789"/>
      <c r="Y27" s="1998"/>
      <c r="Z27" s="1789"/>
      <c r="AA27" s="1999"/>
      <c r="AB27" s="2000"/>
      <c r="AC27" s="2002"/>
      <c r="AD27" s="1789">
        <v>25.5</v>
      </c>
      <c r="AE27" s="2032"/>
      <c r="AF27" s="3174"/>
      <c r="AG27" s="1789">
        <v>0</v>
      </c>
      <c r="AH27" s="1073"/>
      <c r="AI27" s="67"/>
      <c r="AJ27" s="895">
        <f t="shared" si="1"/>
        <v>25.5</v>
      </c>
      <c r="AK27" s="888"/>
      <c r="AL27" s="1829">
        <f>ROUND(IF(AG27=0,1,AJ27/ABS(AG27)),3)</f>
        <v>1</v>
      </c>
    </row>
    <row r="28" spans="1:38" s="753" customFormat="1" ht="15" customHeight="1">
      <c r="A28" s="1068"/>
      <c r="B28" s="1078" t="s">
        <v>1208</v>
      </c>
      <c r="C28" s="29"/>
      <c r="D28" s="1837">
        <f>ROUND(SUM(D20:D27),1)</f>
        <v>156</v>
      </c>
      <c r="E28" s="922"/>
      <c r="F28" s="1837">
        <f>ROUND(SUM(F20:F27),1)</f>
        <v>106.5</v>
      </c>
      <c r="G28" s="922"/>
      <c r="H28" s="1837">
        <f>ROUND(SUM(H20:H27),1)</f>
        <v>148.19999999999999</v>
      </c>
      <c r="I28" s="922"/>
      <c r="J28" s="1837">
        <f>ROUND(SUM(J20:J27),1)</f>
        <v>152.30000000000001</v>
      </c>
      <c r="K28" s="922"/>
      <c r="L28" s="61">
        <f>ROUND(SUM(L20:L27),1)</f>
        <v>146</v>
      </c>
      <c r="M28" s="922"/>
      <c r="N28" s="61">
        <f>ROUND(SUM(N20:N27),1)</f>
        <v>170.2</v>
      </c>
      <c r="O28" s="922"/>
      <c r="P28" s="2033">
        <f>ROUND(SUM(P20:P27),1)</f>
        <v>144</v>
      </c>
      <c r="Q28" s="1461"/>
      <c r="R28" s="2033">
        <f>ROUND(SUM(R20:R27),1)</f>
        <v>144.9</v>
      </c>
      <c r="S28" s="1461"/>
      <c r="T28" s="2033">
        <f>ROUND(SUM(T20:T27),1)</f>
        <v>167.5</v>
      </c>
      <c r="U28" s="1461"/>
      <c r="V28" s="2033">
        <f>ROUND(SUM(V20:V27),1)</f>
        <v>153.4</v>
      </c>
      <c r="W28" s="1461"/>
      <c r="X28" s="2033">
        <f>ROUND(SUM(X20:X27),1)</f>
        <v>0</v>
      </c>
      <c r="Y28" s="1461"/>
      <c r="Z28" s="2033">
        <f>ROUND(SUM(Z20:Z27),1)</f>
        <v>0</v>
      </c>
      <c r="AA28" s="1444"/>
      <c r="AB28" s="1461"/>
      <c r="AC28" s="2012"/>
      <c r="AD28" s="2017">
        <f>ROUND(SUM(AD20:AD27),1)</f>
        <v>1489</v>
      </c>
      <c r="AE28" s="2050"/>
      <c r="AF28" s="3175"/>
      <c r="AG28" s="2017">
        <f>ROUND(SUM(AG20:AG27),1)</f>
        <v>1660.6</v>
      </c>
      <c r="AH28" s="282"/>
      <c r="AI28" s="76"/>
      <c r="AJ28" s="61">
        <f>ROUND(SUM(AJ20:AJ27),1)</f>
        <v>-171.6</v>
      </c>
      <c r="AK28" s="209"/>
      <c r="AL28" s="1050">
        <f t="shared" si="2"/>
        <v>-0.10299999999999999</v>
      </c>
    </row>
    <row r="29" spans="1:38" ht="15" customHeight="1">
      <c r="A29" s="150"/>
      <c r="B29" s="1200" t="s">
        <v>1082</v>
      </c>
      <c r="C29" s="31"/>
      <c r="D29" s="1531"/>
      <c r="E29" s="1531"/>
      <c r="F29" s="1531"/>
      <c r="G29" s="1531"/>
      <c r="H29" s="1531"/>
      <c r="I29" s="1531"/>
      <c r="J29" s="1531"/>
      <c r="K29" s="66"/>
      <c r="L29" s="66"/>
      <c r="M29" s="66"/>
      <c r="N29" s="66"/>
      <c r="O29" s="66"/>
      <c r="P29" s="2006"/>
      <c r="Q29" s="2006"/>
      <c r="R29" s="2006"/>
      <c r="S29" s="2006"/>
      <c r="T29" s="2006"/>
      <c r="U29" s="2006"/>
      <c r="V29" s="2006"/>
      <c r="W29" s="2006"/>
      <c r="X29" s="2006"/>
      <c r="Y29" s="2006"/>
      <c r="Z29" s="2006"/>
      <c r="AA29" s="2006"/>
      <c r="AB29" s="2006"/>
      <c r="AC29" s="2009"/>
      <c r="AD29" s="1995"/>
      <c r="AE29" s="1995"/>
      <c r="AF29" s="3173"/>
      <c r="AG29" s="1995"/>
      <c r="AH29" s="275"/>
      <c r="AI29" s="56"/>
      <c r="AJ29" s="643"/>
      <c r="AK29" s="920"/>
      <c r="AL29" s="920"/>
    </row>
    <row r="30" spans="1:38" s="887" customFormat="1" ht="15" customHeight="1">
      <c r="A30" s="1070"/>
      <c r="B30" s="1077" t="s">
        <v>1100</v>
      </c>
      <c r="C30" s="107"/>
      <c r="D30" s="896">
        <v>57</v>
      </c>
      <c r="E30" s="1839"/>
      <c r="F30" s="896">
        <v>-3.1999999999999957</v>
      </c>
      <c r="G30" s="1839"/>
      <c r="H30" s="896">
        <v>110.1</v>
      </c>
      <c r="I30" s="1531"/>
      <c r="J30" s="896">
        <v>113.99999999999997</v>
      </c>
      <c r="K30" s="1537"/>
      <c r="L30" s="896">
        <v>11.700000000000045</v>
      </c>
      <c r="M30" s="1537"/>
      <c r="N30" s="896">
        <v>165.69999999999996</v>
      </c>
      <c r="O30" s="1537"/>
      <c r="P30" s="896">
        <v>40.700000000000045</v>
      </c>
      <c r="Q30" s="1998"/>
      <c r="R30" s="1789">
        <v>24.5</v>
      </c>
      <c r="S30" s="1998"/>
      <c r="T30" s="1789">
        <v>170.99999999999997</v>
      </c>
      <c r="U30" s="1998"/>
      <c r="V30" s="1789">
        <f t="shared" ref="V30:V34" si="3">$AD30-$D30-$F30-$H30-$J30-$L30-$N30-$P30-$R30-$T30</f>
        <v>67.900000000000006</v>
      </c>
      <c r="W30" s="1998"/>
      <c r="X30" s="1789"/>
      <c r="Y30" s="1998"/>
      <c r="Z30" s="1789"/>
      <c r="AA30" s="1999"/>
      <c r="AB30" s="2000"/>
      <c r="AC30" s="2002"/>
      <c r="AD30" s="1789">
        <v>759.4</v>
      </c>
      <c r="AE30" s="2032"/>
      <c r="AF30" s="3174"/>
      <c r="AG30" s="1789">
        <v>764.8</v>
      </c>
      <c r="AH30" s="1073"/>
      <c r="AI30" s="67"/>
      <c r="AJ30" s="895">
        <f>ROUND(SUM(+AD30-AG30),1)</f>
        <v>-5.4</v>
      </c>
      <c r="AK30" s="888"/>
      <c r="AL30" s="1822">
        <f t="shared" ref="AL30:AL35" si="4">ROUND(IF(AG30=0,0,AJ30/ABS(AG30)),3)</f>
        <v>-7.0000000000000001E-3</v>
      </c>
    </row>
    <row r="31" spans="1:38" s="887" customFormat="1" ht="15" customHeight="1">
      <c r="A31" s="1070"/>
      <c r="B31" s="1077" t="s">
        <v>1101</v>
      </c>
      <c r="C31" s="107"/>
      <c r="D31" s="896">
        <v>2.2000000000000002</v>
      </c>
      <c r="E31" s="1839"/>
      <c r="F31" s="896">
        <v>-6.9</v>
      </c>
      <c r="G31" s="1839"/>
      <c r="H31" s="896">
        <v>20.5</v>
      </c>
      <c r="I31" s="1531"/>
      <c r="J31" s="896">
        <v>17</v>
      </c>
      <c r="K31" s="1537"/>
      <c r="L31" s="896">
        <v>-1.3999999999999986</v>
      </c>
      <c r="M31" s="1537"/>
      <c r="N31" s="896">
        <v>24.399999999999991</v>
      </c>
      <c r="O31" s="1537"/>
      <c r="P31" s="896">
        <v>4.1000000000000014</v>
      </c>
      <c r="Q31" s="1998"/>
      <c r="R31" s="1789">
        <v>0.10000000000000853</v>
      </c>
      <c r="S31" s="1998"/>
      <c r="T31" s="1789">
        <v>24.900000000000006</v>
      </c>
      <c r="U31" s="1998"/>
      <c r="V31" s="1789">
        <f t="shared" si="3"/>
        <v>4.8999999999999915</v>
      </c>
      <c r="W31" s="1998"/>
      <c r="X31" s="1789"/>
      <c r="Y31" s="1998"/>
      <c r="Z31" s="1789"/>
      <c r="AA31" s="1999"/>
      <c r="AB31" s="2000"/>
      <c r="AC31" s="2002"/>
      <c r="AD31" s="1789">
        <v>89.8</v>
      </c>
      <c r="AE31" s="2032"/>
      <c r="AF31" s="3174"/>
      <c r="AG31" s="1789">
        <v>109.4</v>
      </c>
      <c r="AH31" s="1073"/>
      <c r="AI31" s="67"/>
      <c r="AJ31" s="895">
        <f>ROUND(SUM(+AD31-AG31),1)</f>
        <v>-19.600000000000001</v>
      </c>
      <c r="AK31" s="888"/>
      <c r="AL31" s="1822">
        <f t="shared" si="4"/>
        <v>-0.17899999999999999</v>
      </c>
    </row>
    <row r="32" spans="1:38" s="887" customFormat="1" ht="15" customHeight="1">
      <c r="A32" s="1070"/>
      <c r="B32" s="1077" t="s">
        <v>1102</v>
      </c>
      <c r="C32" s="107"/>
      <c r="D32" s="896">
        <v>7.2</v>
      </c>
      <c r="E32" s="1839"/>
      <c r="F32" s="896">
        <v>-0.39999999999999947</v>
      </c>
      <c r="G32" s="1839"/>
      <c r="H32" s="896">
        <v>38.599999999999994</v>
      </c>
      <c r="I32" s="1531"/>
      <c r="J32" s="896">
        <v>4.4000000000000057</v>
      </c>
      <c r="K32" s="1537"/>
      <c r="L32" s="896">
        <v>0.39999999999999858</v>
      </c>
      <c r="M32" s="1537"/>
      <c r="N32" s="896">
        <v>43.300000000000004</v>
      </c>
      <c r="O32" s="1537"/>
      <c r="P32" s="896">
        <v>1.2000000000000028</v>
      </c>
      <c r="Q32" s="1998"/>
      <c r="R32" s="1789">
        <v>0.29999999999999716</v>
      </c>
      <c r="S32" s="1998"/>
      <c r="T32" s="1789">
        <v>42.1</v>
      </c>
      <c r="U32" s="1998"/>
      <c r="V32" s="1789">
        <f t="shared" si="3"/>
        <v>-0.5</v>
      </c>
      <c r="W32" s="1998"/>
      <c r="X32" s="1789"/>
      <c r="Y32" s="1998"/>
      <c r="Z32" s="1789"/>
      <c r="AA32" s="1999"/>
      <c r="AB32" s="2000"/>
      <c r="AC32" s="2002"/>
      <c r="AD32" s="1789">
        <v>136.6</v>
      </c>
      <c r="AE32" s="2032"/>
      <c r="AF32" s="3174"/>
      <c r="AG32" s="1789">
        <v>182.8</v>
      </c>
      <c r="AH32" s="1073"/>
      <c r="AI32" s="67"/>
      <c r="AJ32" s="895">
        <f>ROUND(SUM(+AD32-AG32),1)</f>
        <v>-46.2</v>
      </c>
      <c r="AK32" s="888"/>
      <c r="AL32" s="1823">
        <f t="shared" si="4"/>
        <v>-0.253</v>
      </c>
    </row>
    <row r="33" spans="1:39" s="887" customFormat="1" ht="15" customHeight="1">
      <c r="A33" s="1070"/>
      <c r="B33" s="1077" t="s">
        <v>1103</v>
      </c>
      <c r="C33" s="107"/>
      <c r="D33" s="896">
        <v>1.3</v>
      </c>
      <c r="E33" s="1839"/>
      <c r="F33" s="896">
        <v>0.59999999999999987</v>
      </c>
      <c r="G33" s="1839"/>
      <c r="H33" s="896">
        <v>12.9</v>
      </c>
      <c r="I33" s="1531"/>
      <c r="J33" s="896">
        <v>0</v>
      </c>
      <c r="K33" s="1537"/>
      <c r="L33" s="896">
        <v>6.0999999999999961</v>
      </c>
      <c r="M33" s="1537"/>
      <c r="N33" s="896">
        <v>-3.0999999999999961</v>
      </c>
      <c r="O33" s="1537"/>
      <c r="P33" s="896">
        <v>0.49999999999999822</v>
      </c>
      <c r="Q33" s="1998"/>
      <c r="R33" s="1789">
        <v>-0.19999999999999929</v>
      </c>
      <c r="S33" s="1998"/>
      <c r="T33" s="1789">
        <v>0.5</v>
      </c>
      <c r="U33" s="1998"/>
      <c r="V33" s="1789">
        <f t="shared" si="3"/>
        <v>-1.7999999999999989</v>
      </c>
      <c r="W33" s="1998"/>
      <c r="X33" s="1789"/>
      <c r="Y33" s="1998"/>
      <c r="Z33" s="1789"/>
      <c r="AA33" s="1999"/>
      <c r="AB33" s="2000"/>
      <c r="AC33" s="2002"/>
      <c r="AD33" s="1789">
        <v>16.8</v>
      </c>
      <c r="AE33" s="2032"/>
      <c r="AF33" s="3174"/>
      <c r="AG33" s="1789">
        <v>-1.9</v>
      </c>
      <c r="AH33" s="1073"/>
      <c r="AI33" s="67"/>
      <c r="AJ33" s="895">
        <f>ROUND(SUM(+AD33-AG33),1)</f>
        <v>18.7</v>
      </c>
      <c r="AK33" s="888"/>
      <c r="AL33" s="1823">
        <f t="shared" si="4"/>
        <v>9.8420000000000005</v>
      </c>
    </row>
    <row r="34" spans="1:39" s="887" customFormat="1" ht="15" customHeight="1">
      <c r="A34" s="1070"/>
      <c r="B34" s="1077" t="s">
        <v>1104</v>
      </c>
      <c r="C34" s="107"/>
      <c r="D34" s="896">
        <v>30.3</v>
      </c>
      <c r="E34" s="1839"/>
      <c r="F34" s="896">
        <v>17.599999999999998</v>
      </c>
      <c r="G34" s="1839"/>
      <c r="H34" s="896">
        <v>37.700000000000003</v>
      </c>
      <c r="I34" s="1531"/>
      <c r="J34" s="896">
        <v>38.800000000000011</v>
      </c>
      <c r="K34" s="1537"/>
      <c r="L34" s="896">
        <v>38.699999999999974</v>
      </c>
      <c r="M34" s="1537"/>
      <c r="N34" s="896">
        <v>43.200000000000017</v>
      </c>
      <c r="O34" s="1537"/>
      <c r="P34" s="896">
        <v>39.600000000000009</v>
      </c>
      <c r="Q34" s="1998"/>
      <c r="R34" s="1789">
        <v>36.499999999999943</v>
      </c>
      <c r="S34" s="1998"/>
      <c r="T34" s="1789">
        <v>36.40000000000002</v>
      </c>
      <c r="U34" s="1998"/>
      <c r="V34" s="1789">
        <f t="shared" si="3"/>
        <v>33.699999999999989</v>
      </c>
      <c r="W34" s="1998"/>
      <c r="X34" s="1789"/>
      <c r="Y34" s="1998"/>
      <c r="Z34" s="1789"/>
      <c r="AA34" s="1999"/>
      <c r="AB34" s="2000"/>
      <c r="AC34" s="2002"/>
      <c r="AD34" s="1789">
        <v>352.5</v>
      </c>
      <c r="AE34" s="2032"/>
      <c r="AF34" s="3174"/>
      <c r="AG34" s="1789">
        <v>436.5</v>
      </c>
      <c r="AH34" s="1073"/>
      <c r="AI34" s="67"/>
      <c r="AJ34" s="895">
        <f>ROUND(SUM(+AD34-AG34),1)</f>
        <v>-84</v>
      </c>
      <c r="AK34" s="888"/>
      <c r="AL34" s="1822">
        <f t="shared" si="4"/>
        <v>-0.192</v>
      </c>
    </row>
    <row r="35" spans="1:39" s="753" customFormat="1" ht="15" customHeight="1">
      <c r="A35" s="1068"/>
      <c r="B35" s="1078" t="s">
        <v>1211</v>
      </c>
      <c r="C35" s="29"/>
      <c r="D35" s="1837">
        <f>ROUND(SUM(D30:D34),1)</f>
        <v>98</v>
      </c>
      <c r="E35" s="922"/>
      <c r="F35" s="1837">
        <f>ROUND(SUM(F30:F34),1)</f>
        <v>7.7</v>
      </c>
      <c r="G35" s="922"/>
      <c r="H35" s="1837">
        <f>ROUND(SUM(H30:H34),1)</f>
        <v>219.8</v>
      </c>
      <c r="I35" s="922"/>
      <c r="J35" s="1837">
        <f>ROUND(SUM(J30:J34),1)</f>
        <v>174.2</v>
      </c>
      <c r="K35" s="922"/>
      <c r="L35" s="61">
        <f>ROUND(SUM(L30:L34),1)</f>
        <v>55.5</v>
      </c>
      <c r="M35" s="922"/>
      <c r="N35" s="61">
        <f>ROUND(SUM(N30:N34),1)</f>
        <v>273.5</v>
      </c>
      <c r="O35" s="922"/>
      <c r="P35" s="2033">
        <f>ROUND(SUM(P30:P34),1)</f>
        <v>86.1</v>
      </c>
      <c r="Q35" s="1461"/>
      <c r="R35" s="2033">
        <f>ROUND(SUM(R30:R34),1)</f>
        <v>61.2</v>
      </c>
      <c r="S35" s="1461"/>
      <c r="T35" s="2033">
        <f>ROUND(SUM(T30:T34),1)</f>
        <v>274.89999999999998</v>
      </c>
      <c r="U35" s="1461"/>
      <c r="V35" s="2033">
        <f>ROUND(SUM(V30:V34),1)</f>
        <v>104.2</v>
      </c>
      <c r="W35" s="1461"/>
      <c r="X35" s="2033">
        <f>ROUND(SUM(X30:X34),1)</f>
        <v>0</v>
      </c>
      <c r="Y35" s="1461"/>
      <c r="Z35" s="2033">
        <f>ROUND(SUM(Z30:Z34),1)</f>
        <v>0</v>
      </c>
      <c r="AA35" s="1444"/>
      <c r="AB35" s="1461"/>
      <c r="AC35" s="2012"/>
      <c r="AD35" s="2017">
        <f>ROUND(SUM(AD30:AD34),1)</f>
        <v>1355.1</v>
      </c>
      <c r="AE35" s="2050"/>
      <c r="AF35" s="3175"/>
      <c r="AG35" s="2017">
        <f>ROUND(SUM(AG30:AG34),1)</f>
        <v>1491.6</v>
      </c>
      <c r="AH35" s="282"/>
      <c r="AI35" s="76"/>
      <c r="AJ35" s="61">
        <f>ROUND(SUM(AJ30:AJ34),1)</f>
        <v>-136.5</v>
      </c>
      <c r="AK35" s="209"/>
      <c r="AL35" s="1409">
        <f t="shared" si="4"/>
        <v>-9.1999999999999998E-2</v>
      </c>
    </row>
    <row r="36" spans="1:39" ht="15" customHeight="1">
      <c r="A36" s="150"/>
      <c r="B36" s="1078"/>
      <c r="C36" s="31"/>
      <c r="D36" s="1531"/>
      <c r="E36" s="1531"/>
      <c r="F36" s="1531"/>
      <c r="G36" s="1531"/>
      <c r="H36" s="1531"/>
      <c r="I36" s="1531"/>
      <c r="J36" s="1531"/>
      <c r="K36" s="66"/>
      <c r="L36" s="66"/>
      <c r="M36" s="66"/>
      <c r="N36" s="66"/>
      <c r="O36" s="66"/>
      <c r="P36" s="2006"/>
      <c r="Q36" s="2006"/>
      <c r="R36" s="2006"/>
      <c r="S36" s="2006"/>
      <c r="T36" s="2006"/>
      <c r="U36" s="2006"/>
      <c r="V36" s="2006"/>
      <c r="W36" s="2006"/>
      <c r="X36" s="2006"/>
      <c r="Y36" s="2006"/>
      <c r="Z36" s="2006"/>
      <c r="AA36" s="2006"/>
      <c r="AB36" s="2006"/>
      <c r="AC36" s="2034"/>
      <c r="AD36" s="1977"/>
      <c r="AE36" s="1995"/>
      <c r="AF36" s="3173"/>
      <c r="AG36" s="1977"/>
      <c r="AH36" s="275"/>
      <c r="AI36" s="56"/>
      <c r="AJ36" s="643"/>
      <c r="AK36" s="920"/>
      <c r="AL36" s="1433"/>
    </row>
    <row r="37" spans="1:39" ht="15" customHeight="1">
      <c r="A37" s="150"/>
      <c r="B37" s="310" t="s">
        <v>1079</v>
      </c>
      <c r="C37" s="31"/>
      <c r="D37" s="3537">
        <f>ROUND(SUM(D17+D28+D35),1)</f>
        <v>254</v>
      </c>
      <c r="E37" s="1531"/>
      <c r="F37" s="3537">
        <f>ROUND(SUM(F17+F28+F35),1)</f>
        <v>114.2</v>
      </c>
      <c r="G37" s="1531"/>
      <c r="H37" s="3537">
        <f>ROUND(SUM(H17+H28+H35),1)</f>
        <v>368</v>
      </c>
      <c r="I37" s="1531"/>
      <c r="J37" s="3537">
        <f>ROUND(SUM(J17+J28+J35),1)</f>
        <v>326.5</v>
      </c>
      <c r="K37" s="66"/>
      <c r="L37" s="3537">
        <f>ROUND(SUM(L17+L28+L35),1)</f>
        <v>201.5</v>
      </c>
      <c r="M37" s="1531"/>
      <c r="N37" s="3537">
        <f>ROUND(SUM(N17+N28+N35),1)</f>
        <v>443.8</v>
      </c>
      <c r="O37" s="1531"/>
      <c r="P37" s="3537">
        <f>ROUND(SUM(P17+P28+P35),1)</f>
        <v>230.2</v>
      </c>
      <c r="Q37" s="1531"/>
      <c r="R37" s="3537">
        <f>ROUND(SUM(R17+R28+R35),1)</f>
        <v>207.5</v>
      </c>
      <c r="S37" s="2006"/>
      <c r="T37" s="3537">
        <f>ROUND(SUM(T17+T28+T35),1)</f>
        <v>477.4</v>
      </c>
      <c r="U37" s="1531"/>
      <c r="V37" s="3537">
        <f>ROUND(SUM(V17+V28+V35),1)</f>
        <v>2229.6</v>
      </c>
      <c r="W37" s="1531"/>
      <c r="X37" s="3537">
        <f>ROUND(SUM(X17+X28+X35),1)</f>
        <v>0</v>
      </c>
      <c r="Y37" s="1531"/>
      <c r="Z37" s="3537">
        <f>ROUND(SUM(Z17+Z28+Z35),1)</f>
        <v>0</v>
      </c>
      <c r="AA37" s="2036"/>
      <c r="AB37" s="2006"/>
      <c r="AC37" s="2037"/>
      <c r="AD37" s="3537">
        <f>ROUND(SUM(AD17+AD28+AD35),1)</f>
        <v>4852.7</v>
      </c>
      <c r="AE37" s="1995"/>
      <c r="AF37" s="2039"/>
      <c r="AG37" s="3537">
        <f>ROUND(SUM(AG17+AG28+AG35),1)</f>
        <v>5301.3</v>
      </c>
      <c r="AH37" s="279"/>
      <c r="AI37" s="56"/>
      <c r="AJ37" s="3537">
        <f>ROUND(SUM(AJ17+AJ28+AJ35),1)</f>
        <v>-448.6</v>
      </c>
      <c r="AK37" s="643"/>
      <c r="AL37" s="3538">
        <f>ROUND(IF(AG37=0,0,AJ37/ABS(AG37)),3)</f>
        <v>-8.5000000000000006E-2</v>
      </c>
      <c r="AM37" s="784"/>
    </row>
    <row r="38" spans="1:39" ht="15" customHeight="1">
      <c r="A38" s="150"/>
      <c r="B38" s="31"/>
      <c r="C38" s="31"/>
      <c r="D38" s="681"/>
      <c r="E38" s="1531"/>
      <c r="F38" s="681"/>
      <c r="G38" s="1531"/>
      <c r="H38" s="1531"/>
      <c r="I38" s="1531"/>
      <c r="J38" s="681"/>
      <c r="K38" s="66"/>
      <c r="L38" s="77"/>
      <c r="M38" s="66"/>
      <c r="N38" s="77"/>
      <c r="O38" s="66"/>
      <c r="P38" s="2015"/>
      <c r="Q38" s="2006"/>
      <c r="R38" s="2015"/>
      <c r="S38" s="2006"/>
      <c r="T38" s="2015"/>
      <c r="U38" s="2006"/>
      <c r="V38" s="2015"/>
      <c r="W38" s="2006"/>
      <c r="X38" s="2015"/>
      <c r="Y38" s="2006"/>
      <c r="Z38" s="2015"/>
      <c r="AA38" s="2015"/>
      <c r="AB38" s="2006"/>
      <c r="AC38" s="2037"/>
      <c r="AD38" s="2120"/>
      <c r="AE38" s="2630"/>
      <c r="AF38" s="1997"/>
      <c r="AG38" s="2120"/>
      <c r="AH38" s="279"/>
      <c r="AI38" s="56"/>
      <c r="AJ38" s="643"/>
      <c r="AK38" s="643"/>
      <c r="AL38" s="1432"/>
      <c r="AM38" s="784"/>
    </row>
    <row r="39" spans="1:39" ht="15" customHeight="1">
      <c r="A39" s="150"/>
      <c r="B39" s="261" t="s">
        <v>1014</v>
      </c>
      <c r="C39" s="31"/>
      <c r="D39" s="681"/>
      <c r="E39" s="1531"/>
      <c r="F39" s="681"/>
      <c r="G39" s="1531"/>
      <c r="H39" s="1531"/>
      <c r="I39" s="1531"/>
      <c r="J39" s="681"/>
      <c r="K39" s="66"/>
      <c r="L39" s="77"/>
      <c r="M39" s="66"/>
      <c r="N39" s="77"/>
      <c r="O39" s="66"/>
      <c r="P39" s="2015"/>
      <c r="Q39" s="2006"/>
      <c r="R39" s="2015"/>
      <c r="S39" s="2006"/>
      <c r="T39" s="2015"/>
      <c r="U39" s="2006"/>
      <c r="V39" s="2015"/>
      <c r="W39" s="2006"/>
      <c r="X39" s="2015"/>
      <c r="Y39" s="2006"/>
      <c r="Z39" s="2015"/>
      <c r="AA39" s="2015"/>
      <c r="AB39" s="2006"/>
      <c r="AC39" s="2037"/>
      <c r="AD39" s="1995"/>
      <c r="AE39" s="1995"/>
      <c r="AF39" s="1997"/>
      <c r="AG39" s="1995"/>
      <c r="AH39" s="275"/>
      <c r="AI39" s="56"/>
      <c r="AJ39" s="643"/>
      <c r="AK39" s="643"/>
      <c r="AL39" s="1432"/>
      <c r="AM39" s="784"/>
    </row>
    <row r="40" spans="1:39" ht="15" customHeight="1">
      <c r="A40" s="150"/>
      <c r="B40" s="892" t="s">
        <v>1133</v>
      </c>
      <c r="C40" s="31"/>
      <c r="D40" s="681"/>
      <c r="E40" s="1531"/>
      <c r="F40" s="681"/>
      <c r="G40" s="1531"/>
      <c r="H40" s="1531"/>
      <c r="I40" s="1531"/>
      <c r="J40" s="681"/>
      <c r="K40" s="66"/>
      <c r="L40" s="77"/>
      <c r="M40" s="66"/>
      <c r="N40" s="77"/>
      <c r="O40" s="66"/>
      <c r="P40" s="2015"/>
      <c r="Q40" s="2006"/>
      <c r="R40" s="2015"/>
      <c r="S40" s="2006"/>
      <c r="T40" s="2015"/>
      <c r="U40" s="2006"/>
      <c r="V40" s="2015"/>
      <c r="W40" s="2006"/>
      <c r="X40" s="2015"/>
      <c r="Y40" s="2006"/>
      <c r="Z40" s="2015"/>
      <c r="AA40" s="2015"/>
      <c r="AB40" s="2006"/>
      <c r="AC40" s="2037"/>
      <c r="AD40" s="1995"/>
      <c r="AE40" s="1995"/>
      <c r="AF40" s="1997"/>
      <c r="AG40" s="1995"/>
      <c r="AH40" s="275"/>
      <c r="AI40" s="56"/>
      <c r="AJ40" s="643"/>
      <c r="AK40" s="643"/>
      <c r="AL40" s="1432"/>
      <c r="AM40" s="784"/>
    </row>
    <row r="41" spans="1:39" s="887" customFormat="1" ht="15" customHeight="1">
      <c r="A41" s="1070"/>
      <c r="B41" s="892" t="s">
        <v>1047</v>
      </c>
      <c r="C41" s="107"/>
      <c r="D41" s="896">
        <v>1.2000000000000002</v>
      </c>
      <c r="E41" s="895"/>
      <c r="F41" s="896">
        <v>0.69999999999999973</v>
      </c>
      <c r="G41" s="895"/>
      <c r="H41" s="896">
        <v>0.80000000000000027</v>
      </c>
      <c r="I41" s="895"/>
      <c r="J41" s="896">
        <v>0.89999999999999991</v>
      </c>
      <c r="K41" s="1537"/>
      <c r="L41" s="896">
        <v>0.80000000000000027</v>
      </c>
      <c r="M41" s="1537"/>
      <c r="N41" s="896">
        <v>1.1999999999999993</v>
      </c>
      <c r="O41" s="1537"/>
      <c r="P41" s="896">
        <v>0.80000000000000027</v>
      </c>
      <c r="Q41" s="1998"/>
      <c r="R41" s="1789">
        <v>0.89999999999999991</v>
      </c>
      <c r="S41" s="1998"/>
      <c r="T41" s="1789">
        <v>1.299999999999998</v>
      </c>
      <c r="U41" s="1998"/>
      <c r="V41" s="1789">
        <f t="shared" ref="V41:V79" si="5">$AD41-$D41-$F41-$H41-$J41-$L41-$N41-$P41-$R41-$T41</f>
        <v>0.90000000000000213</v>
      </c>
      <c r="W41" s="1998"/>
      <c r="X41" s="1789"/>
      <c r="Y41" s="1998"/>
      <c r="Z41" s="1789"/>
      <c r="AA41" s="1999"/>
      <c r="AB41" s="2000"/>
      <c r="AC41" s="2002"/>
      <c r="AD41" s="1789">
        <v>9.5</v>
      </c>
      <c r="AE41" s="2032"/>
      <c r="AF41" s="3174"/>
      <c r="AG41" s="1789">
        <v>9.6999999999999993</v>
      </c>
      <c r="AH41" s="1073"/>
      <c r="AI41" s="67"/>
      <c r="AJ41" s="895">
        <f>ROUND(SUM(+AD41-AG41),1)</f>
        <v>-0.2</v>
      </c>
      <c r="AK41" s="895"/>
      <c r="AL41" s="1818">
        <f>ROUND(IF(AG41=0,0,AJ41/ABS(AG41)),3)</f>
        <v>-2.1000000000000001E-2</v>
      </c>
      <c r="AM41" s="1819"/>
    </row>
    <row r="42" spans="1:39" s="887" customFormat="1" ht="15" customHeight="1">
      <c r="A42" s="1070"/>
      <c r="B42" s="892" t="s">
        <v>1134</v>
      </c>
      <c r="C42" s="107"/>
      <c r="D42" s="896" t="s">
        <v>15</v>
      </c>
      <c r="E42" s="1531"/>
      <c r="F42" s="896"/>
      <c r="G42" s="1531"/>
      <c r="H42" s="896"/>
      <c r="I42" s="1531"/>
      <c r="J42" s="896"/>
      <c r="K42" s="118"/>
      <c r="L42" s="896"/>
      <c r="M42" s="895"/>
      <c r="N42" s="896"/>
      <c r="O42" s="118"/>
      <c r="P42" s="896"/>
      <c r="Q42" s="1995"/>
      <c r="R42" s="1789"/>
      <c r="S42" s="1995"/>
      <c r="T42" s="1789"/>
      <c r="U42" s="1995"/>
      <c r="V42" s="1789"/>
      <c r="W42" s="1995"/>
      <c r="X42" s="1789"/>
      <c r="Y42" s="1995"/>
      <c r="Z42" s="1789"/>
      <c r="AA42" s="1994"/>
      <c r="AB42" s="1995"/>
      <c r="AC42" s="2039"/>
      <c r="AD42" s="1995"/>
      <c r="AE42" s="1995"/>
      <c r="AF42" s="1997"/>
      <c r="AG42" s="1995"/>
      <c r="AH42" s="1073"/>
      <c r="AI42" s="67"/>
      <c r="AJ42" s="895"/>
      <c r="AK42" s="895"/>
      <c r="AL42" s="1818"/>
      <c r="AM42" s="1819"/>
    </row>
    <row r="43" spans="1:39" s="887" customFormat="1" ht="15" customHeight="1">
      <c r="A43" s="1070"/>
      <c r="B43" s="892" t="s">
        <v>1049</v>
      </c>
      <c r="C43" s="107"/>
      <c r="D43" s="896">
        <v>42.7</v>
      </c>
      <c r="E43" s="1531"/>
      <c r="F43" s="896">
        <v>21.799999999999997</v>
      </c>
      <c r="G43" s="1531"/>
      <c r="H43" s="896">
        <v>82.4</v>
      </c>
      <c r="I43" s="1531"/>
      <c r="J43" s="896">
        <v>69.799999999999983</v>
      </c>
      <c r="K43" s="1537"/>
      <c r="L43" s="896">
        <v>33.399999999999977</v>
      </c>
      <c r="M43" s="1537"/>
      <c r="N43" s="896">
        <v>65.500000000000057</v>
      </c>
      <c r="O43" s="1537"/>
      <c r="P43" s="896">
        <v>88.9</v>
      </c>
      <c r="Q43" s="1998"/>
      <c r="R43" s="1789">
        <v>6</v>
      </c>
      <c r="S43" s="1998"/>
      <c r="T43" s="1789">
        <v>90.799999999999983</v>
      </c>
      <c r="U43" s="1998"/>
      <c r="V43" s="1789">
        <f t="shared" si="5"/>
        <v>55.799999999999955</v>
      </c>
      <c r="W43" s="1998"/>
      <c r="X43" s="1789"/>
      <c r="Y43" s="1998"/>
      <c r="Z43" s="1789"/>
      <c r="AA43" s="1999"/>
      <c r="AB43" s="2000"/>
      <c r="AC43" s="2002"/>
      <c r="AD43" s="1789">
        <v>557.1</v>
      </c>
      <c r="AE43" s="2032"/>
      <c r="AF43" s="3174"/>
      <c r="AG43" s="1789">
        <v>616.9</v>
      </c>
      <c r="AH43" s="1073"/>
      <c r="AI43" s="67"/>
      <c r="AJ43" s="895">
        <f>ROUND(SUM(+AD43-AG43),1)</f>
        <v>-59.8</v>
      </c>
      <c r="AK43" s="895"/>
      <c r="AL43" s="1818">
        <f>ROUND(IF(AG43=0,0,AJ43/ABS(AG43)),3)</f>
        <v>-9.7000000000000003E-2</v>
      </c>
      <c r="AM43" s="1819"/>
    </row>
    <row r="44" spans="1:39" s="887" customFormat="1" ht="15" customHeight="1">
      <c r="A44" s="1070"/>
      <c r="B44" s="892" t="s">
        <v>1050</v>
      </c>
      <c r="C44" s="107"/>
      <c r="D44" s="896">
        <v>569.29999999999995</v>
      </c>
      <c r="E44" s="1531"/>
      <c r="F44" s="896">
        <v>464.70000000000005</v>
      </c>
      <c r="G44" s="1531"/>
      <c r="H44" s="896">
        <v>504.40000000000009</v>
      </c>
      <c r="I44" s="1531"/>
      <c r="J44" s="896">
        <v>440.79999999999995</v>
      </c>
      <c r="K44" s="1537"/>
      <c r="L44" s="896">
        <v>461.49999999999977</v>
      </c>
      <c r="M44" s="1537"/>
      <c r="N44" s="896">
        <v>517.29999999999995</v>
      </c>
      <c r="O44" s="1537"/>
      <c r="P44" s="896">
        <v>505.70000000000005</v>
      </c>
      <c r="Q44" s="1998"/>
      <c r="R44" s="1789">
        <v>470.80000000000018</v>
      </c>
      <c r="S44" s="1998"/>
      <c r="T44" s="1789">
        <v>507.20000000000005</v>
      </c>
      <c r="U44" s="1998"/>
      <c r="V44" s="1789">
        <f t="shared" si="5"/>
        <v>448.29999999999995</v>
      </c>
      <c r="W44" s="1998"/>
      <c r="X44" s="1789"/>
      <c r="Y44" s="1998"/>
      <c r="Z44" s="1789"/>
      <c r="AA44" s="1999"/>
      <c r="AB44" s="2000"/>
      <c r="AC44" s="2002"/>
      <c r="AD44" s="1789">
        <v>4890</v>
      </c>
      <c r="AE44" s="2032"/>
      <c r="AF44" s="3174"/>
      <c r="AG44" s="1789">
        <v>5369.4</v>
      </c>
      <c r="AH44" s="1073"/>
      <c r="AI44" s="67"/>
      <c r="AJ44" s="895">
        <f>ROUND(SUM(+AD44-AG44),1)</f>
        <v>-479.4</v>
      </c>
      <c r="AK44" s="895"/>
      <c r="AL44" s="1818">
        <f>ROUND(IF(AG44=0,0,AJ44/ABS(AG44)),3)</f>
        <v>-8.8999999999999996E-2</v>
      </c>
      <c r="AM44" s="1819"/>
    </row>
    <row r="45" spans="1:39" ht="15" customHeight="1">
      <c r="A45" s="150"/>
      <c r="B45" s="892" t="s">
        <v>1051</v>
      </c>
      <c r="C45" s="31"/>
      <c r="D45" s="896">
        <v>0.1</v>
      </c>
      <c r="E45" s="1531"/>
      <c r="F45" s="896">
        <v>0</v>
      </c>
      <c r="G45" s="1531"/>
      <c r="H45" s="896">
        <v>0.4</v>
      </c>
      <c r="I45" s="1531"/>
      <c r="J45" s="896">
        <v>4.4000000000000004</v>
      </c>
      <c r="K45" s="1537"/>
      <c r="L45" s="896">
        <v>0.39999999999999947</v>
      </c>
      <c r="M45" s="1537"/>
      <c r="N45" s="896">
        <v>45.400000000000006</v>
      </c>
      <c r="O45" s="1537"/>
      <c r="P45" s="896">
        <v>-10.100000000000001</v>
      </c>
      <c r="Q45" s="1998"/>
      <c r="R45" s="1789">
        <v>-1.6000000000000014</v>
      </c>
      <c r="S45" s="1998"/>
      <c r="T45" s="1789">
        <v>0.70000000000000284</v>
      </c>
      <c r="U45" s="1998"/>
      <c r="V45" s="1789">
        <f t="shared" si="5"/>
        <v>0</v>
      </c>
      <c r="W45" s="1998"/>
      <c r="X45" s="1789"/>
      <c r="Y45" s="1998"/>
      <c r="Z45" s="1789"/>
      <c r="AA45" s="1999"/>
      <c r="AB45" s="2000"/>
      <c r="AC45" s="2002"/>
      <c r="AD45" s="1789">
        <v>39.700000000000003</v>
      </c>
      <c r="AE45" s="2032"/>
      <c r="AF45" s="3174"/>
      <c r="AG45" s="1789">
        <v>44</v>
      </c>
      <c r="AH45" s="275"/>
      <c r="AI45" s="56"/>
      <c r="AJ45" s="643">
        <f>ROUND(SUM(+AD45-AG45),1)</f>
        <v>-4.3</v>
      </c>
      <c r="AK45" s="643"/>
      <c r="AL45" s="1432">
        <f>ROUND(IF(AG45=0,0,AJ45/ABS(AG45)),3)</f>
        <v>-9.8000000000000004E-2</v>
      </c>
      <c r="AM45" s="784"/>
    </row>
    <row r="46" spans="1:39" ht="15" customHeight="1">
      <c r="A46" s="150"/>
      <c r="B46" s="892" t="s">
        <v>1052</v>
      </c>
      <c r="C46" s="31"/>
      <c r="D46" s="896">
        <v>0</v>
      </c>
      <c r="E46" s="1531"/>
      <c r="F46" s="896">
        <v>0</v>
      </c>
      <c r="G46" s="1531"/>
      <c r="H46" s="896">
        <v>0</v>
      </c>
      <c r="I46" s="1531"/>
      <c r="J46" s="896">
        <v>0</v>
      </c>
      <c r="K46" s="1537"/>
      <c r="L46" s="896">
        <v>0</v>
      </c>
      <c r="M46" s="1537"/>
      <c r="N46" s="896">
        <v>0</v>
      </c>
      <c r="O46" s="1537"/>
      <c r="P46" s="896">
        <v>0</v>
      </c>
      <c r="Q46" s="1998"/>
      <c r="R46" s="1789">
        <v>0</v>
      </c>
      <c r="S46" s="1998"/>
      <c r="T46" s="1789">
        <v>0</v>
      </c>
      <c r="U46" s="1998"/>
      <c r="V46" s="1789">
        <f t="shared" si="5"/>
        <v>0</v>
      </c>
      <c r="W46" s="1998"/>
      <c r="X46" s="1789"/>
      <c r="Y46" s="1998"/>
      <c r="Z46" s="1789"/>
      <c r="AA46" s="1999"/>
      <c r="AB46" s="2000"/>
      <c r="AC46" s="2002"/>
      <c r="AD46" s="1789">
        <v>0</v>
      </c>
      <c r="AE46" s="2032"/>
      <c r="AF46" s="3174"/>
      <c r="AG46" s="1789">
        <v>0.4</v>
      </c>
      <c r="AH46" s="275"/>
      <c r="AI46" s="56"/>
      <c r="AJ46" s="643">
        <f>ROUND(SUM(+AD46-AG46),1)</f>
        <v>-0.4</v>
      </c>
      <c r="AK46" s="643"/>
      <c r="AL46" s="1432">
        <f>ROUND(IF(AG46=0,0,AJ46/ABS(AG46)),3)</f>
        <v>-1</v>
      </c>
      <c r="AM46" s="784"/>
    </row>
    <row r="47" spans="1:39" s="887" customFormat="1" ht="15" customHeight="1">
      <c r="A47" s="1070"/>
      <c r="B47" s="892" t="s">
        <v>1139</v>
      </c>
      <c r="C47" s="107"/>
      <c r="D47" s="896" t="s">
        <v>15</v>
      </c>
      <c r="E47" s="1531"/>
      <c r="F47" s="896"/>
      <c r="G47" s="1531"/>
      <c r="H47" s="896"/>
      <c r="I47" s="1531"/>
      <c r="J47" s="896"/>
      <c r="K47" s="118"/>
      <c r="L47" s="896"/>
      <c r="M47" s="118"/>
      <c r="N47" s="896"/>
      <c r="O47" s="118"/>
      <c r="P47" s="896"/>
      <c r="Q47" s="1995"/>
      <c r="R47" s="1789"/>
      <c r="S47" s="1995"/>
      <c r="T47" s="1789"/>
      <c r="U47" s="1995"/>
      <c r="V47" s="1789"/>
      <c r="W47" s="1995"/>
      <c r="X47" s="1789"/>
      <c r="Y47" s="1995"/>
      <c r="Z47" s="1789"/>
      <c r="AA47" s="1994"/>
      <c r="AB47" s="1995"/>
      <c r="AC47" s="2039"/>
      <c r="AD47" s="3166"/>
      <c r="AE47" s="1995"/>
      <c r="AF47" s="1997"/>
      <c r="AG47" s="3166"/>
      <c r="AH47" s="1073"/>
      <c r="AI47" s="67"/>
      <c r="AJ47" s="895"/>
      <c r="AK47" s="895"/>
      <c r="AL47" s="1818"/>
      <c r="AM47" s="1819"/>
    </row>
    <row r="48" spans="1:39" s="887" customFormat="1" ht="15" customHeight="1">
      <c r="A48" s="1070"/>
      <c r="B48" s="892" t="s">
        <v>1230</v>
      </c>
      <c r="C48" s="107"/>
      <c r="D48" s="896">
        <v>0</v>
      </c>
      <c r="E48" s="1531"/>
      <c r="F48" s="896">
        <v>0</v>
      </c>
      <c r="G48" s="1531"/>
      <c r="H48" s="896">
        <v>0.1</v>
      </c>
      <c r="I48" s="1531"/>
      <c r="J48" s="896">
        <v>0.19999999999999998</v>
      </c>
      <c r="K48" s="1537"/>
      <c r="L48" s="896">
        <v>0.70000000000000007</v>
      </c>
      <c r="M48" s="1537"/>
      <c r="N48" s="896">
        <v>0.69999999999999984</v>
      </c>
      <c r="O48" s="1537"/>
      <c r="P48" s="896">
        <v>0.10000000000000009</v>
      </c>
      <c r="Q48" s="1998"/>
      <c r="R48" s="1789">
        <v>0.30000000000000016</v>
      </c>
      <c r="S48" s="1998"/>
      <c r="T48" s="1789">
        <v>0.10000000000000009</v>
      </c>
      <c r="U48" s="1998"/>
      <c r="V48" s="1789">
        <f t="shared" si="5"/>
        <v>0</v>
      </c>
      <c r="W48" s="1998"/>
      <c r="X48" s="1789"/>
      <c r="Y48" s="1998"/>
      <c r="Z48" s="1789"/>
      <c r="AA48" s="1999"/>
      <c r="AB48" s="2000"/>
      <c r="AC48" s="2002"/>
      <c r="AD48" s="1789">
        <v>2.2000000000000002</v>
      </c>
      <c r="AE48" s="2032"/>
      <c r="AF48" s="3174"/>
      <c r="AG48" s="1789">
        <v>2.6</v>
      </c>
      <c r="AH48" s="1073"/>
      <c r="AI48" s="67"/>
      <c r="AJ48" s="895">
        <f t="shared" ref="AJ48:AJ54" si="6">ROUND(SUM(+AD48-AG48),1)</f>
        <v>-0.4</v>
      </c>
      <c r="AK48" s="895"/>
      <c r="AL48" s="1724">
        <f>ROUND(IF(AG48=0,0,AJ48/ABS(AG48)),3)</f>
        <v>-0.154</v>
      </c>
      <c r="AM48" s="1819"/>
    </row>
    <row r="49" spans="1:39" s="887" customFormat="1" ht="15" customHeight="1">
      <c r="A49" s="1070"/>
      <c r="B49" s="892" t="s">
        <v>1053</v>
      </c>
      <c r="C49" s="107"/>
      <c r="D49" s="896">
        <v>48.2</v>
      </c>
      <c r="E49" s="1531"/>
      <c r="F49" s="896">
        <v>70.399999999999991</v>
      </c>
      <c r="G49" s="1531"/>
      <c r="H49" s="896">
        <v>86.499999999999986</v>
      </c>
      <c r="I49" s="1531"/>
      <c r="J49" s="896">
        <v>40.800000000000011</v>
      </c>
      <c r="K49" s="1537"/>
      <c r="L49" s="896">
        <v>36.300000000000026</v>
      </c>
      <c r="M49" s="1537"/>
      <c r="N49" s="896">
        <v>94.8</v>
      </c>
      <c r="O49" s="1537"/>
      <c r="P49" s="896">
        <v>46.100000000000037</v>
      </c>
      <c r="Q49" s="1998"/>
      <c r="R49" s="1789">
        <v>40.699999999999989</v>
      </c>
      <c r="S49" s="1998"/>
      <c r="T49" s="1789">
        <v>73.3</v>
      </c>
      <c r="U49" s="1998"/>
      <c r="V49" s="1789">
        <f t="shared" si="5"/>
        <v>47.999999999999957</v>
      </c>
      <c r="W49" s="1998"/>
      <c r="X49" s="1789"/>
      <c r="Y49" s="1998"/>
      <c r="Z49" s="1789"/>
      <c r="AA49" s="1999"/>
      <c r="AB49" s="2000"/>
      <c r="AC49" s="2002"/>
      <c r="AD49" s="1789">
        <v>585.1</v>
      </c>
      <c r="AE49" s="2032"/>
      <c r="AF49" s="3174"/>
      <c r="AG49" s="1789">
        <v>586.29999999999995</v>
      </c>
      <c r="AH49" s="1073"/>
      <c r="AI49" s="67"/>
      <c r="AJ49" s="895">
        <f t="shared" si="6"/>
        <v>-1.2</v>
      </c>
      <c r="AK49" s="895"/>
      <c r="AL49" s="1818">
        <f t="shared" ref="AL49:AL54" si="7">ROUND(IF(AG49=0,0,AJ49/ABS(AG49)),3)</f>
        <v>-2E-3</v>
      </c>
      <c r="AM49" s="1819"/>
    </row>
    <row r="50" spans="1:39" s="887" customFormat="1" ht="15" customHeight="1">
      <c r="A50" s="1070"/>
      <c r="B50" s="892" t="s">
        <v>1054</v>
      </c>
      <c r="C50" s="107"/>
      <c r="D50" s="896">
        <v>3.2</v>
      </c>
      <c r="E50" s="1531"/>
      <c r="F50" s="896">
        <v>2.3999999999999995</v>
      </c>
      <c r="G50" s="1531"/>
      <c r="H50" s="896">
        <v>2.5999999999999996</v>
      </c>
      <c r="I50" s="1531"/>
      <c r="J50" s="896">
        <v>1.4000000000000004</v>
      </c>
      <c r="K50" s="1537"/>
      <c r="L50" s="896">
        <v>6.1000000000000014</v>
      </c>
      <c r="M50" s="1537"/>
      <c r="N50" s="896">
        <v>4.6999999999999993</v>
      </c>
      <c r="O50" s="1537"/>
      <c r="P50" s="896">
        <v>5.1000000000000032</v>
      </c>
      <c r="Q50" s="1998"/>
      <c r="R50" s="1789">
        <v>4.1999999999999975</v>
      </c>
      <c r="S50" s="1998"/>
      <c r="T50" s="1789">
        <v>4.9000000000000057</v>
      </c>
      <c r="U50" s="1998"/>
      <c r="V50" s="1789">
        <f t="shared" si="5"/>
        <v>4.7999999999999901</v>
      </c>
      <c r="W50" s="1998"/>
      <c r="X50" s="1789"/>
      <c r="Y50" s="1998"/>
      <c r="Z50" s="1789"/>
      <c r="AA50" s="1999"/>
      <c r="AB50" s="2000"/>
      <c r="AC50" s="2002"/>
      <c r="AD50" s="1789">
        <v>39.4</v>
      </c>
      <c r="AE50" s="2032"/>
      <c r="AF50" s="3174"/>
      <c r="AG50" s="1789">
        <v>47.7</v>
      </c>
      <c r="AH50" s="1073"/>
      <c r="AI50" s="67"/>
      <c r="AJ50" s="895">
        <f t="shared" si="6"/>
        <v>-8.3000000000000007</v>
      </c>
      <c r="AK50" s="895"/>
      <c r="AL50" s="1818">
        <f t="shared" si="7"/>
        <v>-0.17399999999999999</v>
      </c>
      <c r="AM50" s="1819"/>
    </row>
    <row r="51" spans="1:39" s="887" customFormat="1" ht="15" customHeight="1">
      <c r="A51" s="1070"/>
      <c r="B51" s="892" t="s">
        <v>1055</v>
      </c>
      <c r="C51" s="107"/>
      <c r="D51" s="896">
        <v>0.5</v>
      </c>
      <c r="E51" s="1531"/>
      <c r="F51" s="896">
        <v>0.30000000000000004</v>
      </c>
      <c r="G51" s="1531"/>
      <c r="H51" s="896">
        <v>9.9999999999999978E-2</v>
      </c>
      <c r="I51" s="1531"/>
      <c r="J51" s="896">
        <v>1.5</v>
      </c>
      <c r="K51" s="1537"/>
      <c r="L51" s="896">
        <v>0</v>
      </c>
      <c r="M51" s="1537"/>
      <c r="N51" s="896">
        <v>0</v>
      </c>
      <c r="O51" s="1537"/>
      <c r="P51" s="896">
        <v>0.39999999999999991</v>
      </c>
      <c r="Q51" s="1998"/>
      <c r="R51" s="1789">
        <v>0</v>
      </c>
      <c r="S51" s="1998"/>
      <c r="T51" s="1789">
        <v>9.9999999999999645E-2</v>
      </c>
      <c r="U51" s="1998"/>
      <c r="V51" s="1789">
        <f t="shared" si="5"/>
        <v>0.60000000000000053</v>
      </c>
      <c r="W51" s="1998"/>
      <c r="X51" s="1789"/>
      <c r="Y51" s="1998"/>
      <c r="Z51" s="1789"/>
      <c r="AA51" s="1999"/>
      <c r="AB51" s="2000"/>
      <c r="AC51" s="2002"/>
      <c r="AD51" s="1789">
        <v>3.5</v>
      </c>
      <c r="AE51" s="2032"/>
      <c r="AF51" s="3174"/>
      <c r="AG51" s="1789">
        <v>6</v>
      </c>
      <c r="AH51" s="1073"/>
      <c r="AI51" s="67"/>
      <c r="AJ51" s="895">
        <f t="shared" si="6"/>
        <v>-2.5</v>
      </c>
      <c r="AK51" s="895"/>
      <c r="AL51" s="1818">
        <f>ROUND(IF(AG51=0,1,AJ51/ABS(AG51)),3)</f>
        <v>-0.41699999999999998</v>
      </c>
      <c r="AM51" s="1819"/>
    </row>
    <row r="52" spans="1:39" s="887" customFormat="1" ht="15" customHeight="1">
      <c r="A52" s="1070"/>
      <c r="B52" s="892" t="s">
        <v>1056</v>
      </c>
      <c r="C52" s="107"/>
      <c r="D52" s="896">
        <v>18.399999999999999</v>
      </c>
      <c r="E52" s="1531"/>
      <c r="F52" s="896">
        <v>15.800000000000004</v>
      </c>
      <c r="G52" s="1531"/>
      <c r="H52" s="896">
        <v>17</v>
      </c>
      <c r="I52" s="1531"/>
      <c r="J52" s="896">
        <v>30.599999999999994</v>
      </c>
      <c r="K52" s="1537"/>
      <c r="L52" s="896">
        <v>27</v>
      </c>
      <c r="M52" s="1537"/>
      <c r="N52" s="896">
        <v>28.299999999999983</v>
      </c>
      <c r="O52" s="1537"/>
      <c r="P52" s="896">
        <v>15.800000000000011</v>
      </c>
      <c r="Q52" s="1998"/>
      <c r="R52" s="1789">
        <v>34.900000000000006</v>
      </c>
      <c r="S52" s="1998"/>
      <c r="T52" s="1789">
        <v>15.399999999999977</v>
      </c>
      <c r="U52" s="1998"/>
      <c r="V52" s="1789">
        <f t="shared" si="5"/>
        <v>31.5</v>
      </c>
      <c r="W52" s="1998"/>
      <c r="X52" s="1789"/>
      <c r="Y52" s="1998"/>
      <c r="Z52" s="1789"/>
      <c r="AA52" s="1999"/>
      <c r="AB52" s="2000"/>
      <c r="AC52" s="2002"/>
      <c r="AD52" s="1789">
        <v>234.7</v>
      </c>
      <c r="AE52" s="2032"/>
      <c r="AF52" s="3174"/>
      <c r="AG52" s="1789">
        <v>252.2</v>
      </c>
      <c r="AH52" s="1073"/>
      <c r="AI52" s="67"/>
      <c r="AJ52" s="895">
        <f t="shared" si="6"/>
        <v>-17.5</v>
      </c>
      <c r="AK52" s="895"/>
      <c r="AL52" s="1818">
        <f t="shared" si="7"/>
        <v>-6.9000000000000006E-2</v>
      </c>
      <c r="AM52" s="1819"/>
    </row>
    <row r="53" spans="1:39" s="887" customFormat="1" ht="15" customHeight="1">
      <c r="A53" s="1070"/>
      <c r="B53" s="892" t="s">
        <v>1057</v>
      </c>
      <c r="C53" s="107"/>
      <c r="D53" s="896">
        <v>43</v>
      </c>
      <c r="E53" s="1531"/>
      <c r="F53" s="896">
        <v>0</v>
      </c>
      <c r="G53" s="1531"/>
      <c r="H53" s="896">
        <v>36</v>
      </c>
      <c r="I53" s="1531"/>
      <c r="J53" s="896">
        <v>34.299999999999997</v>
      </c>
      <c r="K53" s="1537"/>
      <c r="L53" s="896">
        <v>31.799999999999997</v>
      </c>
      <c r="M53" s="1537"/>
      <c r="N53" s="896">
        <v>144.29999999999995</v>
      </c>
      <c r="O53" s="1537"/>
      <c r="P53" s="896">
        <v>83.300000000000011</v>
      </c>
      <c r="Q53" s="1998"/>
      <c r="R53" s="1789">
        <v>59.600000000000023</v>
      </c>
      <c r="S53" s="1998"/>
      <c r="T53" s="1789">
        <v>55.800000000000011</v>
      </c>
      <c r="U53" s="1998"/>
      <c r="V53" s="1789">
        <f t="shared" si="5"/>
        <v>44.699999999999932</v>
      </c>
      <c r="W53" s="1998"/>
      <c r="X53" s="1789"/>
      <c r="Y53" s="1998"/>
      <c r="Z53" s="1789"/>
      <c r="AA53" s="1999"/>
      <c r="AB53" s="2000"/>
      <c r="AC53" s="2002"/>
      <c r="AD53" s="1789">
        <v>532.79999999999995</v>
      </c>
      <c r="AE53" s="2032"/>
      <c r="AF53" s="3174"/>
      <c r="AG53" s="1789">
        <v>691.8</v>
      </c>
      <c r="AH53" s="1073"/>
      <c r="AI53" s="67"/>
      <c r="AJ53" s="895">
        <f t="shared" si="6"/>
        <v>-159</v>
      </c>
      <c r="AK53" s="895"/>
      <c r="AL53" s="1818">
        <f t="shared" si="7"/>
        <v>-0.23</v>
      </c>
      <c r="AM53" s="1819"/>
    </row>
    <row r="54" spans="1:39" s="887" customFormat="1" ht="15" customHeight="1">
      <c r="A54" s="1070"/>
      <c r="B54" s="892" t="s">
        <v>1015</v>
      </c>
      <c r="C54" s="107"/>
      <c r="D54" s="896">
        <v>9.6999999999999993</v>
      </c>
      <c r="E54" s="1531"/>
      <c r="F54" s="896">
        <v>5.6000000000000014</v>
      </c>
      <c r="G54" s="1531"/>
      <c r="H54" s="896">
        <v>1.3999999999999986</v>
      </c>
      <c r="I54" s="1531"/>
      <c r="J54" s="896">
        <v>13.8</v>
      </c>
      <c r="K54" s="1537"/>
      <c r="L54" s="896">
        <v>0.19999999999999929</v>
      </c>
      <c r="M54" s="1537"/>
      <c r="N54" s="896">
        <v>5.5999999999999979</v>
      </c>
      <c r="O54" s="1537"/>
      <c r="P54" s="896">
        <v>65.299999999999983</v>
      </c>
      <c r="Q54" s="1998"/>
      <c r="R54" s="1789">
        <v>2.8000000000000114</v>
      </c>
      <c r="S54" s="1998"/>
      <c r="T54" s="1789">
        <v>2.5</v>
      </c>
      <c r="U54" s="1998"/>
      <c r="V54" s="1789">
        <f t="shared" si="5"/>
        <v>5.5999999999999943</v>
      </c>
      <c r="W54" s="1998"/>
      <c r="X54" s="1789"/>
      <c r="Y54" s="1998"/>
      <c r="Z54" s="1789"/>
      <c r="AA54" s="1999"/>
      <c r="AB54" s="2000"/>
      <c r="AC54" s="2002"/>
      <c r="AD54" s="1789">
        <v>112.5</v>
      </c>
      <c r="AE54" s="2032"/>
      <c r="AF54" s="3174"/>
      <c r="AG54" s="1789">
        <v>250.4</v>
      </c>
      <c r="AH54" s="1073"/>
      <c r="AI54" s="67"/>
      <c r="AJ54" s="895">
        <f t="shared" si="6"/>
        <v>-137.9</v>
      </c>
      <c r="AK54" s="895"/>
      <c r="AL54" s="1729">
        <f t="shared" si="7"/>
        <v>-0.55100000000000005</v>
      </c>
      <c r="AM54" s="1819"/>
    </row>
    <row r="55" spans="1:39" s="887" customFormat="1" ht="15" customHeight="1">
      <c r="A55" s="1070"/>
      <c r="B55" s="892" t="s">
        <v>1136</v>
      </c>
      <c r="C55" s="107"/>
      <c r="D55" s="896" t="s">
        <v>15</v>
      </c>
      <c r="E55" s="1531"/>
      <c r="F55" s="896"/>
      <c r="G55" s="1531"/>
      <c r="H55" s="896"/>
      <c r="I55" s="1531"/>
      <c r="J55" s="896"/>
      <c r="K55" s="118"/>
      <c r="L55" s="896"/>
      <c r="M55" s="118"/>
      <c r="N55" s="896"/>
      <c r="O55" s="118"/>
      <c r="P55" s="896"/>
      <c r="Q55" s="1995"/>
      <c r="R55" s="1789"/>
      <c r="S55" s="1995"/>
      <c r="T55" s="1789"/>
      <c r="U55" s="1995"/>
      <c r="V55" s="1789"/>
      <c r="W55" s="1995"/>
      <c r="X55" s="1789"/>
      <c r="Y55" s="1995"/>
      <c r="Z55" s="1789"/>
      <c r="AA55" s="1994"/>
      <c r="AB55" s="1995"/>
      <c r="AC55" s="2039"/>
      <c r="AD55" s="1995"/>
      <c r="AE55" s="1995"/>
      <c r="AF55" s="1997"/>
      <c r="AG55" s="1995"/>
      <c r="AH55" s="1073"/>
      <c r="AI55" s="67"/>
      <c r="AJ55" s="895"/>
      <c r="AK55" s="895"/>
      <c r="AL55" s="1818"/>
      <c r="AM55" s="1819"/>
    </row>
    <row r="56" spans="1:39" s="887" customFormat="1" ht="15" customHeight="1">
      <c r="A56" s="1070"/>
      <c r="B56" s="892" t="s">
        <v>1058</v>
      </c>
      <c r="C56" s="107"/>
      <c r="D56" s="896">
        <v>0</v>
      </c>
      <c r="E56" s="1531"/>
      <c r="F56" s="896">
        <v>0</v>
      </c>
      <c r="G56" s="1531"/>
      <c r="H56" s="896">
        <v>0</v>
      </c>
      <c r="I56" s="1531"/>
      <c r="J56" s="896">
        <v>20.8</v>
      </c>
      <c r="K56" s="1537"/>
      <c r="L56" s="896">
        <v>0</v>
      </c>
      <c r="M56" s="1537"/>
      <c r="N56" s="896">
        <v>8</v>
      </c>
      <c r="O56" s="1537"/>
      <c r="P56" s="896">
        <v>33.400000000000006</v>
      </c>
      <c r="Q56" s="1998"/>
      <c r="R56" s="1789">
        <v>10</v>
      </c>
      <c r="S56" s="1998"/>
      <c r="T56" s="1789">
        <v>10.200000000000003</v>
      </c>
      <c r="U56" s="1998"/>
      <c r="V56" s="1789">
        <f t="shared" si="5"/>
        <v>27.099999999999994</v>
      </c>
      <c r="W56" s="1998"/>
      <c r="X56" s="1789"/>
      <c r="Y56" s="1998"/>
      <c r="Z56" s="1789"/>
      <c r="AA56" s="1999"/>
      <c r="AB56" s="2000"/>
      <c r="AC56" s="2002"/>
      <c r="AD56" s="1789">
        <v>109.5</v>
      </c>
      <c r="AE56" s="2032"/>
      <c r="AF56" s="3174"/>
      <c r="AG56" s="1789">
        <v>246.3</v>
      </c>
      <c r="AH56" s="1073"/>
      <c r="AI56" s="67"/>
      <c r="AJ56" s="895">
        <f>ROUND(SUM(+AD56-AG56),1)</f>
        <v>-136.80000000000001</v>
      </c>
      <c r="AK56" s="895"/>
      <c r="AL56" s="1729">
        <f>ROUND(IF(AG56=0,0,AJ56/ABS(AG56)),3)</f>
        <v>-0.55500000000000005</v>
      </c>
      <c r="AM56" s="1819"/>
    </row>
    <row r="57" spans="1:39" s="887" customFormat="1" ht="15" customHeight="1">
      <c r="A57" s="1070"/>
      <c r="B57" s="892" t="s">
        <v>1059</v>
      </c>
      <c r="C57" s="107"/>
      <c r="D57" s="896">
        <v>157</v>
      </c>
      <c r="E57" s="1531"/>
      <c r="F57" s="896">
        <v>142.10000000000002</v>
      </c>
      <c r="G57" s="1531"/>
      <c r="H57" s="896">
        <v>173.79999999999995</v>
      </c>
      <c r="I57" s="1531"/>
      <c r="J57" s="896">
        <v>202.20000000000005</v>
      </c>
      <c r="K57" s="1537"/>
      <c r="L57" s="896">
        <v>195.89999999999998</v>
      </c>
      <c r="M57" s="1537"/>
      <c r="N57" s="896">
        <v>199.29999999999995</v>
      </c>
      <c r="O57" s="1537"/>
      <c r="P57" s="896">
        <v>168.29999999999995</v>
      </c>
      <c r="Q57" s="1998"/>
      <c r="R57" s="1789">
        <v>171.00000000000011</v>
      </c>
      <c r="S57" s="1998"/>
      <c r="T57" s="1789">
        <v>215.59999999999991</v>
      </c>
      <c r="U57" s="1998"/>
      <c r="V57" s="1789">
        <f t="shared" si="5"/>
        <v>256.5</v>
      </c>
      <c r="W57" s="1998"/>
      <c r="X57" s="1789"/>
      <c r="Y57" s="1998"/>
      <c r="Z57" s="1789"/>
      <c r="AA57" s="1999"/>
      <c r="AB57" s="2000"/>
      <c r="AC57" s="2002"/>
      <c r="AD57" s="1789">
        <v>1881.7</v>
      </c>
      <c r="AE57" s="2032"/>
      <c r="AF57" s="3174"/>
      <c r="AG57" s="1789">
        <v>2054.3000000000002</v>
      </c>
      <c r="AH57" s="1073"/>
      <c r="AI57" s="67"/>
      <c r="AJ57" s="895">
        <f>ROUND(SUM(+AD57-AG57),1)</f>
        <v>-172.6</v>
      </c>
      <c r="AK57" s="895"/>
      <c r="AL57" s="1818">
        <f>ROUND(IF(AG57=0,0,AJ57/ABS(AG57)),3)</f>
        <v>-8.4000000000000005E-2</v>
      </c>
      <c r="AM57" s="1819"/>
    </row>
    <row r="58" spans="1:39" s="887" customFormat="1" ht="15" customHeight="1">
      <c r="A58" s="1070"/>
      <c r="B58" s="892" t="s">
        <v>1060</v>
      </c>
      <c r="C58" s="107"/>
      <c r="D58" s="896">
        <v>0</v>
      </c>
      <c r="E58" s="1531"/>
      <c r="F58" s="896">
        <v>0.6</v>
      </c>
      <c r="G58" s="1531"/>
      <c r="H58" s="896">
        <v>0</v>
      </c>
      <c r="I58" s="1531"/>
      <c r="J58" s="896">
        <v>-0.39999999999999997</v>
      </c>
      <c r="K58" s="1537"/>
      <c r="L58" s="896">
        <v>0</v>
      </c>
      <c r="M58" s="1537"/>
      <c r="N58" s="896">
        <v>33.799999999999997</v>
      </c>
      <c r="O58" s="1537"/>
      <c r="P58" s="896">
        <v>59.600000000000009</v>
      </c>
      <c r="Q58" s="1998"/>
      <c r="R58" s="1789">
        <v>54.200000000000017</v>
      </c>
      <c r="S58" s="1998"/>
      <c r="T58" s="1789">
        <v>57.999999999999986</v>
      </c>
      <c r="U58" s="1998"/>
      <c r="V58" s="1789">
        <f t="shared" si="5"/>
        <v>58.899999999999906</v>
      </c>
      <c r="W58" s="1998"/>
      <c r="X58" s="1789"/>
      <c r="Y58" s="1998"/>
      <c r="Z58" s="1789"/>
      <c r="AA58" s="1999"/>
      <c r="AB58" s="2000"/>
      <c r="AC58" s="2002"/>
      <c r="AD58" s="1789">
        <v>264.7</v>
      </c>
      <c r="AE58" s="2032"/>
      <c r="AF58" s="3174"/>
      <c r="AG58" s="1789">
        <v>808.7</v>
      </c>
      <c r="AH58" s="1073"/>
      <c r="AI58" s="67"/>
      <c r="AJ58" s="895">
        <f>ROUND(SUM(+AD58-AG58),1)</f>
        <v>-544</v>
      </c>
      <c r="AK58" s="895"/>
      <c r="AL58" s="1818">
        <f>ROUND(IF(AG58=0,0,AJ58/ABS(AG58)),3)</f>
        <v>-0.67300000000000004</v>
      </c>
      <c r="AM58" s="1819"/>
    </row>
    <row r="59" spans="1:39" ht="15" customHeight="1">
      <c r="A59" s="150"/>
      <c r="B59" s="892" t="s">
        <v>1016</v>
      </c>
      <c r="C59" s="31"/>
      <c r="D59" s="896">
        <v>13.5</v>
      </c>
      <c r="E59" s="1531"/>
      <c r="F59" s="896">
        <v>7.8000000000000007</v>
      </c>
      <c r="G59" s="1531"/>
      <c r="H59" s="896">
        <v>6.0999999999999979</v>
      </c>
      <c r="I59" s="1531"/>
      <c r="J59" s="896">
        <v>3.4000000000000021</v>
      </c>
      <c r="K59" s="1537"/>
      <c r="L59" s="896">
        <v>3.9999999999999964</v>
      </c>
      <c r="M59" s="1537"/>
      <c r="N59" s="896">
        <v>3.4000000000000057</v>
      </c>
      <c r="O59" s="1537"/>
      <c r="P59" s="896">
        <v>3.2999999999999972</v>
      </c>
      <c r="Q59" s="1998"/>
      <c r="R59" s="1789">
        <v>3.2999999999999972</v>
      </c>
      <c r="S59" s="1998"/>
      <c r="T59" s="1789">
        <v>3.7000000000000028</v>
      </c>
      <c r="U59" s="1998"/>
      <c r="V59" s="1789">
        <f t="shared" si="5"/>
        <v>3.8999999999999986</v>
      </c>
      <c r="W59" s="1998"/>
      <c r="X59" s="1789"/>
      <c r="Y59" s="1998"/>
      <c r="Z59" s="1789"/>
      <c r="AA59" s="1999"/>
      <c r="AB59" s="2000"/>
      <c r="AC59" s="2002"/>
      <c r="AD59" s="1789">
        <v>52.4</v>
      </c>
      <c r="AE59" s="2032"/>
      <c r="AF59" s="3174"/>
      <c r="AG59" s="1789">
        <v>184.9</v>
      </c>
      <c r="AH59" s="275"/>
      <c r="AI59" s="56"/>
      <c r="AJ59" s="643">
        <f>ROUND(SUM(+AD59-AG59),1)</f>
        <v>-132.5</v>
      </c>
      <c r="AK59" s="643"/>
      <c r="AL59" s="1432">
        <f>ROUND(IF(AG59=0,0,AJ59/ABS(AG59)),3)</f>
        <v>-0.71699999999999997</v>
      </c>
      <c r="AM59" s="784"/>
    </row>
    <row r="60" spans="1:39" s="887" customFormat="1" ht="15" customHeight="1">
      <c r="A60" s="1070"/>
      <c r="B60" s="892" t="s">
        <v>1137</v>
      </c>
      <c r="C60" s="107"/>
      <c r="D60" s="896" t="s">
        <v>15</v>
      </c>
      <c r="E60" s="1531"/>
      <c r="F60" s="896"/>
      <c r="G60" s="1531"/>
      <c r="H60" s="896"/>
      <c r="I60" s="1531"/>
      <c r="J60" s="896"/>
      <c r="K60" s="118"/>
      <c r="L60" s="896"/>
      <c r="M60" s="118"/>
      <c r="N60" s="896"/>
      <c r="O60" s="118"/>
      <c r="P60" s="896"/>
      <c r="Q60" s="1995"/>
      <c r="R60" s="1789"/>
      <c r="S60" s="1995"/>
      <c r="T60" s="1789"/>
      <c r="U60" s="1995"/>
      <c r="V60" s="1789"/>
      <c r="W60" s="1995"/>
      <c r="X60" s="1789"/>
      <c r="Y60" s="1995"/>
      <c r="Z60" s="1789"/>
      <c r="AA60" s="1994"/>
      <c r="AB60" s="1995"/>
      <c r="AC60" s="2039"/>
      <c r="AD60" s="1995"/>
      <c r="AE60" s="1995"/>
      <c r="AF60" s="1997"/>
      <c r="AG60" s="1995"/>
      <c r="AH60" s="1073"/>
      <c r="AI60" s="67"/>
      <c r="AJ60" s="895"/>
      <c r="AK60" s="895"/>
      <c r="AL60" s="1818"/>
      <c r="AM60" s="1819"/>
    </row>
    <row r="61" spans="1:39" s="887" customFormat="1" ht="15" customHeight="1">
      <c r="A61" s="1070"/>
      <c r="B61" s="892" t="s">
        <v>1061</v>
      </c>
      <c r="C61" s="107"/>
      <c r="D61" s="896">
        <v>0</v>
      </c>
      <c r="E61" s="1531"/>
      <c r="F61" s="896">
        <v>0</v>
      </c>
      <c r="G61" s="1531"/>
      <c r="H61" s="896">
        <v>0</v>
      </c>
      <c r="I61" s="1531"/>
      <c r="J61" s="896">
        <v>0</v>
      </c>
      <c r="K61" s="1537"/>
      <c r="L61" s="896">
        <v>0</v>
      </c>
      <c r="M61" s="1537"/>
      <c r="N61" s="896">
        <v>0</v>
      </c>
      <c r="O61" s="1537"/>
      <c r="P61" s="896">
        <v>0</v>
      </c>
      <c r="Q61" s="1998"/>
      <c r="R61" s="1789">
        <v>0</v>
      </c>
      <c r="S61" s="1998"/>
      <c r="T61" s="1789">
        <v>0</v>
      </c>
      <c r="U61" s="1998"/>
      <c r="V61" s="1789">
        <f t="shared" si="5"/>
        <v>0</v>
      </c>
      <c r="W61" s="1998"/>
      <c r="X61" s="1789"/>
      <c r="Y61" s="1998"/>
      <c r="Z61" s="1789"/>
      <c r="AA61" s="1999"/>
      <c r="AB61" s="2000"/>
      <c r="AC61" s="2002"/>
      <c r="AD61" s="1789">
        <v>0</v>
      </c>
      <c r="AE61" s="2032"/>
      <c r="AF61" s="3174"/>
      <c r="AG61" s="1789">
        <v>0</v>
      </c>
      <c r="AH61" s="1073"/>
      <c r="AI61" s="67"/>
      <c r="AJ61" s="895">
        <f t="shared" ref="AJ61:AJ66" si="8">ROUND(SUM(+AD61-AG61),1)</f>
        <v>0</v>
      </c>
      <c r="AK61" s="895"/>
      <c r="AL61" s="1818">
        <f>ROUND(IF(AG61=0,0,AJ61/ABS(AG61)),3)</f>
        <v>0</v>
      </c>
      <c r="AM61" s="1819"/>
    </row>
    <row r="62" spans="1:39" s="887" customFormat="1" ht="15" customHeight="1">
      <c r="A62" s="1070"/>
      <c r="B62" s="892" t="s">
        <v>1062</v>
      </c>
      <c r="C62" s="107"/>
      <c r="D62" s="896">
        <v>0</v>
      </c>
      <c r="E62" s="1531"/>
      <c r="F62" s="896">
        <v>0</v>
      </c>
      <c r="G62" s="1531"/>
      <c r="H62" s="896">
        <v>0</v>
      </c>
      <c r="I62" s="1531"/>
      <c r="J62" s="896">
        <v>0</v>
      </c>
      <c r="K62" s="1537"/>
      <c r="L62" s="896">
        <v>0</v>
      </c>
      <c r="M62" s="1537"/>
      <c r="N62" s="896">
        <v>0</v>
      </c>
      <c r="O62" s="1537"/>
      <c r="P62" s="896">
        <v>8.9</v>
      </c>
      <c r="Q62" s="1998"/>
      <c r="R62" s="1789">
        <v>0</v>
      </c>
      <c r="S62" s="1998"/>
      <c r="T62" s="1789">
        <v>0</v>
      </c>
      <c r="U62" s="1998"/>
      <c r="V62" s="1789">
        <f t="shared" si="5"/>
        <v>0</v>
      </c>
      <c r="W62" s="1998"/>
      <c r="X62" s="1789"/>
      <c r="Y62" s="1998"/>
      <c r="Z62" s="1789"/>
      <c r="AA62" s="1999"/>
      <c r="AB62" s="2000"/>
      <c r="AC62" s="2002"/>
      <c r="AD62" s="1789">
        <v>8.9</v>
      </c>
      <c r="AE62" s="2032"/>
      <c r="AF62" s="3174"/>
      <c r="AG62" s="1789">
        <v>20.399999999999999</v>
      </c>
      <c r="AH62" s="1073"/>
      <c r="AI62" s="67"/>
      <c r="AJ62" s="895">
        <f t="shared" si="8"/>
        <v>-11.5</v>
      </c>
      <c r="AK62" s="895"/>
      <c r="AL62" s="1818">
        <f>ROUND(IF(AG62=0,0,AJ62/ABS(AG62)),3)</f>
        <v>-0.56399999999999995</v>
      </c>
      <c r="AM62" s="1819"/>
    </row>
    <row r="63" spans="1:39" s="887" customFormat="1" ht="15" customHeight="1">
      <c r="A63" s="1070"/>
      <c r="B63" s="892" t="s">
        <v>1063</v>
      </c>
      <c r="C63" s="107"/>
      <c r="D63" s="896">
        <v>0.5</v>
      </c>
      <c r="E63" s="1531"/>
      <c r="F63" s="896">
        <v>1.4</v>
      </c>
      <c r="G63" s="1531"/>
      <c r="H63" s="896">
        <v>5.3000000000000007</v>
      </c>
      <c r="I63" s="1531"/>
      <c r="J63" s="896">
        <v>0</v>
      </c>
      <c r="K63" s="1537"/>
      <c r="L63" s="896">
        <v>0</v>
      </c>
      <c r="M63" s="1537"/>
      <c r="N63" s="896">
        <v>0</v>
      </c>
      <c r="O63" s="1537"/>
      <c r="P63" s="896">
        <v>0</v>
      </c>
      <c r="Q63" s="1998"/>
      <c r="R63" s="1789">
        <v>0</v>
      </c>
      <c r="S63" s="1998"/>
      <c r="T63" s="1789">
        <v>0</v>
      </c>
      <c r="U63" s="1998"/>
      <c r="V63" s="1789">
        <f t="shared" si="5"/>
        <v>0</v>
      </c>
      <c r="W63" s="1998"/>
      <c r="X63" s="1789"/>
      <c r="Y63" s="1998"/>
      <c r="Z63" s="1789"/>
      <c r="AA63" s="1999"/>
      <c r="AB63" s="2000"/>
      <c r="AC63" s="2002"/>
      <c r="AD63" s="1789">
        <v>7.2</v>
      </c>
      <c r="AE63" s="2032"/>
      <c r="AF63" s="3174"/>
      <c r="AG63" s="1789">
        <v>7.2</v>
      </c>
      <c r="AH63" s="1073"/>
      <c r="AI63" s="67"/>
      <c r="AJ63" s="895">
        <f t="shared" si="8"/>
        <v>0</v>
      </c>
      <c r="AK63" s="895"/>
      <c r="AL63" s="1829">
        <f>ROUND(IF(AG63=0,0,AJ63/ABS(AG63)),3)</f>
        <v>0</v>
      </c>
      <c r="AM63" s="1819"/>
    </row>
    <row r="64" spans="1:39" s="887" customFormat="1" ht="15" customHeight="1">
      <c r="A64" s="1070"/>
      <c r="B64" s="892" t="s">
        <v>1064</v>
      </c>
      <c r="C64" s="107"/>
      <c r="D64" s="896">
        <v>8.9</v>
      </c>
      <c r="E64" s="1531"/>
      <c r="F64" s="896">
        <v>0.29999999999999893</v>
      </c>
      <c r="G64" s="1531"/>
      <c r="H64" s="896">
        <v>0</v>
      </c>
      <c r="I64" s="1531"/>
      <c r="J64" s="896">
        <v>4.2000000000000011</v>
      </c>
      <c r="K64" s="1537"/>
      <c r="L64" s="896">
        <v>1.7999999999999989</v>
      </c>
      <c r="M64" s="1537"/>
      <c r="N64" s="896">
        <v>0</v>
      </c>
      <c r="O64" s="1537"/>
      <c r="P64" s="896">
        <v>0.40000000000000036</v>
      </c>
      <c r="Q64" s="1998"/>
      <c r="R64" s="1789">
        <v>0</v>
      </c>
      <c r="S64" s="1998"/>
      <c r="T64" s="1789">
        <v>0</v>
      </c>
      <c r="U64" s="1998"/>
      <c r="V64" s="1789">
        <f t="shared" si="5"/>
        <v>0.30000000000000071</v>
      </c>
      <c r="W64" s="1998"/>
      <c r="X64" s="1789"/>
      <c r="Y64" s="1998"/>
      <c r="Z64" s="1789"/>
      <c r="AA64" s="1999"/>
      <c r="AB64" s="2000"/>
      <c r="AC64" s="2002"/>
      <c r="AD64" s="1789">
        <v>15.9</v>
      </c>
      <c r="AE64" s="2032"/>
      <c r="AF64" s="3174"/>
      <c r="AG64" s="1789">
        <v>54.9</v>
      </c>
      <c r="AH64" s="1073"/>
      <c r="AI64" s="67"/>
      <c r="AJ64" s="895">
        <f t="shared" si="8"/>
        <v>-39</v>
      </c>
      <c r="AK64" s="895"/>
      <c r="AL64" s="1829">
        <f t="shared" ref="AL64:AL66" si="9">ROUND(IF(AG64=0,0,AJ64/ABS(AG64)),3)</f>
        <v>-0.71</v>
      </c>
      <c r="AM64" s="1819"/>
    </row>
    <row r="65" spans="1:39" s="887" customFormat="1" ht="15" customHeight="1">
      <c r="A65" s="1070"/>
      <c r="B65" s="892" t="s">
        <v>1034</v>
      </c>
      <c r="C65" s="107"/>
      <c r="D65" s="896">
        <v>9.2999999999999989</v>
      </c>
      <c r="E65" s="1531"/>
      <c r="F65" s="896">
        <v>2.2000000000000011</v>
      </c>
      <c r="G65" s="1531"/>
      <c r="H65" s="896">
        <v>3.6999999999999993</v>
      </c>
      <c r="I65" s="1531"/>
      <c r="J65" s="896">
        <v>3.6999999999999993</v>
      </c>
      <c r="K65" s="1537"/>
      <c r="L65" s="896">
        <v>1.6000000000000014</v>
      </c>
      <c r="M65" s="1537"/>
      <c r="N65" s="896">
        <v>4.6999999999999993</v>
      </c>
      <c r="O65" s="1537"/>
      <c r="P65" s="896">
        <v>3.4000000000000021</v>
      </c>
      <c r="Q65" s="1998"/>
      <c r="R65" s="1789">
        <v>1.5999999999999943</v>
      </c>
      <c r="S65" s="1998"/>
      <c r="T65" s="1789">
        <v>5.1000000000000014</v>
      </c>
      <c r="U65" s="1998"/>
      <c r="V65" s="1789">
        <f t="shared" si="5"/>
        <v>3.3000000000000043</v>
      </c>
      <c r="W65" s="1998"/>
      <c r="X65" s="1789"/>
      <c r="Y65" s="1998"/>
      <c r="Z65" s="1789"/>
      <c r="AA65" s="1999"/>
      <c r="AB65" s="2000"/>
      <c r="AC65" s="2002"/>
      <c r="AD65" s="1789">
        <v>38.6</v>
      </c>
      <c r="AE65" s="2032"/>
      <c r="AF65" s="3174"/>
      <c r="AG65" s="1789">
        <v>43.9</v>
      </c>
      <c r="AH65" s="1073"/>
      <c r="AI65" s="67"/>
      <c r="AJ65" s="895">
        <f t="shared" si="8"/>
        <v>-5.3</v>
      </c>
      <c r="AK65" s="895"/>
      <c r="AL65" s="1818">
        <f t="shared" si="9"/>
        <v>-0.121</v>
      </c>
      <c r="AM65" s="1819"/>
    </row>
    <row r="66" spans="1:39" s="887" customFormat="1" ht="15" customHeight="1">
      <c r="A66" s="1070"/>
      <c r="B66" s="892" t="s">
        <v>1035</v>
      </c>
      <c r="C66" s="107"/>
      <c r="D66" s="896">
        <v>-5.3</v>
      </c>
      <c r="E66" s="1531"/>
      <c r="F66" s="896">
        <v>-42.900000000000006</v>
      </c>
      <c r="G66" s="1531"/>
      <c r="H66" s="896">
        <v>-0.39999999999999858</v>
      </c>
      <c r="I66" s="1531"/>
      <c r="J66" s="896">
        <v>1.8999999999999986</v>
      </c>
      <c r="K66" s="1537"/>
      <c r="L66" s="896">
        <v>3.8000000000000043</v>
      </c>
      <c r="M66" s="1537"/>
      <c r="N66" s="896">
        <v>34.6</v>
      </c>
      <c r="O66" s="1537"/>
      <c r="P66" s="896">
        <v>60.999999999999993</v>
      </c>
      <c r="Q66" s="1998"/>
      <c r="R66" s="1789">
        <v>11.29999999999999</v>
      </c>
      <c r="S66" s="1998"/>
      <c r="T66" s="1789">
        <v>7.4000000000000057</v>
      </c>
      <c r="U66" s="1998"/>
      <c r="V66" s="1789">
        <f t="shared" si="5"/>
        <v>29.300000000000011</v>
      </c>
      <c r="W66" s="1998"/>
      <c r="X66" s="1789"/>
      <c r="Y66" s="1998"/>
      <c r="Z66" s="1789"/>
      <c r="AA66" s="1999"/>
      <c r="AB66" s="2000"/>
      <c r="AC66" s="2002"/>
      <c r="AD66" s="1789">
        <v>100.7</v>
      </c>
      <c r="AE66" s="2032"/>
      <c r="AF66" s="3174"/>
      <c r="AG66" s="1789">
        <v>266.8</v>
      </c>
      <c r="AH66" s="1073"/>
      <c r="AI66" s="67"/>
      <c r="AJ66" s="895">
        <f t="shared" si="8"/>
        <v>-166.1</v>
      </c>
      <c r="AK66" s="895"/>
      <c r="AL66" s="1829">
        <f t="shared" si="9"/>
        <v>-0.623</v>
      </c>
      <c r="AM66" s="1819"/>
    </row>
    <row r="67" spans="1:39" s="887" customFormat="1" ht="17.25" customHeight="1">
      <c r="A67" s="1070"/>
      <c r="B67" s="892" t="s">
        <v>1138</v>
      </c>
      <c r="C67" s="107"/>
      <c r="D67" s="896" t="s">
        <v>15</v>
      </c>
      <c r="E67" s="1531"/>
      <c r="F67" s="896"/>
      <c r="G67" s="1531"/>
      <c r="H67" s="896"/>
      <c r="I67" s="1531"/>
      <c r="J67" s="896"/>
      <c r="K67" s="118"/>
      <c r="L67" s="896"/>
      <c r="M67" s="118"/>
      <c r="N67" s="896"/>
      <c r="O67" s="118"/>
      <c r="P67" s="896"/>
      <c r="Q67" s="1995"/>
      <c r="R67" s="1789"/>
      <c r="S67" s="1995"/>
      <c r="T67" s="1789"/>
      <c r="U67" s="1995"/>
      <c r="V67" s="1789"/>
      <c r="W67" s="1995"/>
      <c r="X67" s="1789"/>
      <c r="Y67" s="1995"/>
      <c r="Z67" s="1789"/>
      <c r="AA67" s="1994"/>
      <c r="AB67" s="1995"/>
      <c r="AC67" s="2039"/>
      <c r="AD67" s="1995"/>
      <c r="AE67" s="1995"/>
      <c r="AF67" s="1997"/>
      <c r="AG67" s="1995"/>
      <c r="AH67" s="1073"/>
      <c r="AI67" s="67"/>
      <c r="AJ67" s="895"/>
      <c r="AK67" s="895"/>
      <c r="AL67" s="1818"/>
      <c r="AM67" s="1819"/>
    </row>
    <row r="68" spans="1:39" s="887" customFormat="1" ht="15" customHeight="1">
      <c r="A68" s="1070"/>
      <c r="B68" s="892" t="s">
        <v>1065</v>
      </c>
      <c r="C68" s="107"/>
      <c r="D68" s="896">
        <v>24.6</v>
      </c>
      <c r="E68" s="1531"/>
      <c r="F68" s="896">
        <v>8.5</v>
      </c>
      <c r="G68" s="1531"/>
      <c r="H68" s="896">
        <v>8.6999999999999957</v>
      </c>
      <c r="I68" s="1531"/>
      <c r="J68" s="896">
        <v>8.7000000000000028</v>
      </c>
      <c r="K68" s="1537"/>
      <c r="L68" s="896">
        <v>8.7999999999999972</v>
      </c>
      <c r="M68" s="1537"/>
      <c r="N68" s="896">
        <v>10.100000000000009</v>
      </c>
      <c r="O68" s="1537"/>
      <c r="P68" s="896">
        <v>24.199999999999996</v>
      </c>
      <c r="Q68" s="1998"/>
      <c r="R68" s="1789">
        <v>8.6999999999999886</v>
      </c>
      <c r="S68" s="1998"/>
      <c r="T68" s="1789">
        <v>8.6000000000000298</v>
      </c>
      <c r="U68" s="1998"/>
      <c r="V68" s="1789">
        <f t="shared" si="5"/>
        <v>8.0999999999999943</v>
      </c>
      <c r="W68" s="1998"/>
      <c r="X68" s="1789"/>
      <c r="Y68" s="1998"/>
      <c r="Z68" s="1789"/>
      <c r="AA68" s="1999"/>
      <c r="AB68" s="2000"/>
      <c r="AC68" s="2002"/>
      <c r="AD68" s="1789">
        <v>119</v>
      </c>
      <c r="AE68" s="2032"/>
      <c r="AF68" s="3174"/>
      <c r="AG68" s="1789">
        <v>118.6</v>
      </c>
      <c r="AH68" s="1073"/>
      <c r="AI68" s="67"/>
      <c r="AJ68" s="895">
        <f t="shared" ref="AJ68:AJ79" si="10">ROUND(SUM(+AD68-AG68),1)</f>
        <v>0.4</v>
      </c>
      <c r="AK68" s="895"/>
      <c r="AL68" s="1829">
        <f>ROUND(IF(AG68=0,0,AJ68/ABS(AG68)),3)</f>
        <v>3.0000000000000001E-3</v>
      </c>
      <c r="AM68" s="1819"/>
    </row>
    <row r="69" spans="1:39" s="887" customFormat="1" ht="15" customHeight="1">
      <c r="A69" s="1070"/>
      <c r="B69" s="892" t="s">
        <v>1066</v>
      </c>
      <c r="C69" s="107"/>
      <c r="D69" s="896">
        <v>0.2</v>
      </c>
      <c r="E69" s="1531"/>
      <c r="F69" s="896">
        <v>9.9999999999999978E-2</v>
      </c>
      <c r="G69" s="1531"/>
      <c r="H69" s="896">
        <v>0.10000000000000003</v>
      </c>
      <c r="I69" s="1531"/>
      <c r="J69" s="896">
        <v>0.19999999999999785</v>
      </c>
      <c r="K69" s="1537"/>
      <c r="L69" s="896">
        <v>0.30000000000000077</v>
      </c>
      <c r="M69" s="1537"/>
      <c r="N69" s="896">
        <v>0.80000000000000071</v>
      </c>
      <c r="O69" s="1537"/>
      <c r="P69" s="896">
        <v>0.69999999999999174</v>
      </c>
      <c r="Q69" s="1998"/>
      <c r="R69" s="1789">
        <v>0.80000000000001137</v>
      </c>
      <c r="S69" s="1998"/>
      <c r="T69" s="1789">
        <v>14.2</v>
      </c>
      <c r="U69" s="1998"/>
      <c r="V69" s="1789">
        <f t="shared" si="5"/>
        <v>0.79999999999998295</v>
      </c>
      <c r="W69" s="1998"/>
      <c r="X69" s="1789"/>
      <c r="Y69" s="1998"/>
      <c r="Z69" s="1789"/>
      <c r="AA69" s="1999"/>
      <c r="AB69" s="2000"/>
      <c r="AC69" s="2002"/>
      <c r="AD69" s="1789">
        <v>18.199999999999989</v>
      </c>
      <c r="AE69" s="2032"/>
      <c r="AF69" s="3174"/>
      <c r="AG69" s="1789">
        <v>19.399999999999999</v>
      </c>
      <c r="AH69" s="1073"/>
      <c r="AI69" s="67"/>
      <c r="AJ69" s="895">
        <f t="shared" si="10"/>
        <v>-1.2</v>
      </c>
      <c r="AK69" s="895"/>
      <c r="AL69" s="1829">
        <f>ROUND(IF(AG69=0,1,AJ69/ABS(AG69)),3)</f>
        <v>-6.2E-2</v>
      </c>
      <c r="AM69" s="1819"/>
    </row>
    <row r="70" spans="1:39" s="887" customFormat="1" ht="15" customHeight="1">
      <c r="A70" s="1070"/>
      <c r="B70" s="892" t="s">
        <v>1350</v>
      </c>
      <c r="C70" s="107"/>
      <c r="D70" s="896">
        <v>0</v>
      </c>
      <c r="E70" s="1531"/>
      <c r="F70" s="896">
        <v>0</v>
      </c>
      <c r="G70" s="1531"/>
      <c r="H70" s="896">
        <v>0</v>
      </c>
      <c r="I70" s="1531"/>
      <c r="J70" s="896">
        <v>0</v>
      </c>
      <c r="K70" s="1537"/>
      <c r="L70" s="896">
        <v>0</v>
      </c>
      <c r="M70" s="1537"/>
      <c r="N70" s="896">
        <v>0</v>
      </c>
      <c r="O70" s="1537"/>
      <c r="P70" s="896">
        <v>0</v>
      </c>
      <c r="Q70" s="1998"/>
      <c r="R70" s="1789">
        <v>0</v>
      </c>
      <c r="S70" s="1998"/>
      <c r="T70" s="1789">
        <v>68</v>
      </c>
      <c r="U70" s="1998"/>
      <c r="V70" s="1789">
        <f t="shared" si="5"/>
        <v>50</v>
      </c>
      <c r="W70" s="1998"/>
      <c r="X70" s="1789"/>
      <c r="Y70" s="1998"/>
      <c r="Z70" s="1789"/>
      <c r="AA70" s="1999"/>
      <c r="AB70" s="2000"/>
      <c r="AC70" s="2002"/>
      <c r="AD70" s="1789">
        <v>118</v>
      </c>
      <c r="AE70" s="2032"/>
      <c r="AF70" s="3176"/>
      <c r="AG70" s="1789">
        <v>468</v>
      </c>
      <c r="AH70" s="1073"/>
      <c r="AI70" s="67"/>
      <c r="AJ70" s="895">
        <f t="shared" si="10"/>
        <v>-350</v>
      </c>
      <c r="AK70" s="895"/>
      <c r="AL70" s="1818">
        <f>ROUND(IF(AG70=0,1,AJ70/ABS(AG70)),3)</f>
        <v>-0.748</v>
      </c>
      <c r="AM70" s="1819"/>
    </row>
    <row r="71" spans="1:39" s="887" customFormat="1" ht="15" customHeight="1">
      <c r="A71" s="1070"/>
      <c r="B71" s="892" t="s">
        <v>1067</v>
      </c>
      <c r="C71" s="107"/>
      <c r="D71" s="896">
        <v>0.6</v>
      </c>
      <c r="E71" s="1531"/>
      <c r="F71" s="896">
        <v>1.5</v>
      </c>
      <c r="G71" s="1531"/>
      <c r="H71" s="896">
        <v>22.099999999999998</v>
      </c>
      <c r="I71" s="1531"/>
      <c r="J71" s="896">
        <v>0.69999999999999929</v>
      </c>
      <c r="K71" s="1537"/>
      <c r="L71" s="896">
        <v>0.60000000000000142</v>
      </c>
      <c r="M71" s="1537"/>
      <c r="N71" s="896">
        <v>0.5</v>
      </c>
      <c r="O71" s="1537"/>
      <c r="P71" s="896">
        <v>5.1000000000000014</v>
      </c>
      <c r="Q71" s="1998"/>
      <c r="R71" s="1789">
        <v>0.29999999999999716</v>
      </c>
      <c r="S71" s="1998"/>
      <c r="T71" s="1789">
        <v>1.7000000000000028</v>
      </c>
      <c r="U71" s="1998"/>
      <c r="V71" s="1789">
        <f t="shared" si="5"/>
        <v>0.10000000000000142</v>
      </c>
      <c r="W71" s="1998"/>
      <c r="X71" s="1789"/>
      <c r="Y71" s="1998"/>
      <c r="Z71" s="1789"/>
      <c r="AA71" s="1999"/>
      <c r="AB71" s="2000"/>
      <c r="AC71" s="2002"/>
      <c r="AD71" s="1789">
        <v>33.200000000000003</v>
      </c>
      <c r="AE71" s="2032"/>
      <c r="AF71" s="3174"/>
      <c r="AG71" s="1789">
        <v>6.9</v>
      </c>
      <c r="AH71" s="1073"/>
      <c r="AI71" s="67"/>
      <c r="AJ71" s="895">
        <f t="shared" si="10"/>
        <v>26.3</v>
      </c>
      <c r="AK71" s="895"/>
      <c r="AL71" s="1829">
        <f t="shared" ref="AL71:AL74" si="11">ROUND(IF(AG71=0,0,AJ71/ABS(AG71)),3)</f>
        <v>3.8119999999999998</v>
      </c>
      <c r="AM71" s="1819"/>
    </row>
    <row r="72" spans="1:39" s="887" customFormat="1" ht="15" customHeight="1">
      <c r="A72" s="1070"/>
      <c r="B72" s="892" t="s">
        <v>1068</v>
      </c>
      <c r="C72" s="107"/>
      <c r="D72" s="896">
        <v>0</v>
      </c>
      <c r="E72" s="1531"/>
      <c r="F72" s="896">
        <v>0</v>
      </c>
      <c r="G72" s="1531"/>
      <c r="H72" s="896">
        <v>0</v>
      </c>
      <c r="I72" s="1531"/>
      <c r="J72" s="896">
        <v>0</v>
      </c>
      <c r="K72" s="1537"/>
      <c r="L72" s="896">
        <v>0</v>
      </c>
      <c r="M72" s="1537"/>
      <c r="N72" s="896">
        <v>0</v>
      </c>
      <c r="O72" s="1537"/>
      <c r="P72" s="896">
        <v>0</v>
      </c>
      <c r="Q72" s="1998"/>
      <c r="R72" s="1789">
        <v>0</v>
      </c>
      <c r="S72" s="1998"/>
      <c r="T72" s="1789">
        <v>0</v>
      </c>
      <c r="U72" s="1998"/>
      <c r="V72" s="1789">
        <f t="shared" si="5"/>
        <v>0</v>
      </c>
      <c r="W72" s="1998"/>
      <c r="X72" s="1789"/>
      <c r="Y72" s="1998"/>
      <c r="Z72" s="1789"/>
      <c r="AA72" s="1999"/>
      <c r="AB72" s="2000"/>
      <c r="AC72" s="2002"/>
      <c r="AD72" s="1789">
        <v>0</v>
      </c>
      <c r="AE72" s="2032"/>
      <c r="AF72" s="3174"/>
      <c r="AG72" s="1789">
        <v>0.9</v>
      </c>
      <c r="AH72" s="1073"/>
      <c r="AI72" s="67"/>
      <c r="AJ72" s="895">
        <f t="shared" si="10"/>
        <v>-0.9</v>
      </c>
      <c r="AK72" s="895"/>
      <c r="AL72" s="1829">
        <f>ROUND(IF(AG72=0,0,AJ72/ABS(AG72)),3)</f>
        <v>-1</v>
      </c>
      <c r="AM72" s="1819"/>
    </row>
    <row r="73" spans="1:39" s="887" customFormat="1" ht="15" customHeight="1">
      <c r="A73" s="1070"/>
      <c r="B73" s="892" t="s">
        <v>1069</v>
      </c>
      <c r="C73" s="107"/>
      <c r="D73" s="896">
        <v>483</v>
      </c>
      <c r="E73" s="1531"/>
      <c r="F73" s="896">
        <v>305.70000000000005</v>
      </c>
      <c r="G73" s="1531"/>
      <c r="H73" s="896">
        <v>305.79999999999995</v>
      </c>
      <c r="I73" s="1531"/>
      <c r="J73" s="896">
        <v>198.79999999999995</v>
      </c>
      <c r="K73" s="1537"/>
      <c r="L73" s="896">
        <v>167.90000000000009</v>
      </c>
      <c r="M73" s="1537"/>
      <c r="N73" s="896">
        <v>150.09999999999991</v>
      </c>
      <c r="O73" s="1537"/>
      <c r="P73" s="896">
        <v>221.20000000000005</v>
      </c>
      <c r="Q73" s="1998"/>
      <c r="R73" s="1789">
        <v>165.90000000000009</v>
      </c>
      <c r="S73" s="1998"/>
      <c r="T73" s="1789">
        <v>314</v>
      </c>
      <c r="U73" s="1998"/>
      <c r="V73" s="1789">
        <f t="shared" si="5"/>
        <v>205.90000000000009</v>
      </c>
      <c r="W73" s="1998"/>
      <c r="X73" s="1789"/>
      <c r="Y73" s="1998"/>
      <c r="Z73" s="1789"/>
      <c r="AA73" s="1999"/>
      <c r="AB73" s="2000"/>
      <c r="AC73" s="2002"/>
      <c r="AD73" s="1789">
        <v>2518.3000000000002</v>
      </c>
      <c r="AE73" s="2032"/>
      <c r="AF73" s="3174"/>
      <c r="AG73" s="1789">
        <v>1824.7</v>
      </c>
      <c r="AH73" s="1073"/>
      <c r="AI73" s="67"/>
      <c r="AJ73" s="895">
        <f t="shared" si="10"/>
        <v>693.6</v>
      </c>
      <c r="AK73" s="895"/>
      <c r="AL73" s="1818">
        <f t="shared" si="11"/>
        <v>0.38</v>
      </c>
      <c r="AM73" s="1819"/>
    </row>
    <row r="74" spans="1:39" s="887" customFormat="1" ht="15" customHeight="1">
      <c r="A74" s="1070"/>
      <c r="B74" s="892" t="s">
        <v>1070</v>
      </c>
      <c r="C74" s="107"/>
      <c r="D74" s="896">
        <v>0.1</v>
      </c>
      <c r="E74" s="1531"/>
      <c r="F74" s="896">
        <v>4.9000000000000004</v>
      </c>
      <c r="G74" s="1531"/>
      <c r="H74" s="896">
        <v>6.6</v>
      </c>
      <c r="I74" s="1531"/>
      <c r="J74" s="896">
        <v>10.199999999999998</v>
      </c>
      <c r="K74" s="1537"/>
      <c r="L74" s="896">
        <v>2.1000000000000014</v>
      </c>
      <c r="M74" s="1537"/>
      <c r="N74" s="896">
        <v>4.9999999999999982</v>
      </c>
      <c r="O74" s="1537"/>
      <c r="P74" s="896">
        <v>3</v>
      </c>
      <c r="Q74" s="1998"/>
      <c r="R74" s="1789">
        <v>3.8000000000000043</v>
      </c>
      <c r="S74" s="1998"/>
      <c r="T74" s="1789">
        <v>4.7999999999999989</v>
      </c>
      <c r="U74" s="1998"/>
      <c r="V74" s="1789">
        <f t="shared" si="5"/>
        <v>3.7000000000000028</v>
      </c>
      <c r="W74" s="1998"/>
      <c r="X74" s="1789"/>
      <c r="Y74" s="1998"/>
      <c r="Z74" s="1789"/>
      <c r="AA74" s="1999"/>
      <c r="AB74" s="2000"/>
      <c r="AC74" s="2002"/>
      <c r="AD74" s="1789">
        <v>44.2</v>
      </c>
      <c r="AE74" s="2032"/>
      <c r="AF74" s="3174"/>
      <c r="AG74" s="1789">
        <v>54.3</v>
      </c>
      <c r="AH74" s="1073"/>
      <c r="AI74" s="67"/>
      <c r="AJ74" s="895">
        <f t="shared" si="10"/>
        <v>-10.1</v>
      </c>
      <c r="AK74" s="895"/>
      <c r="AL74" s="1829">
        <f t="shared" si="11"/>
        <v>-0.186</v>
      </c>
      <c r="AM74" s="1819"/>
    </row>
    <row r="75" spans="1:39" s="887" customFormat="1" ht="15" customHeight="1">
      <c r="A75" s="1070"/>
      <c r="B75" s="892" t="s">
        <v>1071</v>
      </c>
      <c r="C75" s="107"/>
      <c r="D75" s="896">
        <v>3.7</v>
      </c>
      <c r="E75" s="1531"/>
      <c r="F75" s="896">
        <v>0.39999999999999947</v>
      </c>
      <c r="G75" s="1531"/>
      <c r="H75" s="896">
        <v>0.60000000000000053</v>
      </c>
      <c r="I75" s="1531"/>
      <c r="J75" s="896">
        <v>9.9999999999999645E-2</v>
      </c>
      <c r="K75" s="1537"/>
      <c r="L75" s="896">
        <v>41.8</v>
      </c>
      <c r="M75" s="1537"/>
      <c r="N75" s="896">
        <v>3.8999999999999986</v>
      </c>
      <c r="O75" s="1537"/>
      <c r="P75" s="896">
        <v>0.29999999999999716</v>
      </c>
      <c r="Q75" s="1998"/>
      <c r="R75" s="1789">
        <v>0.70000000000000284</v>
      </c>
      <c r="S75" s="1998"/>
      <c r="T75" s="1789">
        <v>0.5</v>
      </c>
      <c r="U75" s="1998"/>
      <c r="V75" s="1789">
        <f t="shared" si="5"/>
        <v>21.70000000000001</v>
      </c>
      <c r="W75" s="1998"/>
      <c r="X75" s="1789"/>
      <c r="Y75" s="1998"/>
      <c r="Z75" s="1789"/>
      <c r="AA75" s="1999"/>
      <c r="AB75" s="2000"/>
      <c r="AC75" s="2002"/>
      <c r="AD75" s="1789">
        <v>73.7</v>
      </c>
      <c r="AE75" s="2032"/>
      <c r="AF75" s="3174"/>
      <c r="AG75" s="1789">
        <v>45.4</v>
      </c>
      <c r="AH75" s="1073"/>
      <c r="AI75" s="67"/>
      <c r="AJ75" s="895">
        <f t="shared" si="10"/>
        <v>28.3</v>
      </c>
      <c r="AK75" s="895"/>
      <c r="AL75" s="1829">
        <f>ROUND(IF(AG75=0,1,AJ75/ABS(AG75)),3)</f>
        <v>0.623</v>
      </c>
      <c r="AM75" s="1819"/>
    </row>
    <row r="76" spans="1:39" s="887" customFormat="1" ht="15" customHeight="1">
      <c r="A76" s="1070"/>
      <c r="B76" s="892" t="s">
        <v>1072</v>
      </c>
      <c r="C76" s="107"/>
      <c r="D76" s="896">
        <v>6.1</v>
      </c>
      <c r="E76" s="895"/>
      <c r="F76" s="896">
        <v>1.4000000000000004</v>
      </c>
      <c r="G76" s="895"/>
      <c r="H76" s="896">
        <v>3.1999999999999993</v>
      </c>
      <c r="I76" s="895"/>
      <c r="J76" s="896">
        <v>6.4000000000000021</v>
      </c>
      <c r="K76" s="1537"/>
      <c r="L76" s="896">
        <v>6.7999999999999972</v>
      </c>
      <c r="M76" s="1537"/>
      <c r="N76" s="896">
        <v>3.7000000000000028</v>
      </c>
      <c r="O76" s="1537"/>
      <c r="P76" s="896">
        <v>6</v>
      </c>
      <c r="Q76" s="1998"/>
      <c r="R76" s="1789">
        <v>3.6000000000000014</v>
      </c>
      <c r="S76" s="1998"/>
      <c r="T76" s="1789">
        <v>4.8999999999999986</v>
      </c>
      <c r="U76" s="1998"/>
      <c r="V76" s="1789">
        <f t="shared" si="5"/>
        <v>2.1999999999999922</v>
      </c>
      <c r="W76" s="1998"/>
      <c r="X76" s="1789"/>
      <c r="Y76" s="1998"/>
      <c r="Z76" s="1789"/>
      <c r="AA76" s="1999"/>
      <c r="AB76" s="2000"/>
      <c r="AC76" s="2002"/>
      <c r="AD76" s="1789">
        <v>44.3</v>
      </c>
      <c r="AE76" s="2032"/>
      <c r="AF76" s="3174"/>
      <c r="AG76" s="1789">
        <v>57</v>
      </c>
      <c r="AH76" s="1073"/>
      <c r="AI76" s="67"/>
      <c r="AJ76" s="895">
        <f t="shared" si="10"/>
        <v>-12.7</v>
      </c>
      <c r="AK76" s="895"/>
      <c r="AL76" s="1818">
        <f>ROUND(IF(AG76=0,0,AJ76/ABS(AG76)),3)</f>
        <v>-0.223</v>
      </c>
      <c r="AM76" s="1819"/>
    </row>
    <row r="77" spans="1:39" s="887" customFormat="1" ht="15" customHeight="1">
      <c r="A77" s="1070"/>
      <c r="B77" s="892" t="s">
        <v>1073</v>
      </c>
      <c r="C77" s="107"/>
      <c r="D77" s="896">
        <v>-24.9</v>
      </c>
      <c r="E77" s="895"/>
      <c r="F77" s="896">
        <v>4.0999999999999979</v>
      </c>
      <c r="G77" s="895"/>
      <c r="H77" s="896">
        <v>13.100000000000001</v>
      </c>
      <c r="I77" s="895"/>
      <c r="J77" s="896">
        <v>63.4</v>
      </c>
      <c r="K77" s="1537"/>
      <c r="L77" s="896">
        <v>39.400000000000013</v>
      </c>
      <c r="M77" s="1537"/>
      <c r="N77" s="896">
        <v>48.70000000000001</v>
      </c>
      <c r="O77" s="1537"/>
      <c r="P77" s="896">
        <v>58.199999999999996</v>
      </c>
      <c r="Q77" s="1998"/>
      <c r="R77" s="1789">
        <v>35.199999999999925</v>
      </c>
      <c r="S77" s="1998"/>
      <c r="T77" s="1789">
        <v>26.599999999999994</v>
      </c>
      <c r="U77" s="1998"/>
      <c r="V77" s="1789">
        <f t="shared" si="5"/>
        <v>55.000000000000028</v>
      </c>
      <c r="W77" s="1998"/>
      <c r="X77" s="1789"/>
      <c r="Y77" s="1998"/>
      <c r="Z77" s="1789"/>
      <c r="AA77" s="1999"/>
      <c r="AB77" s="2000"/>
      <c r="AC77" s="2001"/>
      <c r="AD77" s="1789">
        <v>318.8</v>
      </c>
      <c r="AE77" s="2000"/>
      <c r="AF77" s="2002"/>
      <c r="AG77" s="1789">
        <v>432.6</v>
      </c>
      <c r="AH77" s="1073"/>
      <c r="AI77" s="67"/>
      <c r="AJ77" s="895">
        <f t="shared" si="10"/>
        <v>-113.8</v>
      </c>
      <c r="AK77" s="895"/>
      <c r="AL77" s="1829">
        <f>ROUND(IF(AG77=0,0,AJ77/ABS(AG77)),3)</f>
        <v>-0.26300000000000001</v>
      </c>
      <c r="AM77" s="1819"/>
    </row>
    <row r="78" spans="1:39" ht="15" customHeight="1">
      <c r="A78" s="150"/>
      <c r="B78" s="892" t="s">
        <v>1045</v>
      </c>
      <c r="C78" s="31"/>
      <c r="D78" s="896">
        <v>0.5</v>
      </c>
      <c r="E78" s="895"/>
      <c r="F78" s="896">
        <v>0.60000000000000009</v>
      </c>
      <c r="G78" s="895"/>
      <c r="H78" s="896">
        <v>0.79999999999999982</v>
      </c>
      <c r="I78" s="895"/>
      <c r="J78" s="896">
        <v>0.70000000000000018</v>
      </c>
      <c r="K78" s="1537"/>
      <c r="L78" s="896">
        <v>0.5</v>
      </c>
      <c r="M78" s="1537"/>
      <c r="N78" s="896">
        <v>0.60000000000000009</v>
      </c>
      <c r="O78" s="1537"/>
      <c r="P78" s="896">
        <v>1.2999999999999998</v>
      </c>
      <c r="Q78" s="1998"/>
      <c r="R78" s="1789">
        <v>0.79999999999999938</v>
      </c>
      <c r="S78" s="1998"/>
      <c r="T78" s="1789">
        <v>0.60000000000000142</v>
      </c>
      <c r="U78" s="1998"/>
      <c r="V78" s="1789">
        <f t="shared" si="5"/>
        <v>1.0999999999999996</v>
      </c>
      <c r="W78" s="1998"/>
      <c r="X78" s="1789"/>
      <c r="Y78" s="1998"/>
      <c r="Z78" s="1789"/>
      <c r="AA78" s="1999"/>
      <c r="AB78" s="2000"/>
      <c r="AC78" s="2001"/>
      <c r="AD78" s="1789">
        <v>7.5</v>
      </c>
      <c r="AE78" s="2000"/>
      <c r="AF78" s="2002"/>
      <c r="AG78" s="1789">
        <v>14.9</v>
      </c>
      <c r="AH78" s="275"/>
      <c r="AI78" s="56"/>
      <c r="AJ78" s="643">
        <f t="shared" si="10"/>
        <v>-7.4</v>
      </c>
      <c r="AK78" s="643"/>
      <c r="AL78" s="1432">
        <f>ROUND(IF(AG78=0,0,AJ78/ABS(AG78)),3)</f>
        <v>-0.497</v>
      </c>
      <c r="AM78" s="784"/>
    </row>
    <row r="79" spans="1:39" s="887" customFormat="1" ht="15" customHeight="1">
      <c r="A79" s="1070"/>
      <c r="B79" s="892" t="s">
        <v>1046</v>
      </c>
      <c r="C79" s="107"/>
      <c r="D79" s="896">
        <v>-67.5</v>
      </c>
      <c r="E79" s="895"/>
      <c r="F79" s="896">
        <v>33.6</v>
      </c>
      <c r="G79" s="895"/>
      <c r="H79" s="896">
        <v>56.9</v>
      </c>
      <c r="I79" s="895"/>
      <c r="J79" s="896">
        <v>50.900000000000013</v>
      </c>
      <c r="K79" s="1537"/>
      <c r="L79" s="896">
        <v>113.29999999999998</v>
      </c>
      <c r="M79" s="1537"/>
      <c r="N79" s="896">
        <v>375.69999999999993</v>
      </c>
      <c r="O79" s="1537"/>
      <c r="P79" s="896">
        <v>172.80000000000018</v>
      </c>
      <c r="Q79" s="1998"/>
      <c r="R79" s="1789">
        <v>49.699999999999932</v>
      </c>
      <c r="S79" s="1998"/>
      <c r="T79" s="1789">
        <v>-32.799999999999955</v>
      </c>
      <c r="U79" s="1998"/>
      <c r="V79" s="1789">
        <f t="shared" si="5"/>
        <v>150.39999999999998</v>
      </c>
      <c r="W79" s="1998"/>
      <c r="X79" s="1789"/>
      <c r="Y79" s="1998"/>
      <c r="Z79" s="1789"/>
      <c r="AA79" s="1999"/>
      <c r="AB79" s="2000"/>
      <c r="AC79" s="2002"/>
      <c r="AD79" s="1789">
        <v>903</v>
      </c>
      <c r="AE79" s="2032"/>
      <c r="AF79" s="3174"/>
      <c r="AG79" s="1789">
        <v>1180.8</v>
      </c>
      <c r="AH79" s="1073"/>
      <c r="AI79" s="67"/>
      <c r="AJ79" s="895">
        <f t="shared" si="10"/>
        <v>-277.8</v>
      </c>
      <c r="AK79" s="895"/>
      <c r="AL79" s="1818">
        <f>ROUND(IF(AG79=0,0,AJ79/ABS(AG79)),3)</f>
        <v>-0.23499999999999999</v>
      </c>
      <c r="AM79" s="1819"/>
    </row>
    <row r="80" spans="1:39" s="887" customFormat="1" ht="15" customHeight="1">
      <c r="A80" s="1070"/>
      <c r="B80" s="310" t="s">
        <v>1177</v>
      </c>
      <c r="C80" s="107"/>
      <c r="D80" s="1838">
        <f>ROUND(SUM(D41:D79),1)</f>
        <v>1346.6</v>
      </c>
      <c r="E80" s="895"/>
      <c r="F80" s="1838">
        <f>ROUND(SUM(F41:F79),1)</f>
        <v>1054</v>
      </c>
      <c r="G80" s="895"/>
      <c r="H80" s="1838">
        <f>ROUND(SUM(H41:H79),1)</f>
        <v>1338.1</v>
      </c>
      <c r="I80" s="895"/>
      <c r="J80" s="1838">
        <f>ROUND(SUM(J41:J79),1)</f>
        <v>1214.4000000000001</v>
      </c>
      <c r="K80" s="118"/>
      <c r="L80" s="1538">
        <f>ROUND(SUM(L41:L79),1)</f>
        <v>1186.8</v>
      </c>
      <c r="M80" s="118"/>
      <c r="N80" s="1538">
        <f>ROUND(SUM(N41:N79),1)</f>
        <v>1790.7</v>
      </c>
      <c r="O80" s="118"/>
      <c r="P80" s="1460">
        <f>ROUND(SUM(P41:P79),1)</f>
        <v>1632.5</v>
      </c>
      <c r="Q80" s="1995"/>
      <c r="R80" s="1460">
        <f>ROUND(SUM(R41:R79),1)</f>
        <v>1139.5</v>
      </c>
      <c r="S80" s="1995"/>
      <c r="T80" s="1460">
        <f>ROUND(SUM(T41:T79),1)</f>
        <v>1463.2</v>
      </c>
      <c r="U80" s="1995"/>
      <c r="V80" s="1460">
        <f>ROUND(SUM(V41:V79),1)</f>
        <v>1518.5</v>
      </c>
      <c r="W80" s="1995"/>
      <c r="X80" s="1460">
        <f>ROUND(SUM(X41:X79),1)</f>
        <v>0</v>
      </c>
      <c r="Y80" s="1995"/>
      <c r="Z80" s="1460">
        <f>ROUND(SUM(Z41:Z79),1)</f>
        <v>0</v>
      </c>
      <c r="AA80" s="1462"/>
      <c r="AB80" s="1995"/>
      <c r="AC80" s="2039"/>
      <c r="AD80" s="1460">
        <f>ROUND(SUM(AD41:AD79),1)</f>
        <v>13684.3</v>
      </c>
      <c r="AE80" s="1995"/>
      <c r="AF80" s="1997"/>
      <c r="AG80" s="1460">
        <f>ROUND(SUM(AG41:AG79),1)</f>
        <v>15788.3</v>
      </c>
      <c r="AH80" s="1073"/>
      <c r="AI80" s="67"/>
      <c r="AJ80" s="1538">
        <f>ROUND(SUM(AJ41:AJ79),1)</f>
        <v>-2104</v>
      </c>
      <c r="AK80" s="895"/>
      <c r="AL80" s="1820">
        <f>ROUND(SUM(+AJ80/AG80),3)</f>
        <v>-0.13300000000000001</v>
      </c>
      <c r="AM80" s="1819"/>
    </row>
    <row r="81" spans="1:39" s="887" customFormat="1" ht="15" customHeight="1">
      <c r="A81" s="1070"/>
      <c r="B81" s="310"/>
      <c r="C81" s="107"/>
      <c r="D81" s="115"/>
      <c r="E81" s="895"/>
      <c r="F81" s="115"/>
      <c r="G81" s="895"/>
      <c r="H81" s="115"/>
      <c r="I81" s="895"/>
      <c r="J81" s="115"/>
      <c r="K81" s="118"/>
      <c r="L81" s="115"/>
      <c r="M81" s="118"/>
      <c r="N81" s="115"/>
      <c r="O81" s="118"/>
      <c r="P81" s="1462"/>
      <c r="Q81" s="1995"/>
      <c r="R81" s="1462"/>
      <c r="S81" s="1995"/>
      <c r="T81" s="1462"/>
      <c r="U81" s="1995"/>
      <c r="V81" s="1462"/>
      <c r="W81" s="1995"/>
      <c r="X81" s="1462"/>
      <c r="Y81" s="1995"/>
      <c r="Z81" s="1462"/>
      <c r="AA81" s="1462"/>
      <c r="AB81" s="1995"/>
      <c r="AC81" s="2039"/>
      <c r="AD81" s="1462"/>
      <c r="AE81" s="1995"/>
      <c r="AF81" s="1997"/>
      <c r="AG81" s="1462"/>
      <c r="AH81" s="1073"/>
      <c r="AI81" s="67"/>
      <c r="AJ81" s="115"/>
      <c r="AK81" s="895"/>
      <c r="AL81" s="1821"/>
      <c r="AM81" s="1819"/>
    </row>
    <row r="82" spans="1:39" s="887" customFormat="1" ht="15" customHeight="1">
      <c r="A82" s="1070"/>
      <c r="B82" s="1816" t="s">
        <v>149</v>
      </c>
      <c r="C82" s="107"/>
      <c r="D82" s="896">
        <v>0</v>
      </c>
      <c r="E82" s="895"/>
      <c r="F82" s="896">
        <v>0</v>
      </c>
      <c r="G82" s="895"/>
      <c r="H82" s="896">
        <v>4.0999999999999996</v>
      </c>
      <c r="I82" s="895"/>
      <c r="J82" s="896">
        <v>-4.0999999999999996</v>
      </c>
      <c r="K82" s="1537"/>
      <c r="L82" s="896">
        <v>2.5</v>
      </c>
      <c r="M82" s="1537"/>
      <c r="N82" s="896">
        <v>25.4</v>
      </c>
      <c r="O82" s="1537"/>
      <c r="P82" s="896">
        <v>12.899999999999999</v>
      </c>
      <c r="Q82" s="1998"/>
      <c r="R82" s="1789">
        <v>-33.599999999999994</v>
      </c>
      <c r="S82" s="1998"/>
      <c r="T82" s="1789">
        <v>0</v>
      </c>
      <c r="U82" s="1998"/>
      <c r="V82" s="1789">
        <f>$AD82-$D82-$F82-$H82-$J82-$L82-$N82-$P82-$R82-$T82</f>
        <v>0</v>
      </c>
      <c r="W82" s="1998"/>
      <c r="X82" s="1789"/>
      <c r="Y82" s="1998"/>
      <c r="Z82" s="1789"/>
      <c r="AA82" s="1999"/>
      <c r="AB82" s="2000"/>
      <c r="AC82" s="2002"/>
      <c r="AD82" s="1789">
        <v>7.2</v>
      </c>
      <c r="AE82" s="2032"/>
      <c r="AF82" s="3174"/>
      <c r="AG82" s="1789">
        <v>-9</v>
      </c>
      <c r="AH82" s="1073"/>
      <c r="AI82" s="67"/>
      <c r="AJ82" s="1024">
        <f>ROUND(SUM(+AD82-AG82),1)</f>
        <v>16.2</v>
      </c>
      <c r="AK82" s="895"/>
      <c r="AL82" s="1729">
        <f>ROUND(IF(AG82=0,0,AJ82/ABS(AG82)),3)</f>
        <v>1.8</v>
      </c>
      <c r="AM82" s="1819"/>
    </row>
    <row r="83" spans="1:39" ht="15" customHeight="1">
      <c r="A83" s="150"/>
      <c r="B83" s="31"/>
      <c r="C83" s="31"/>
      <c r="D83" s="688"/>
      <c r="E83" s="1531"/>
      <c r="F83" s="688"/>
      <c r="G83" s="1531"/>
      <c r="H83" s="688"/>
      <c r="I83" s="1531"/>
      <c r="J83" s="688"/>
      <c r="K83" s="66"/>
      <c r="L83" s="88"/>
      <c r="M83" s="66"/>
      <c r="N83" s="88"/>
      <c r="O83" s="66"/>
      <c r="P83" s="2005"/>
      <c r="Q83" s="2006"/>
      <c r="R83" s="2005"/>
      <c r="S83" s="2006"/>
      <c r="T83" s="2005"/>
      <c r="U83" s="2006"/>
      <c r="V83" s="2005"/>
      <c r="W83" s="2006"/>
      <c r="X83" s="2005"/>
      <c r="Y83" s="2006"/>
      <c r="Z83" s="2005"/>
      <c r="AA83" s="2007"/>
      <c r="AB83" s="2006"/>
      <c r="AC83" s="2037"/>
      <c r="AD83" s="2051"/>
      <c r="AE83" s="1977"/>
      <c r="AF83" s="1997"/>
      <c r="AG83" s="2051"/>
      <c r="AH83" s="275"/>
      <c r="AI83" s="56"/>
      <c r="AJ83" s="1405"/>
      <c r="AK83" s="920"/>
      <c r="AL83" s="1446"/>
      <c r="AM83" s="784"/>
    </row>
    <row r="84" spans="1:39" ht="15" customHeight="1">
      <c r="A84" s="150"/>
      <c r="B84" s="29" t="s">
        <v>150</v>
      </c>
      <c r="C84" s="31"/>
      <c r="D84" s="922">
        <f>ROUND(SUM(D37+D80+D82),1)</f>
        <v>1600.6</v>
      </c>
      <c r="E84" s="922"/>
      <c r="F84" s="922">
        <f>ROUND(SUM(F37+F80+F82),1)</f>
        <v>1168.2</v>
      </c>
      <c r="G84" s="922"/>
      <c r="H84" s="922">
        <f>ROUND(SUM(H37+H80+H82),1)</f>
        <v>1710.2</v>
      </c>
      <c r="I84" s="922"/>
      <c r="J84" s="922">
        <f>ROUND(SUM(J37+J80+J82),1)</f>
        <v>1536.8</v>
      </c>
      <c r="K84" s="922"/>
      <c r="L84" s="922">
        <f>ROUND(SUM(L37+L80+L82),1)</f>
        <v>1390.8</v>
      </c>
      <c r="M84" s="922"/>
      <c r="N84" s="922">
        <f>ROUND(SUM(N37+N80+N82),1)</f>
        <v>2259.9</v>
      </c>
      <c r="O84" s="922"/>
      <c r="P84" s="1461">
        <f>ROUND(SUM(P37+P80+P82),1)</f>
        <v>1875.6</v>
      </c>
      <c r="Q84" s="1461"/>
      <c r="R84" s="1461">
        <f>ROUND(SUM(R37+R80+R82),1)</f>
        <v>1313.4</v>
      </c>
      <c r="S84" s="1461"/>
      <c r="T84" s="1461">
        <f>ROUND(SUM(T37+T80+T82),1)</f>
        <v>1940.6</v>
      </c>
      <c r="U84" s="1461"/>
      <c r="V84" s="1461">
        <f>ROUND(SUM(V37+V80+V82),1)</f>
        <v>3748.1</v>
      </c>
      <c r="W84" s="1461"/>
      <c r="X84" s="1461">
        <f>ROUND(SUM(X37+X80+X82),1)</f>
        <v>0</v>
      </c>
      <c r="Y84" s="1461"/>
      <c r="Z84" s="1461">
        <f>ROUND(SUM(Z37+Z80+Z82),1)</f>
        <v>0</v>
      </c>
      <c r="AA84" s="1461"/>
      <c r="AB84" s="1461"/>
      <c r="AC84" s="2040"/>
      <c r="AD84" s="2050">
        <f>ROUND(SUM(AD37+AD80+AD82),1)</f>
        <v>18544.2</v>
      </c>
      <c r="AE84" s="1462"/>
      <c r="AF84" s="3158"/>
      <c r="AG84" s="2050">
        <f>ROUND(SUM(AG37+AG80+AG82),1)</f>
        <v>21080.6</v>
      </c>
      <c r="AH84" s="282"/>
      <c r="AI84" s="76"/>
      <c r="AJ84" s="829">
        <f>ROUND(SUM(AJ37+AJ80+AJ82),1)</f>
        <v>-2536.4</v>
      </c>
      <c r="AK84" s="284"/>
      <c r="AL84" s="1435">
        <f>ROUND(SUM((AD84-AG84)/ABS(AG84)),3)</f>
        <v>-0.12</v>
      </c>
      <c r="AM84" s="784"/>
    </row>
    <row r="85" spans="1:39" ht="15" customHeight="1">
      <c r="A85" s="150"/>
      <c r="B85" s="31"/>
      <c r="C85" s="31"/>
      <c r="D85" s="688"/>
      <c r="E85" s="1531"/>
      <c r="F85" s="688"/>
      <c r="G85" s="1531"/>
      <c r="H85" s="688"/>
      <c r="I85" s="1531"/>
      <c r="J85" s="688"/>
      <c r="K85" s="66"/>
      <c r="L85" s="88"/>
      <c r="M85" s="66"/>
      <c r="N85" s="88"/>
      <c r="O85" s="66"/>
      <c r="P85" s="2005"/>
      <c r="Q85" s="2006"/>
      <c r="R85" s="2005"/>
      <c r="S85" s="2006"/>
      <c r="T85" s="2005"/>
      <c r="U85" s="2006"/>
      <c r="V85" s="2005"/>
      <c r="W85" s="2006"/>
      <c r="X85" s="2005"/>
      <c r="Y85" s="2006"/>
      <c r="Z85" s="2005"/>
      <c r="AA85" s="2007"/>
      <c r="AB85" s="2006"/>
      <c r="AC85" s="2037"/>
      <c r="AD85" s="2051"/>
      <c r="AE85" s="1977"/>
      <c r="AF85" s="1997"/>
      <c r="AG85" s="2051"/>
      <c r="AH85" s="275"/>
      <c r="AI85" s="56"/>
      <c r="AJ85" s="643"/>
      <c r="AK85" s="920"/>
      <c r="AL85" s="1432"/>
      <c r="AM85" s="784"/>
    </row>
    <row r="86" spans="1:39" ht="15" customHeight="1">
      <c r="A86" s="150"/>
      <c r="B86" s="173" t="s">
        <v>23</v>
      </c>
      <c r="C86" s="31"/>
      <c r="D86" s="1531"/>
      <c r="E86" s="1531"/>
      <c r="F86" s="1531"/>
      <c r="G86" s="1531"/>
      <c r="H86" s="1531"/>
      <c r="I86" s="1531"/>
      <c r="J86" s="1531"/>
      <c r="K86" s="66"/>
      <c r="L86" s="66"/>
      <c r="M86" s="66"/>
      <c r="N86" s="66"/>
      <c r="O86" s="66"/>
      <c r="P86" s="2006"/>
      <c r="Q86" s="2006"/>
      <c r="R86" s="2006"/>
      <c r="S86" s="2006"/>
      <c r="T86" s="2006"/>
      <c r="U86" s="2006"/>
      <c r="V86" s="2006"/>
      <c r="W86" s="2006"/>
      <c r="X86" s="2006"/>
      <c r="Y86" s="2006"/>
      <c r="Z86" s="2006"/>
      <c r="AA86" s="2006"/>
      <c r="AB86" s="2006"/>
      <c r="AC86" s="2037"/>
      <c r="AD86" s="1995"/>
      <c r="AE86" s="1977"/>
      <c r="AF86" s="1997"/>
      <c r="AG86" s="1995"/>
      <c r="AH86" s="275"/>
      <c r="AI86" s="56"/>
      <c r="AJ86" s="643"/>
      <c r="AK86" s="920"/>
      <c r="AL86" s="1432"/>
      <c r="AM86" s="784"/>
    </row>
    <row r="87" spans="1:39" ht="12.75" customHeight="1">
      <c r="A87" s="150"/>
      <c r="B87" s="690" t="s">
        <v>151</v>
      </c>
      <c r="C87" s="31"/>
      <c r="D87" s="681"/>
      <c r="E87" s="1531"/>
      <c r="F87" s="681"/>
      <c r="G87" s="1531"/>
      <c r="H87" s="1531"/>
      <c r="I87" s="1531"/>
      <c r="J87" s="896"/>
      <c r="K87" s="66"/>
      <c r="L87" s="77"/>
      <c r="M87" s="66"/>
      <c r="N87" s="77"/>
      <c r="O87" s="66"/>
      <c r="P87" s="2015"/>
      <c r="Q87" s="2006"/>
      <c r="R87" s="2015"/>
      <c r="S87" s="2006"/>
      <c r="T87" s="2015"/>
      <c r="U87" s="2006"/>
      <c r="V87" s="2006"/>
      <c r="W87" s="2006"/>
      <c r="X87" s="2015"/>
      <c r="Y87" s="2006"/>
      <c r="Z87" s="2006"/>
      <c r="AA87" s="2006"/>
      <c r="AB87" s="2006"/>
      <c r="AC87" s="2037"/>
      <c r="AD87" s="1993"/>
      <c r="AE87" s="1995"/>
      <c r="AF87" s="1997"/>
      <c r="AG87" s="1993"/>
      <c r="AH87" s="275"/>
      <c r="AI87" s="56"/>
      <c r="AJ87" s="643"/>
      <c r="AK87" s="920"/>
      <c r="AL87" s="1447"/>
      <c r="AM87" s="784"/>
    </row>
    <row r="88" spans="1:39" s="887" customFormat="1" ht="15" customHeight="1">
      <c r="A88" s="1070"/>
      <c r="B88" s="1813" t="s">
        <v>25</v>
      </c>
      <c r="C88" s="107"/>
      <c r="D88" s="896">
        <v>0.1</v>
      </c>
      <c r="E88" s="1531"/>
      <c r="F88" s="896">
        <v>35</v>
      </c>
      <c r="G88" s="1531"/>
      <c r="H88" s="896">
        <v>297</v>
      </c>
      <c r="I88" s="1531"/>
      <c r="J88" s="896">
        <v>0.29999999999995453</v>
      </c>
      <c r="K88" s="1537"/>
      <c r="L88" s="896">
        <v>-9.9999999999965894E-2</v>
      </c>
      <c r="M88" s="1537"/>
      <c r="N88" s="896">
        <v>2290.2999999999997</v>
      </c>
      <c r="O88" s="1537"/>
      <c r="P88" s="896">
        <v>149</v>
      </c>
      <c r="Q88" s="1998"/>
      <c r="R88" s="1789">
        <v>148.10000000000036</v>
      </c>
      <c r="S88" s="1998"/>
      <c r="T88" s="1789">
        <v>174.69999999999982</v>
      </c>
      <c r="U88" s="1998"/>
      <c r="V88" s="1789">
        <f t="shared" ref="V88:V97" si="12">$AD88-$D88-$F88-$H88-$J88-$L88-$N88-$P88-$R88-$T88</f>
        <v>2128.4</v>
      </c>
      <c r="W88" s="1998"/>
      <c r="X88" s="1789"/>
      <c r="Y88" s="1998"/>
      <c r="Z88" s="1789"/>
      <c r="AA88" s="1999"/>
      <c r="AB88" s="2000"/>
      <c r="AC88" s="2002"/>
      <c r="AD88" s="1789">
        <v>5222.8</v>
      </c>
      <c r="AE88" s="2032"/>
      <c r="AF88" s="3174"/>
      <c r="AG88" s="1789">
        <v>5599</v>
      </c>
      <c r="AH88" s="1073"/>
      <c r="AI88" s="67"/>
      <c r="AJ88" s="895">
        <f>ROUND(SUM(+AD88-AG88),1)</f>
        <v>-376.2</v>
      </c>
      <c r="AK88" s="895"/>
      <c r="AL88" s="1729">
        <f>ROUND(IF(AG88=0,1,AJ88/ABS(AG88)),3)</f>
        <v>-6.7000000000000004E-2</v>
      </c>
      <c r="AM88" s="1819"/>
    </row>
    <row r="89" spans="1:39" s="887" customFormat="1" ht="15" customHeight="1">
      <c r="A89" s="1070"/>
      <c r="B89" s="1813" t="s">
        <v>26</v>
      </c>
      <c r="C89" s="107"/>
      <c r="D89" s="896">
        <v>0</v>
      </c>
      <c r="E89" s="1531"/>
      <c r="F89" s="896">
        <v>0.3</v>
      </c>
      <c r="G89" s="1531"/>
      <c r="H89" s="896">
        <v>0</v>
      </c>
      <c r="I89" s="1531"/>
      <c r="J89" s="896">
        <v>0.2</v>
      </c>
      <c r="K89" s="1537"/>
      <c r="L89" s="896">
        <v>0</v>
      </c>
      <c r="M89" s="1537"/>
      <c r="N89" s="896">
        <v>0.40000000000000008</v>
      </c>
      <c r="O89" s="1537"/>
      <c r="P89" s="896">
        <v>0.7</v>
      </c>
      <c r="Q89" s="1998"/>
      <c r="R89" s="1789">
        <v>0.19999999999999996</v>
      </c>
      <c r="S89" s="1998"/>
      <c r="T89" s="1789">
        <v>0</v>
      </c>
      <c r="U89" s="1998"/>
      <c r="V89" s="1789">
        <f t="shared" si="12"/>
        <v>0</v>
      </c>
      <c r="W89" s="1998"/>
      <c r="X89" s="1789"/>
      <c r="Y89" s="1998"/>
      <c r="Z89" s="1789"/>
      <c r="AA89" s="1999"/>
      <c r="AB89" s="2000"/>
      <c r="AC89" s="2002"/>
      <c r="AD89" s="1789">
        <v>1.8</v>
      </c>
      <c r="AE89" s="2032"/>
      <c r="AF89" s="3174"/>
      <c r="AG89" s="1789">
        <v>2</v>
      </c>
      <c r="AH89" s="1073"/>
      <c r="AI89" s="67"/>
      <c r="AJ89" s="895">
        <f>ROUND(SUM(+AD89-AG89),1)</f>
        <v>-0.2</v>
      </c>
      <c r="AK89" s="895"/>
      <c r="AL89" s="1818">
        <f>ROUND(IF(AG89=0,1,AJ89/ABS(AG89)),3)</f>
        <v>-0.1</v>
      </c>
      <c r="AM89" s="1819"/>
    </row>
    <row r="90" spans="1:39" s="887" customFormat="1" ht="15" customHeight="1">
      <c r="A90" s="1070"/>
      <c r="B90" s="1813" t="s">
        <v>27</v>
      </c>
      <c r="C90" s="107"/>
      <c r="D90" s="896">
        <v>9.3000000000000007</v>
      </c>
      <c r="E90" s="1531"/>
      <c r="F90" s="896">
        <v>3.8999999999999986</v>
      </c>
      <c r="G90" s="1531"/>
      <c r="H90" s="896">
        <v>6.3000000000000007</v>
      </c>
      <c r="I90" s="1531"/>
      <c r="J90" s="896">
        <v>8</v>
      </c>
      <c r="K90" s="1537"/>
      <c r="L90" s="896">
        <v>33</v>
      </c>
      <c r="M90" s="1537"/>
      <c r="N90" s="896">
        <v>10.799999999999997</v>
      </c>
      <c r="O90" s="1537"/>
      <c r="P90" s="896">
        <v>15.300000000000011</v>
      </c>
      <c r="Q90" s="1998"/>
      <c r="R90" s="1789">
        <v>9.3000000000000114</v>
      </c>
      <c r="S90" s="1998"/>
      <c r="T90" s="1789">
        <v>15.699999999999989</v>
      </c>
      <c r="U90" s="1998"/>
      <c r="V90" s="1789">
        <f t="shared" si="12"/>
        <v>21.600000000000023</v>
      </c>
      <c r="W90" s="1998"/>
      <c r="X90" s="1789"/>
      <c r="Y90" s="1998"/>
      <c r="Z90" s="1789"/>
      <c r="AA90" s="1999"/>
      <c r="AB90" s="2000"/>
      <c r="AC90" s="2002"/>
      <c r="AD90" s="1789">
        <v>133.20000000000002</v>
      </c>
      <c r="AE90" s="2032"/>
      <c r="AF90" s="3174"/>
      <c r="AG90" s="1789">
        <v>183.29999999999998</v>
      </c>
      <c r="AH90" s="1073"/>
      <c r="AI90" s="67"/>
      <c r="AJ90" s="895">
        <f>ROUND(SUM(+AD90-AG90),1)</f>
        <v>-50.1</v>
      </c>
      <c r="AK90" s="895"/>
      <c r="AL90" s="1818">
        <f>ROUND(IF(AG90=0,0,AJ90/ABS(AG90)),3)</f>
        <v>-0.27300000000000002</v>
      </c>
      <c r="AM90" s="1819"/>
    </row>
    <row r="91" spans="1:39" s="887" customFormat="1" ht="15" customHeight="1">
      <c r="A91" s="1070"/>
      <c r="B91" s="690" t="s">
        <v>1283</v>
      </c>
      <c r="C91" s="107"/>
      <c r="D91" s="896" t="s">
        <v>15</v>
      </c>
      <c r="E91" s="1531"/>
      <c r="F91" s="896"/>
      <c r="G91" s="1531"/>
      <c r="H91" s="896"/>
      <c r="I91" s="1531"/>
      <c r="J91" s="896"/>
      <c r="K91" s="1537"/>
      <c r="L91" s="896"/>
      <c r="M91" s="1537"/>
      <c r="N91" s="896"/>
      <c r="O91" s="1537"/>
      <c r="P91" s="896"/>
      <c r="Q91" s="1998"/>
      <c r="R91" s="1789"/>
      <c r="S91" s="1998"/>
      <c r="T91" s="1789"/>
      <c r="U91" s="1998"/>
      <c r="V91" s="1789"/>
      <c r="W91" s="1998"/>
      <c r="X91" s="1789"/>
      <c r="Y91" s="1998"/>
      <c r="Z91" s="1789"/>
      <c r="AA91" s="1999"/>
      <c r="AB91" s="2000"/>
      <c r="AC91" s="2002"/>
      <c r="AD91" s="1789"/>
      <c r="AE91" s="2032"/>
      <c r="AF91" s="3174"/>
      <c r="AG91" s="1789"/>
      <c r="AH91" s="1073"/>
      <c r="AI91" s="67"/>
      <c r="AJ91" s="895"/>
      <c r="AK91" s="891"/>
      <c r="AL91" s="1818"/>
      <c r="AM91" s="1819"/>
    </row>
    <row r="92" spans="1:39" s="887" customFormat="1" ht="15" customHeight="1">
      <c r="A92" s="1070"/>
      <c r="B92" s="1814" t="s">
        <v>29</v>
      </c>
      <c r="C92" s="107"/>
      <c r="D92" s="896">
        <v>528.29999999999995</v>
      </c>
      <c r="E92" s="1531"/>
      <c r="F92" s="896">
        <v>474.20000000000005</v>
      </c>
      <c r="G92" s="1531"/>
      <c r="H92" s="896">
        <v>30.5</v>
      </c>
      <c r="I92" s="1531"/>
      <c r="J92" s="896">
        <v>823.09999999999991</v>
      </c>
      <c r="K92" s="1537"/>
      <c r="L92" s="896">
        <v>424.70000000000027</v>
      </c>
      <c r="M92" s="1537"/>
      <c r="N92" s="896">
        <v>520.99999999999977</v>
      </c>
      <c r="O92" s="1537"/>
      <c r="P92" s="896">
        <v>417.00000000000023</v>
      </c>
      <c r="Q92" s="1998"/>
      <c r="R92" s="1789">
        <v>461.80000000000018</v>
      </c>
      <c r="S92" s="1998"/>
      <c r="T92" s="1789">
        <v>490.09999999999945</v>
      </c>
      <c r="U92" s="1998"/>
      <c r="V92" s="1789">
        <f t="shared" si="12"/>
        <v>462</v>
      </c>
      <c r="W92" s="1998"/>
      <c r="X92" s="1789"/>
      <c r="Y92" s="1998"/>
      <c r="Z92" s="1789"/>
      <c r="AA92" s="1999"/>
      <c r="AB92" s="2000"/>
      <c r="AC92" s="2002"/>
      <c r="AD92" s="1789">
        <v>4632.7</v>
      </c>
      <c r="AE92" s="2032"/>
      <c r="AF92" s="3174"/>
      <c r="AG92" s="1789">
        <v>5018.3999999999996</v>
      </c>
      <c r="AH92" s="1073"/>
      <c r="AI92" s="67"/>
      <c r="AJ92" s="895">
        <f t="shared" ref="AJ92:AJ97" si="13">ROUND(SUM(+AD92-AG92),1)</f>
        <v>-385.7</v>
      </c>
      <c r="AK92" s="895"/>
      <c r="AL92" s="1829">
        <f t="shared" ref="AL92:AL97" si="14">ROUND(IF(AG92=0,0,AJ92/ABS(AG92)),3)</f>
        <v>-7.6999999999999999E-2</v>
      </c>
      <c r="AM92" s="1819"/>
    </row>
    <row r="93" spans="1:39" s="887" customFormat="1" ht="15" customHeight="1">
      <c r="A93" s="1070"/>
      <c r="B93" s="1813" t="s">
        <v>30</v>
      </c>
      <c r="C93" s="107"/>
      <c r="D93" s="896">
        <v>29.6</v>
      </c>
      <c r="E93" s="1531"/>
      <c r="F93" s="896">
        <v>25.5</v>
      </c>
      <c r="G93" s="1531"/>
      <c r="H93" s="896">
        <v>67.400000000000006</v>
      </c>
      <c r="I93" s="1531"/>
      <c r="J93" s="896">
        <v>52.200000000000017</v>
      </c>
      <c r="K93" s="1537"/>
      <c r="L93" s="896">
        <v>45.299999999999983</v>
      </c>
      <c r="M93" s="1537"/>
      <c r="N93" s="896">
        <v>190.79999999999995</v>
      </c>
      <c r="O93" s="1537"/>
      <c r="P93" s="896">
        <v>55.399999999999949</v>
      </c>
      <c r="Q93" s="1998"/>
      <c r="R93" s="1789">
        <v>53.300000000000097</v>
      </c>
      <c r="S93" s="1998"/>
      <c r="T93" s="1789">
        <v>95</v>
      </c>
      <c r="U93" s="1998"/>
      <c r="V93" s="1789">
        <f t="shared" si="12"/>
        <v>114.49999999999997</v>
      </c>
      <c r="W93" s="1998"/>
      <c r="X93" s="1789"/>
      <c r="Y93" s="1998"/>
      <c r="Z93" s="1789"/>
      <c r="AA93" s="1999"/>
      <c r="AB93" s="2000"/>
      <c r="AC93" s="2002"/>
      <c r="AD93" s="1789">
        <v>729</v>
      </c>
      <c r="AE93" s="2032"/>
      <c r="AF93" s="3174"/>
      <c r="AG93" s="1789">
        <v>762.3</v>
      </c>
      <c r="AH93" s="1073"/>
      <c r="AI93" s="67"/>
      <c r="AJ93" s="895">
        <f t="shared" si="13"/>
        <v>-33.299999999999997</v>
      </c>
      <c r="AK93" s="895"/>
      <c r="AL93" s="1818">
        <f t="shared" si="14"/>
        <v>-4.3999999999999997E-2</v>
      </c>
      <c r="AM93" s="1819"/>
    </row>
    <row r="94" spans="1:39" s="887" customFormat="1" ht="15" customHeight="1">
      <c r="A94" s="1070"/>
      <c r="B94" s="1813" t="s">
        <v>31</v>
      </c>
      <c r="C94" s="107"/>
      <c r="D94" s="896">
        <v>18</v>
      </c>
      <c r="E94" s="1531"/>
      <c r="F94" s="896">
        <v>9.6999999999999993</v>
      </c>
      <c r="G94" s="1531"/>
      <c r="H94" s="896">
        <v>4.1999999999999993</v>
      </c>
      <c r="I94" s="1531"/>
      <c r="J94" s="896">
        <v>14.200000000000003</v>
      </c>
      <c r="K94" s="1537"/>
      <c r="L94" s="896">
        <v>21.499999999999986</v>
      </c>
      <c r="M94" s="1537"/>
      <c r="N94" s="896">
        <v>20.5</v>
      </c>
      <c r="O94" s="1537"/>
      <c r="P94" s="896">
        <v>10</v>
      </c>
      <c r="Q94" s="1998"/>
      <c r="R94" s="1789">
        <v>-10.399999999999991</v>
      </c>
      <c r="S94" s="1998"/>
      <c r="T94" s="1789">
        <v>20.399999999999991</v>
      </c>
      <c r="U94" s="1998"/>
      <c r="V94" s="1789">
        <f t="shared" si="12"/>
        <v>9.3000000000000114</v>
      </c>
      <c r="W94" s="1998"/>
      <c r="X94" s="1789"/>
      <c r="Y94" s="1998"/>
      <c r="Z94" s="1789"/>
      <c r="AA94" s="1999"/>
      <c r="AB94" s="2000"/>
      <c r="AC94" s="2002"/>
      <c r="AD94" s="1789">
        <v>117.4</v>
      </c>
      <c r="AE94" s="2032"/>
      <c r="AF94" s="3174"/>
      <c r="AG94" s="1789">
        <v>112.2</v>
      </c>
      <c r="AH94" s="1073"/>
      <c r="AI94" s="67"/>
      <c r="AJ94" s="895">
        <f t="shared" si="13"/>
        <v>5.2</v>
      </c>
      <c r="AK94" s="895"/>
      <c r="AL94" s="1818">
        <f t="shared" si="14"/>
        <v>4.5999999999999999E-2</v>
      </c>
      <c r="AM94" s="1819"/>
    </row>
    <row r="95" spans="1:39" s="887" customFormat="1" ht="15" customHeight="1">
      <c r="A95" s="1070"/>
      <c r="B95" s="1813" t="s">
        <v>32</v>
      </c>
      <c r="C95" s="107"/>
      <c r="D95" s="896">
        <v>0.1</v>
      </c>
      <c r="E95" s="1531"/>
      <c r="F95" s="896">
        <v>0.19999999999999998</v>
      </c>
      <c r="G95" s="1531"/>
      <c r="H95" s="896">
        <v>0</v>
      </c>
      <c r="I95" s="1531"/>
      <c r="J95" s="896">
        <v>0.60000000000000009</v>
      </c>
      <c r="K95" s="1537"/>
      <c r="L95" s="896">
        <v>0</v>
      </c>
      <c r="M95" s="1537"/>
      <c r="N95" s="896">
        <v>9.9999999999999978E-2</v>
      </c>
      <c r="O95" s="1537"/>
      <c r="P95" s="896">
        <v>0</v>
      </c>
      <c r="Q95" s="1998"/>
      <c r="R95" s="1789">
        <v>0</v>
      </c>
      <c r="S95" s="1998"/>
      <c r="T95" s="1789">
        <v>0.8999999999999998</v>
      </c>
      <c r="U95" s="1998"/>
      <c r="V95" s="1789">
        <f t="shared" si="12"/>
        <v>-1.2999999999999998</v>
      </c>
      <c r="W95" s="1998"/>
      <c r="X95" s="1789"/>
      <c r="Y95" s="1998"/>
      <c r="Z95" s="1789"/>
      <c r="AA95" s="1999"/>
      <c r="AB95" s="2000"/>
      <c r="AC95" s="2002"/>
      <c r="AD95" s="1789">
        <v>0.6</v>
      </c>
      <c r="AE95" s="2032"/>
      <c r="AF95" s="3174"/>
      <c r="AG95" s="1789">
        <v>3.7</v>
      </c>
      <c r="AH95" s="1073"/>
      <c r="AI95" s="67"/>
      <c r="AJ95" s="895">
        <f t="shared" si="13"/>
        <v>-3.1</v>
      </c>
      <c r="AK95" s="895"/>
      <c r="AL95" s="1818">
        <f t="shared" si="14"/>
        <v>-0.83799999999999997</v>
      </c>
      <c r="AM95" s="1819"/>
    </row>
    <row r="96" spans="1:39" s="887" customFormat="1" ht="15" customHeight="1">
      <c r="A96" s="1070"/>
      <c r="B96" s="1813" t="s">
        <v>33</v>
      </c>
      <c r="C96" s="107"/>
      <c r="D96" s="896">
        <v>0</v>
      </c>
      <c r="E96" s="1531"/>
      <c r="F96" s="896">
        <v>0.4</v>
      </c>
      <c r="G96" s="1531"/>
      <c r="H96" s="896">
        <v>4.3999999999999995</v>
      </c>
      <c r="I96" s="1531"/>
      <c r="J96" s="896">
        <v>0.60000000000000053</v>
      </c>
      <c r="K96" s="1537"/>
      <c r="L96" s="896">
        <v>6.6999999999999993</v>
      </c>
      <c r="M96" s="1537"/>
      <c r="N96" s="896">
        <v>5.3000000000000007</v>
      </c>
      <c r="O96" s="1537"/>
      <c r="P96" s="896">
        <v>0.70000000000000284</v>
      </c>
      <c r="Q96" s="1998"/>
      <c r="R96" s="1789">
        <v>18.699999999999996</v>
      </c>
      <c r="S96" s="1998"/>
      <c r="T96" s="1789">
        <v>0.80000000000000426</v>
      </c>
      <c r="U96" s="1998"/>
      <c r="V96" s="1789">
        <f t="shared" si="12"/>
        <v>1</v>
      </c>
      <c r="W96" s="1998"/>
      <c r="X96" s="1789"/>
      <c r="Y96" s="1998"/>
      <c r="Z96" s="1789"/>
      <c r="AA96" s="1999"/>
      <c r="AB96" s="2000"/>
      <c r="AC96" s="2002"/>
      <c r="AD96" s="1789">
        <v>38.6</v>
      </c>
      <c r="AE96" s="2032"/>
      <c r="AF96" s="3174"/>
      <c r="AG96" s="1789">
        <v>45.3</v>
      </c>
      <c r="AH96" s="1073"/>
      <c r="AI96" s="67"/>
      <c r="AJ96" s="895">
        <f t="shared" si="13"/>
        <v>-6.7</v>
      </c>
      <c r="AK96" s="895"/>
      <c r="AL96" s="1829">
        <f>ROUND(IF(AG96=0,0,AJ96/ABS(AG96)),3)</f>
        <v>-0.14799999999999999</v>
      </c>
      <c r="AM96" s="1819"/>
    </row>
    <row r="97" spans="1:39" s="887" customFormat="1" ht="15" customHeight="1">
      <c r="A97" s="1070"/>
      <c r="B97" s="1813" t="s">
        <v>34</v>
      </c>
      <c r="C97" s="107"/>
      <c r="D97" s="896">
        <v>61.6</v>
      </c>
      <c r="E97" s="1531"/>
      <c r="F97" s="896">
        <v>41.699999999999996</v>
      </c>
      <c r="G97" s="1531"/>
      <c r="H97" s="896">
        <v>18.5</v>
      </c>
      <c r="I97" s="1531"/>
      <c r="J97" s="896">
        <v>701.8</v>
      </c>
      <c r="K97" s="1537"/>
      <c r="L97" s="896">
        <v>345.20000000000005</v>
      </c>
      <c r="M97" s="1537"/>
      <c r="N97" s="896">
        <v>241.10000000000014</v>
      </c>
      <c r="O97" s="1537"/>
      <c r="P97" s="896">
        <v>253.5</v>
      </c>
      <c r="Q97" s="1998"/>
      <c r="R97" s="1789">
        <v>432.19999999999982</v>
      </c>
      <c r="S97" s="1998"/>
      <c r="T97" s="1789">
        <v>757.00000000000023</v>
      </c>
      <c r="U97" s="1998"/>
      <c r="V97" s="1789">
        <f t="shared" si="12"/>
        <v>70.400000000000318</v>
      </c>
      <c r="W97" s="1998"/>
      <c r="X97" s="1789"/>
      <c r="Y97" s="1998"/>
      <c r="Z97" s="1789"/>
      <c r="AA97" s="1999"/>
      <c r="AB97" s="2000"/>
      <c r="AC97" s="2002"/>
      <c r="AD97" s="1789">
        <v>2923</v>
      </c>
      <c r="AE97" s="2032"/>
      <c r="AF97" s="3174"/>
      <c r="AG97" s="1789">
        <v>3247.3</v>
      </c>
      <c r="AH97" s="1073"/>
      <c r="AI97" s="67"/>
      <c r="AJ97" s="895">
        <f t="shared" si="13"/>
        <v>-324.3</v>
      </c>
      <c r="AK97" s="895"/>
      <c r="AL97" s="1818">
        <f t="shared" si="14"/>
        <v>-0.1</v>
      </c>
      <c r="AM97" s="1819"/>
    </row>
    <row r="98" spans="1:39" ht="15" customHeight="1">
      <c r="A98" s="150"/>
      <c r="B98" s="29" t="s">
        <v>1178</v>
      </c>
      <c r="C98" s="31"/>
      <c r="D98" s="294">
        <f>ROUND(SUM(D88:D97),1)</f>
        <v>647</v>
      </c>
      <c r="E98" s="922"/>
      <c r="F98" s="294">
        <f>ROUND(SUM(F88:F97),1)</f>
        <v>590.9</v>
      </c>
      <c r="G98" s="922"/>
      <c r="H98" s="294">
        <f>ROUND(SUM(H88:H97),1)</f>
        <v>428.3</v>
      </c>
      <c r="I98" s="922"/>
      <c r="J98" s="294">
        <f>ROUND(SUM(J88:J97),1)</f>
        <v>1601</v>
      </c>
      <c r="K98" s="922"/>
      <c r="L98" s="294">
        <f>ROUND(SUM(L88:L97),1)</f>
        <v>876.3</v>
      </c>
      <c r="M98" s="922"/>
      <c r="N98" s="294">
        <f>ROUND(SUM(N88:N97),1)</f>
        <v>3280.3</v>
      </c>
      <c r="O98" s="922"/>
      <c r="P98" s="2016">
        <f>ROUND(SUM(P88:P97),1)</f>
        <v>901.6</v>
      </c>
      <c r="Q98" s="1461"/>
      <c r="R98" s="2016">
        <f>ROUND(SUM(R88:R97),1)</f>
        <v>1113.2</v>
      </c>
      <c r="S98" s="1461"/>
      <c r="T98" s="2016">
        <f>ROUND(SUM(T88:T97),1)</f>
        <v>1554.6</v>
      </c>
      <c r="U98" s="1461"/>
      <c r="V98" s="2016">
        <f>ROUND(SUM(V88:V97),1)</f>
        <v>2805.9</v>
      </c>
      <c r="W98" s="1461"/>
      <c r="X98" s="2016">
        <f>ROUND(SUM(X88:X97),1)</f>
        <v>0</v>
      </c>
      <c r="Y98" s="1461"/>
      <c r="Z98" s="2016">
        <f>ROUND(SUM(Z88:Z97),1)</f>
        <v>0</v>
      </c>
      <c r="AA98" s="1444"/>
      <c r="AB98" s="1461"/>
      <c r="AC98" s="2040"/>
      <c r="AD98" s="2017">
        <f>ROUND(SUM(AD88:AD97),1)</f>
        <v>13799.1</v>
      </c>
      <c r="AE98" s="1462"/>
      <c r="AF98" s="3158"/>
      <c r="AG98" s="2017">
        <f>ROUND(SUM(AG88:AG97),1)</f>
        <v>14973.5</v>
      </c>
      <c r="AH98" s="282"/>
      <c r="AI98" s="76"/>
      <c r="AJ98" s="61">
        <f>ROUND(SUM(AD98-AG98),1)</f>
        <v>-1174.4000000000001</v>
      </c>
      <c r="AK98" s="166"/>
      <c r="AL98" s="1434">
        <f>ROUND(SUM((AD98-AG98)/ABS(AG98)),3)</f>
        <v>-7.8E-2</v>
      </c>
      <c r="AM98" s="784"/>
    </row>
    <row r="99" spans="1:39" ht="15" customHeight="1">
      <c r="A99" s="150"/>
      <c r="B99" s="31" t="s">
        <v>169</v>
      </c>
      <c r="C99" s="31"/>
      <c r="D99" s="1531"/>
      <c r="E99" s="1531"/>
      <c r="F99" s="1531"/>
      <c r="G99" s="1531"/>
      <c r="H99" s="1531"/>
      <c r="I99" s="1531"/>
      <c r="J99" s="1531"/>
      <c r="K99" s="66"/>
      <c r="L99" s="66"/>
      <c r="M99" s="66"/>
      <c r="N99" s="66"/>
      <c r="O99" s="66"/>
      <c r="P99" s="2006"/>
      <c r="Q99" s="2006"/>
      <c r="R99" s="2006"/>
      <c r="S99" s="2006"/>
      <c r="T99" s="2006"/>
      <c r="U99" s="2006"/>
      <c r="V99" s="2006"/>
      <c r="W99" s="2006"/>
      <c r="X99" s="2006"/>
      <c r="Y99" s="2006"/>
      <c r="Z99" s="2006"/>
      <c r="AA99" s="2006"/>
      <c r="AB99" s="2006"/>
      <c r="AC99" s="2037"/>
      <c r="AD99" s="1995"/>
      <c r="AE99" s="1995"/>
      <c r="AF99" s="1997"/>
      <c r="AG99" s="1995"/>
      <c r="AH99" s="275"/>
      <c r="AI99" s="56"/>
      <c r="AJ99" s="643"/>
      <c r="AK99" s="920"/>
      <c r="AL99" s="1432"/>
      <c r="AM99" s="784"/>
    </row>
    <row r="100" spans="1:39" s="887" customFormat="1" ht="15" customHeight="1">
      <c r="A100" s="1070"/>
      <c r="B100" s="107" t="s">
        <v>153</v>
      </c>
      <c r="C100" s="107"/>
      <c r="D100" s="896">
        <v>601.1</v>
      </c>
      <c r="E100" s="1531"/>
      <c r="F100" s="896">
        <v>393.6</v>
      </c>
      <c r="G100" s="1531"/>
      <c r="H100" s="896">
        <v>390.89999999999986</v>
      </c>
      <c r="I100" s="1531"/>
      <c r="J100" s="896">
        <v>375.19999999999993</v>
      </c>
      <c r="K100" s="1537"/>
      <c r="L100" s="896">
        <v>326.9000000000002</v>
      </c>
      <c r="M100" s="1537"/>
      <c r="N100" s="896">
        <v>607.20000000000027</v>
      </c>
      <c r="O100" s="1537"/>
      <c r="P100" s="896">
        <v>389.4</v>
      </c>
      <c r="Q100" s="1998"/>
      <c r="R100" s="1789">
        <v>361.20000000000039</v>
      </c>
      <c r="S100" s="1998"/>
      <c r="T100" s="1789">
        <v>387.5</v>
      </c>
      <c r="U100" s="1998"/>
      <c r="V100" s="1789">
        <f t="shared" ref="V100:V103" si="15">$AD100-$D100-$F100-$H100-$J100-$L100-$N100-$P100-$R100-$T100</f>
        <v>369.30000000000007</v>
      </c>
      <c r="W100" s="1998"/>
      <c r="X100" s="1789"/>
      <c r="Y100" s="1998"/>
      <c r="Z100" s="1789"/>
      <c r="AA100" s="1999"/>
      <c r="AB100" s="2000"/>
      <c r="AC100" s="2002"/>
      <c r="AD100" s="1789">
        <v>4202.3</v>
      </c>
      <c r="AE100" s="2032"/>
      <c r="AF100" s="3174"/>
      <c r="AG100" s="1789">
        <v>4330.1000000000004</v>
      </c>
      <c r="AH100" s="1073"/>
      <c r="AI100" s="67"/>
      <c r="AJ100" s="895">
        <f>ROUND(SUM(+AD100-AG100),1)</f>
        <v>-127.8</v>
      </c>
      <c r="AK100" s="895"/>
      <c r="AL100" s="1818">
        <f>ROUND(IF(AG100=0,0,AJ100/ABS(AG100)),3)</f>
        <v>-0.03</v>
      </c>
      <c r="AM100" s="1819"/>
    </row>
    <row r="101" spans="1:39" s="887" customFormat="1" ht="15" customHeight="1">
      <c r="A101" s="1070"/>
      <c r="B101" s="107" t="s">
        <v>170</v>
      </c>
      <c r="C101" s="107"/>
      <c r="D101" s="896">
        <v>230.1</v>
      </c>
      <c r="E101" s="1531"/>
      <c r="F101" s="896">
        <v>176.79999999999998</v>
      </c>
      <c r="G101" s="1531"/>
      <c r="H101" s="896">
        <v>158.70000000000002</v>
      </c>
      <c r="I101" s="1531"/>
      <c r="J101" s="896">
        <v>192.69999999999996</v>
      </c>
      <c r="K101" s="1537"/>
      <c r="L101" s="896">
        <v>159.20000000000002</v>
      </c>
      <c r="M101" s="1537"/>
      <c r="N101" s="896">
        <v>260.09999999999991</v>
      </c>
      <c r="O101" s="1537"/>
      <c r="P101" s="896">
        <v>248.4000000000002</v>
      </c>
      <c r="Q101" s="1998"/>
      <c r="R101" s="1789">
        <v>221.29999999999995</v>
      </c>
      <c r="S101" s="1998"/>
      <c r="T101" s="1789">
        <v>202.99999999999989</v>
      </c>
      <c r="U101" s="1998"/>
      <c r="V101" s="1789">
        <f t="shared" si="15"/>
        <v>237.29999999999995</v>
      </c>
      <c r="W101" s="1998"/>
      <c r="X101" s="1789"/>
      <c r="Y101" s="1998"/>
      <c r="Z101" s="1789"/>
      <c r="AA101" s="1999"/>
      <c r="AB101" s="2000"/>
      <c r="AC101" s="2002"/>
      <c r="AD101" s="1789">
        <v>2087.6</v>
      </c>
      <c r="AE101" s="2032"/>
      <c r="AF101" s="3174"/>
      <c r="AG101" s="1789">
        <v>2454.5</v>
      </c>
      <c r="AH101" s="1073"/>
      <c r="AI101" s="67"/>
      <c r="AJ101" s="895">
        <f>ROUND(SUM(+AD101-AG101),1)</f>
        <v>-366.9</v>
      </c>
      <c r="AK101" s="895"/>
      <c r="AL101" s="1818">
        <f>ROUND(IF(AG101=0,0,AJ101/ABS(AG101)),3)</f>
        <v>-0.14899999999999999</v>
      </c>
      <c r="AM101" s="1819"/>
    </row>
    <row r="102" spans="1:39" s="887" customFormat="1" ht="15" customHeight="1">
      <c r="A102" s="1070"/>
      <c r="B102" s="107" t="s">
        <v>171</v>
      </c>
      <c r="C102" s="107"/>
      <c r="D102" s="896">
        <v>52.3</v>
      </c>
      <c r="E102" s="1531"/>
      <c r="F102" s="896">
        <v>39.799999999999997</v>
      </c>
      <c r="G102" s="1531"/>
      <c r="H102" s="896">
        <v>70.700000000000017</v>
      </c>
      <c r="I102" s="1531"/>
      <c r="J102" s="896">
        <v>52.3</v>
      </c>
      <c r="K102" s="1537"/>
      <c r="L102" s="896">
        <v>72.199999999999974</v>
      </c>
      <c r="M102" s="1537"/>
      <c r="N102" s="896">
        <v>116.30000000000003</v>
      </c>
      <c r="O102" s="1537"/>
      <c r="P102" s="896">
        <v>46.599999999999952</v>
      </c>
      <c r="Q102" s="1998"/>
      <c r="R102" s="1789">
        <v>128.70000000000005</v>
      </c>
      <c r="S102" s="1998"/>
      <c r="T102" s="1789">
        <v>99.800000000000068</v>
      </c>
      <c r="U102" s="1998"/>
      <c r="V102" s="1789">
        <f t="shared" si="15"/>
        <v>59.699999999999989</v>
      </c>
      <c r="W102" s="1998"/>
      <c r="X102" s="1789"/>
      <c r="Y102" s="1998"/>
      <c r="Z102" s="1789"/>
      <c r="AA102" s="1999"/>
      <c r="AB102" s="2000"/>
      <c r="AC102" s="2002"/>
      <c r="AD102" s="1789">
        <v>738.4</v>
      </c>
      <c r="AE102" s="2032"/>
      <c r="AF102" s="3174"/>
      <c r="AG102" s="1789">
        <v>836.3</v>
      </c>
      <c r="AH102" s="1073"/>
      <c r="AI102" s="67"/>
      <c r="AJ102" s="895">
        <f>ROUND(SUM(+AD102-AG102),1)</f>
        <v>-97.9</v>
      </c>
      <c r="AK102" s="895"/>
      <c r="AL102" s="1818">
        <f>ROUND(IF(AG102=0,0,AJ102/ABS(AG102)),3)</f>
        <v>-0.11700000000000001</v>
      </c>
      <c r="AM102" s="1819"/>
    </row>
    <row r="103" spans="1:39" s="887" customFormat="1" ht="15" customHeight="1">
      <c r="A103" s="1070"/>
      <c r="B103" s="107" t="s">
        <v>172</v>
      </c>
      <c r="C103" s="107"/>
      <c r="D103" s="896">
        <v>0</v>
      </c>
      <c r="E103" s="1531"/>
      <c r="F103" s="896">
        <v>0</v>
      </c>
      <c r="G103" s="1531"/>
      <c r="H103" s="896">
        <v>0</v>
      </c>
      <c r="I103" s="1531"/>
      <c r="J103" s="896">
        <v>0</v>
      </c>
      <c r="K103" s="1537"/>
      <c r="L103" s="896">
        <v>0</v>
      </c>
      <c r="M103" s="1537"/>
      <c r="N103" s="896">
        <v>0</v>
      </c>
      <c r="O103" s="1537"/>
      <c r="P103" s="896">
        <v>0</v>
      </c>
      <c r="Q103" s="1998"/>
      <c r="R103" s="1789">
        <v>0</v>
      </c>
      <c r="S103" s="1998"/>
      <c r="T103" s="1789">
        <v>0</v>
      </c>
      <c r="U103" s="1998"/>
      <c r="V103" s="1789">
        <f t="shared" si="15"/>
        <v>0</v>
      </c>
      <c r="W103" s="1998"/>
      <c r="X103" s="1789"/>
      <c r="Y103" s="1998"/>
      <c r="Z103" s="1789"/>
      <c r="AA103" s="1999"/>
      <c r="AB103" s="2000"/>
      <c r="AC103" s="2002"/>
      <c r="AD103" s="1789">
        <v>0</v>
      </c>
      <c r="AE103" s="2032"/>
      <c r="AF103" s="3174"/>
      <c r="AG103" s="1789">
        <v>0</v>
      </c>
      <c r="AH103" s="1073"/>
      <c r="AI103" s="67"/>
      <c r="AJ103" s="895">
        <f>ROUND(SUM(+AD103-AG103),1)</f>
        <v>0</v>
      </c>
      <c r="AK103" s="895"/>
      <c r="AL103" s="1724">
        <f>ROUND(IF(AG103=0,0,AJ103/ABS(AG103)),3)</f>
        <v>0</v>
      </c>
      <c r="AM103" s="1819"/>
    </row>
    <row r="104" spans="1:39" ht="15" customHeight="1">
      <c r="A104" s="150"/>
      <c r="B104" s="31"/>
      <c r="C104" s="31"/>
      <c r="D104" s="688"/>
      <c r="E104" s="1531"/>
      <c r="F104" s="688"/>
      <c r="G104" s="1531"/>
      <c r="H104" s="688"/>
      <c r="I104" s="1531"/>
      <c r="J104" s="688"/>
      <c r="K104" s="66"/>
      <c r="L104" s="88"/>
      <c r="M104" s="66"/>
      <c r="N104" s="88"/>
      <c r="O104" s="66"/>
      <c r="P104" s="2005"/>
      <c r="Q104" s="2006"/>
      <c r="R104" s="2005"/>
      <c r="S104" s="2006"/>
      <c r="T104" s="2005"/>
      <c r="U104" s="2006"/>
      <c r="V104" s="2005"/>
      <c r="W104" s="2006"/>
      <c r="X104" s="2005"/>
      <c r="Y104" s="2006"/>
      <c r="Z104" s="2005"/>
      <c r="AA104" s="2007"/>
      <c r="AB104" s="2006"/>
      <c r="AC104" s="2037"/>
      <c r="AD104" s="2051"/>
      <c r="AE104" s="1977"/>
      <c r="AF104" s="1997"/>
      <c r="AG104" s="2051"/>
      <c r="AH104" s="275"/>
      <c r="AI104" s="56"/>
      <c r="AJ104" s="1405"/>
      <c r="AK104" s="920"/>
      <c r="AL104" s="1446"/>
      <c r="AM104" s="784"/>
    </row>
    <row r="105" spans="1:39" ht="15" customHeight="1">
      <c r="A105" s="150"/>
      <c r="B105" s="29" t="s">
        <v>156</v>
      </c>
      <c r="C105" s="31"/>
      <c r="D105" s="922">
        <f>ROUND(SUM(D98:D103),1)</f>
        <v>1530.5</v>
      </c>
      <c r="E105" s="922"/>
      <c r="F105" s="922">
        <f>ROUND(SUM(F98:F103),1)</f>
        <v>1201.0999999999999</v>
      </c>
      <c r="G105" s="922"/>
      <c r="H105" s="922">
        <f>ROUND(SUM(H98:H103),1)</f>
        <v>1048.5999999999999</v>
      </c>
      <c r="I105" s="922"/>
      <c r="J105" s="922">
        <f>ROUND(SUM(J98:J103),1)</f>
        <v>2221.1999999999998</v>
      </c>
      <c r="K105" s="922"/>
      <c r="L105" s="922">
        <f>ROUND(SUM(L98:L103),1)</f>
        <v>1434.6</v>
      </c>
      <c r="M105" s="922"/>
      <c r="N105" s="922">
        <f>ROUND(SUM(N98:N103),1)</f>
        <v>4263.8999999999996</v>
      </c>
      <c r="O105" s="922"/>
      <c r="P105" s="1461">
        <f>ROUND(SUM(P98:P103),1)</f>
        <v>1586</v>
      </c>
      <c r="Q105" s="1461"/>
      <c r="R105" s="1461">
        <f>ROUND(SUM(R98:R103),1)</f>
        <v>1824.4</v>
      </c>
      <c r="S105" s="1461"/>
      <c r="T105" s="1461">
        <f>ROUND(SUM(T98:T103),1)</f>
        <v>2244.9</v>
      </c>
      <c r="U105" s="1461"/>
      <c r="V105" s="1461">
        <f>ROUND(SUM(V98:V103),1)</f>
        <v>3472.2</v>
      </c>
      <c r="W105" s="1461"/>
      <c r="X105" s="1461">
        <f>ROUND(SUM(X98:X103),1)</f>
        <v>0</v>
      </c>
      <c r="Y105" s="1461"/>
      <c r="Z105" s="1461">
        <f>ROUND(SUM(Z98:Z103),1)</f>
        <v>0</v>
      </c>
      <c r="AA105" s="1461"/>
      <c r="AB105" s="1461"/>
      <c r="AC105" s="2040"/>
      <c r="AD105" s="2050">
        <f>ROUND(SUM(AD98:AD103),1)</f>
        <v>20827.400000000001</v>
      </c>
      <c r="AE105" s="1462"/>
      <c r="AF105" s="3158"/>
      <c r="AG105" s="2050">
        <f>ROUND(SUM(AG98:AG103),1)</f>
        <v>22594.400000000001</v>
      </c>
      <c r="AH105" s="282"/>
      <c r="AI105" s="76"/>
      <c r="AJ105" s="74">
        <f>ROUND(SUM(AD105-AG105),1)</f>
        <v>-1767</v>
      </c>
      <c r="AK105" s="210"/>
      <c r="AL105" s="1435">
        <f>ROUND(SUM((AD105-AG105)/ABS(AG105)),3)</f>
        <v>-7.8E-2</v>
      </c>
      <c r="AM105" s="784"/>
    </row>
    <row r="106" spans="1:39" ht="15" customHeight="1">
      <c r="A106" s="150"/>
      <c r="B106" s="31"/>
      <c r="C106" s="31"/>
      <c r="D106" s="688"/>
      <c r="E106" s="1531"/>
      <c r="F106" s="688"/>
      <c r="G106" s="1531"/>
      <c r="H106" s="688"/>
      <c r="I106" s="1531"/>
      <c r="J106" s="688"/>
      <c r="K106" s="66"/>
      <c r="L106" s="88"/>
      <c r="M106" s="66"/>
      <c r="N106" s="88"/>
      <c r="O106" s="66"/>
      <c r="P106" s="2005"/>
      <c r="Q106" s="2006"/>
      <c r="R106" s="2005"/>
      <c r="S106" s="2006"/>
      <c r="T106" s="2005"/>
      <c r="U106" s="2006"/>
      <c r="V106" s="2005"/>
      <c r="W106" s="2006"/>
      <c r="X106" s="2005"/>
      <c r="Y106" s="2006"/>
      <c r="Z106" s="2005"/>
      <c r="AA106" s="2007"/>
      <c r="AB106" s="2006"/>
      <c r="AC106" s="2037"/>
      <c r="AD106" s="2051"/>
      <c r="AE106" s="1977"/>
      <c r="AF106" s="1997"/>
      <c r="AG106" s="2051"/>
      <c r="AH106" s="275"/>
      <c r="AI106" s="56"/>
      <c r="AJ106" s="643"/>
      <c r="AK106" s="920"/>
      <c r="AL106" s="1432"/>
      <c r="AM106" s="784"/>
    </row>
    <row r="107" spans="1:39" ht="15" customHeight="1">
      <c r="A107" s="150"/>
      <c r="B107" s="29" t="s">
        <v>157</v>
      </c>
      <c r="C107" s="31"/>
      <c r="D107" s="1531"/>
      <c r="E107" s="1531"/>
      <c r="F107" s="1531"/>
      <c r="G107" s="1531"/>
      <c r="H107" s="1531"/>
      <c r="I107" s="1531"/>
      <c r="J107" s="1531"/>
      <c r="K107" s="66"/>
      <c r="L107" s="66"/>
      <c r="M107" s="66"/>
      <c r="N107" s="66"/>
      <c r="O107" s="66"/>
      <c r="P107" s="2006"/>
      <c r="Q107" s="2006"/>
      <c r="R107" s="2006"/>
      <c r="S107" s="2006"/>
      <c r="T107" s="2006"/>
      <c r="U107" s="2006"/>
      <c r="V107" s="2006"/>
      <c r="W107" s="2006"/>
      <c r="X107" s="2006"/>
      <c r="Y107" s="2006"/>
      <c r="Z107" s="2006"/>
      <c r="AA107" s="2006"/>
      <c r="AB107" s="2006"/>
      <c r="AC107" s="2037"/>
      <c r="AD107" s="1995"/>
      <c r="AE107" s="1977"/>
      <c r="AF107" s="1997"/>
      <c r="AG107" s="1995"/>
      <c r="AH107" s="275"/>
      <c r="AI107" s="56"/>
      <c r="AJ107" s="943"/>
      <c r="AK107" s="920"/>
      <c r="AL107" s="1432"/>
      <c r="AM107" s="784"/>
    </row>
    <row r="108" spans="1:39" ht="15" customHeight="1">
      <c r="A108" s="150"/>
      <c r="B108" s="29" t="s">
        <v>45</v>
      </c>
      <c r="C108" s="31"/>
      <c r="D108" s="922">
        <f>ROUND(SUM(D84-D105),1)</f>
        <v>70.099999999999994</v>
      </c>
      <c r="E108" s="922"/>
      <c r="F108" s="922">
        <f>ROUND(SUM(F84-F105),1)</f>
        <v>-32.9</v>
      </c>
      <c r="G108" s="922"/>
      <c r="H108" s="922">
        <f>ROUND(SUM(H84-H105),1)</f>
        <v>661.6</v>
      </c>
      <c r="I108" s="922"/>
      <c r="J108" s="922">
        <f>ROUND(SUM(J84-J105),1)</f>
        <v>-684.4</v>
      </c>
      <c r="K108" s="922"/>
      <c r="L108" s="922">
        <f>ROUND(SUM(L84-L105),1)</f>
        <v>-43.8</v>
      </c>
      <c r="M108" s="922"/>
      <c r="N108" s="922">
        <f>ROUND(SUM(N84-N105),1)</f>
        <v>-2004</v>
      </c>
      <c r="O108" s="922"/>
      <c r="P108" s="1461">
        <f>ROUND(SUM(P84-P105),1)</f>
        <v>289.60000000000002</v>
      </c>
      <c r="Q108" s="1461"/>
      <c r="R108" s="1461">
        <f>ROUND(SUM(R84-R105),1)</f>
        <v>-511</v>
      </c>
      <c r="S108" s="1461"/>
      <c r="T108" s="1461">
        <f>ROUND(SUM(T84-T105),1)</f>
        <v>-304.3</v>
      </c>
      <c r="U108" s="1461"/>
      <c r="V108" s="1461">
        <f>ROUND(SUM(V84-V105),1)</f>
        <v>275.89999999999998</v>
      </c>
      <c r="W108" s="1461"/>
      <c r="X108" s="1461">
        <f>ROUND(SUM(X84-X105),1)</f>
        <v>0</v>
      </c>
      <c r="Y108" s="1461"/>
      <c r="Z108" s="1461">
        <f>ROUND(SUM(Z84-Z105),1)</f>
        <v>0</v>
      </c>
      <c r="AA108" s="1461"/>
      <c r="AB108" s="1461"/>
      <c r="AC108" s="2040"/>
      <c r="AD108" s="2050">
        <f>ROUND(SUM(AD84-AD105),1)</f>
        <v>-2283.1999999999998</v>
      </c>
      <c r="AE108" s="1462"/>
      <c r="AF108" s="3158"/>
      <c r="AG108" s="2050">
        <f>ROUND(SUM(AG84-AG105),1)</f>
        <v>-1513.8</v>
      </c>
      <c r="AH108" s="282"/>
      <c r="AI108" s="76"/>
      <c r="AJ108" s="74">
        <f>ROUND(SUM(AD108-AG108),1)</f>
        <v>-769.4</v>
      </c>
      <c r="AK108" s="209"/>
      <c r="AL108" s="3586">
        <f>ROUND(IF(AG108=0,0,AJ108/ABS(AG108)),3)</f>
        <v>-0.50800000000000001</v>
      </c>
      <c r="AM108" s="784"/>
    </row>
    <row r="109" spans="1:39" ht="15" customHeight="1">
      <c r="A109" s="150"/>
      <c r="B109" s="31"/>
      <c r="C109" s="31"/>
      <c r="D109" s="688"/>
      <c r="E109" s="1531"/>
      <c r="F109" s="688"/>
      <c r="G109" s="1531"/>
      <c r="H109" s="688"/>
      <c r="I109" s="1531"/>
      <c r="J109" s="688"/>
      <c r="K109" s="66"/>
      <c r="L109" s="88"/>
      <c r="M109" s="66"/>
      <c r="N109" s="88"/>
      <c r="O109" s="66"/>
      <c r="P109" s="2005"/>
      <c r="Q109" s="2006"/>
      <c r="R109" s="2005"/>
      <c r="S109" s="2006"/>
      <c r="T109" s="2005"/>
      <c r="U109" s="2006"/>
      <c r="V109" s="2005"/>
      <c r="W109" s="2006"/>
      <c r="X109" s="2005"/>
      <c r="Y109" s="2006"/>
      <c r="Z109" s="2005"/>
      <c r="AA109" s="2007"/>
      <c r="AB109" s="2006"/>
      <c r="AC109" s="2037"/>
      <c r="AD109" s="2051"/>
      <c r="AE109" s="1977"/>
      <c r="AF109" s="1997"/>
      <c r="AG109" s="2051"/>
      <c r="AH109" s="275"/>
      <c r="AI109" s="56"/>
      <c r="AJ109" s="643"/>
      <c r="AK109" s="920"/>
      <c r="AL109" s="1432"/>
      <c r="AM109" s="784"/>
    </row>
    <row r="110" spans="1:39" ht="15" customHeight="1">
      <c r="A110" s="150"/>
      <c r="B110" s="29" t="s">
        <v>46</v>
      </c>
      <c r="C110" s="31"/>
      <c r="D110" s="1531"/>
      <c r="E110" s="1531"/>
      <c r="F110" s="1531"/>
      <c r="G110" s="1531"/>
      <c r="H110" s="1531"/>
      <c r="I110" s="1531"/>
      <c r="J110" s="1531"/>
      <c r="K110" s="66"/>
      <c r="L110" s="66"/>
      <c r="M110" s="66"/>
      <c r="N110" s="66"/>
      <c r="O110" s="66"/>
      <c r="P110" s="2006"/>
      <c r="Q110" s="2006"/>
      <c r="R110" s="2006"/>
      <c r="S110" s="2006"/>
      <c r="T110" s="2006"/>
      <c r="U110" s="2006"/>
      <c r="V110" s="2006"/>
      <c r="W110" s="2006"/>
      <c r="X110" s="2006"/>
      <c r="Y110" s="2006"/>
      <c r="Z110" s="2006"/>
      <c r="AA110" s="2006"/>
      <c r="AB110" s="2006"/>
      <c r="AC110" s="2037"/>
      <c r="AD110" s="1995"/>
      <c r="AE110" s="1977"/>
      <c r="AF110" s="1997"/>
      <c r="AG110" s="1995"/>
      <c r="AH110" s="275"/>
      <c r="AI110" s="56"/>
      <c r="AJ110" s="643"/>
      <c r="AK110" s="920"/>
      <c r="AL110" s="1432"/>
      <c r="AM110" s="784"/>
    </row>
    <row r="111" spans="1:39" s="887" customFormat="1" ht="15" customHeight="1">
      <c r="A111" s="1070"/>
      <c r="B111" s="107" t="s">
        <v>176</v>
      </c>
      <c r="C111" s="107"/>
      <c r="D111" s="896">
        <v>222.7</v>
      </c>
      <c r="E111" s="1531"/>
      <c r="F111" s="896">
        <v>41.5</v>
      </c>
      <c r="G111" s="1531"/>
      <c r="H111" s="896">
        <v>897.40000000000009</v>
      </c>
      <c r="I111" s="1531"/>
      <c r="J111" s="896">
        <v>135.59999999999991</v>
      </c>
      <c r="K111" s="1537"/>
      <c r="L111" s="896">
        <v>116</v>
      </c>
      <c r="M111" s="1537"/>
      <c r="N111" s="896">
        <v>206.09999999999991</v>
      </c>
      <c r="O111" s="1537"/>
      <c r="P111" s="1789">
        <v>505.89999999999986</v>
      </c>
      <c r="Q111" s="1998"/>
      <c r="R111" s="1789">
        <v>131</v>
      </c>
      <c r="S111" s="1998"/>
      <c r="T111" s="1789">
        <v>138.60000000000059</v>
      </c>
      <c r="U111" s="1998"/>
      <c r="V111" s="1789">
        <f t="shared" ref="V111:V112" si="16">$AD111-$D111-$F111-$H111-$J111-$L111-$N111-$P111-$R111-$T111</f>
        <v>63.899999999999636</v>
      </c>
      <c r="W111" s="1998"/>
      <c r="X111" s="1789"/>
      <c r="Y111" s="1998"/>
      <c r="Z111" s="1789"/>
      <c r="AA111" s="1999"/>
      <c r="AB111" s="2000"/>
      <c r="AC111" s="2002"/>
      <c r="AD111" s="1789">
        <v>2458.6999999999998</v>
      </c>
      <c r="AE111" s="2032"/>
      <c r="AF111" s="3174"/>
      <c r="AG111" s="1789">
        <v>2505.5</v>
      </c>
      <c r="AH111" s="1073"/>
      <c r="AI111" s="67"/>
      <c r="AJ111" s="895">
        <f>ROUND(SUM(+AD111-AG111),1)</f>
        <v>-46.8</v>
      </c>
      <c r="AK111" s="895"/>
      <c r="AL111" s="1818">
        <f>ROUND(IF(AG111=0,0,AJ111/ABS(AG111)),3)</f>
        <v>-1.9E-2</v>
      </c>
      <c r="AM111" s="1819"/>
    </row>
    <row r="112" spans="1:39" s="887" customFormat="1" ht="15" customHeight="1">
      <c r="A112" s="1070"/>
      <c r="B112" s="107" t="s">
        <v>174</v>
      </c>
      <c r="C112" s="107"/>
      <c r="D112" s="896">
        <v>2.7</v>
      </c>
      <c r="E112" s="1531"/>
      <c r="F112" s="896">
        <v>5.6000000000000005</v>
      </c>
      <c r="G112" s="1531"/>
      <c r="H112" s="896">
        <v>-23</v>
      </c>
      <c r="I112" s="1531"/>
      <c r="J112" s="896">
        <v>-17.700000000000003</v>
      </c>
      <c r="K112" s="1537"/>
      <c r="L112" s="896">
        <v>-3.3000000000000043</v>
      </c>
      <c r="M112" s="1537"/>
      <c r="N112" s="896">
        <v>-146.99999999999994</v>
      </c>
      <c r="O112" s="1537"/>
      <c r="P112" s="1789">
        <v>-5.3000000000000114</v>
      </c>
      <c r="Q112" s="1998"/>
      <c r="R112" s="1789">
        <v>-2.6000000000000227</v>
      </c>
      <c r="S112" s="1998"/>
      <c r="T112" s="1789">
        <v>-42.5</v>
      </c>
      <c r="U112" s="1998"/>
      <c r="V112" s="1789">
        <f t="shared" si="16"/>
        <v>-38.500000000000057</v>
      </c>
      <c r="W112" s="1998"/>
      <c r="X112" s="1789"/>
      <c r="Y112" s="1998"/>
      <c r="Z112" s="1789"/>
      <c r="AA112" s="1999"/>
      <c r="AB112" s="2000"/>
      <c r="AC112" s="2002"/>
      <c r="AD112" s="1789">
        <v>-271.60000000000002</v>
      </c>
      <c r="AE112" s="2032"/>
      <c r="AF112" s="3174"/>
      <c r="AG112" s="3423">
        <v>-472.9</v>
      </c>
      <c r="AH112" s="1073"/>
      <c r="AI112" s="67"/>
      <c r="AJ112" s="1024">
        <f>ROUND(SUM(+AD112-AG112)*-1,1)</f>
        <v>-201.3</v>
      </c>
      <c r="AK112" s="1024"/>
      <c r="AL112" s="2127">
        <f>ROUND(IF(AG112=0,0,AJ112/ABS(AG112)),3)</f>
        <v>-0.42599999999999999</v>
      </c>
      <c r="AM112" s="1819"/>
    </row>
    <row r="113" spans="1:52" ht="15" customHeight="1">
      <c r="A113" s="150"/>
      <c r="B113" s="31"/>
      <c r="C113" s="31"/>
      <c r="D113" s="88"/>
      <c r="E113" s="66"/>
      <c r="F113" s="88"/>
      <c r="G113" s="66"/>
      <c r="H113" s="88"/>
      <c r="I113" s="66"/>
      <c r="J113" s="88"/>
      <c r="K113" s="66"/>
      <c r="L113" s="88"/>
      <c r="M113" s="66"/>
      <c r="N113" s="88"/>
      <c r="O113" s="66"/>
      <c r="P113" s="88"/>
      <c r="Q113" s="66"/>
      <c r="R113" s="88"/>
      <c r="S113" s="66"/>
      <c r="T113" s="88"/>
      <c r="U113" s="66"/>
      <c r="V113" s="88"/>
      <c r="W113" s="66"/>
      <c r="X113" s="88"/>
      <c r="Y113" s="66"/>
      <c r="Z113" s="88"/>
      <c r="AA113" s="56"/>
      <c r="AB113" s="66"/>
      <c r="AC113" s="57"/>
      <c r="AD113" s="126"/>
      <c r="AE113" s="67"/>
      <c r="AF113" s="1072"/>
      <c r="AG113" s="67"/>
      <c r="AH113" s="275"/>
      <c r="AI113" s="56"/>
      <c r="AJ113" s="1405"/>
      <c r="AK113" s="920"/>
      <c r="AL113" s="1446"/>
      <c r="AM113" s="784"/>
    </row>
    <row r="114" spans="1:52" ht="15" customHeight="1">
      <c r="A114" s="150"/>
      <c r="B114" s="29" t="s">
        <v>1179</v>
      </c>
      <c r="C114" s="31"/>
      <c r="D114" s="922">
        <f>ROUND(SUM(D111:D113),1)</f>
        <v>225.4</v>
      </c>
      <c r="E114" s="922"/>
      <c r="F114" s="922">
        <f>ROUND(SUM(F111:F113),1)</f>
        <v>47.1</v>
      </c>
      <c r="G114" s="922"/>
      <c r="H114" s="922">
        <f>ROUND(SUM(H111:H113),1)</f>
        <v>874.4</v>
      </c>
      <c r="I114" s="922"/>
      <c r="J114" s="922">
        <f>ROUND(SUM(J111:J113),1)</f>
        <v>117.9</v>
      </c>
      <c r="K114" s="922"/>
      <c r="L114" s="922">
        <f>ROUND(SUM(L111:L113),1)</f>
        <v>112.7</v>
      </c>
      <c r="M114" s="922"/>
      <c r="N114" s="922">
        <f>ROUND(SUM(N111:N113),1)</f>
        <v>59.1</v>
      </c>
      <c r="O114" s="922"/>
      <c r="P114" s="922">
        <f>ROUND(SUM(P111:P113),1)</f>
        <v>500.6</v>
      </c>
      <c r="Q114" s="922"/>
      <c r="R114" s="922">
        <f>ROUND(SUM(R111:R113),1)</f>
        <v>128.4</v>
      </c>
      <c r="S114" s="922"/>
      <c r="T114" s="922">
        <f>ROUND(SUM(T111:T113),1)</f>
        <v>96.1</v>
      </c>
      <c r="U114" s="922"/>
      <c r="V114" s="922">
        <f>ROUND(SUM(V111:V113),1)</f>
        <v>25.4</v>
      </c>
      <c r="W114" s="922"/>
      <c r="X114" s="922">
        <f>ROUND(SUM(X111:X113),1)</f>
        <v>0</v>
      </c>
      <c r="Y114" s="922"/>
      <c r="Z114" s="922">
        <f>ROUND(SUM(Z111:Z113),1)</f>
        <v>0</v>
      </c>
      <c r="AA114" s="922"/>
      <c r="AB114" s="922"/>
      <c r="AC114" s="64"/>
      <c r="AD114" s="112">
        <f>ROUND(SUM(AD111:AD113),1)</f>
        <v>2187.1</v>
      </c>
      <c r="AE114" s="115"/>
      <c r="AF114" s="3177"/>
      <c r="AG114" s="112">
        <f>ROUND(SUM(AG111:AG113),1)</f>
        <v>2032.6</v>
      </c>
      <c r="AH114" s="282"/>
      <c r="AI114" s="76"/>
      <c r="AJ114" s="74">
        <f>ROUND(SUM(AD114-AG114),1)</f>
        <v>154.5</v>
      </c>
      <c r="AK114" s="166"/>
      <c r="AL114" s="1435">
        <f>ROUND(SUM((AD114-AG114)/ABS(AG114)),3)</f>
        <v>7.5999999999999998E-2</v>
      </c>
      <c r="AM114" s="1370"/>
    </row>
    <row r="115" spans="1:52" ht="15" customHeight="1">
      <c r="A115" s="150"/>
      <c r="B115" s="31"/>
      <c r="C115" s="31"/>
      <c r="D115" s="88"/>
      <c r="E115" s="66"/>
      <c r="F115" s="88"/>
      <c r="G115" s="66"/>
      <c r="H115" s="88"/>
      <c r="I115" s="66"/>
      <c r="J115" s="88"/>
      <c r="K115" s="66"/>
      <c r="L115" s="88"/>
      <c r="M115" s="66"/>
      <c r="N115" s="88"/>
      <c r="O115" s="66"/>
      <c r="P115" s="88"/>
      <c r="Q115" s="66"/>
      <c r="R115" s="88"/>
      <c r="S115" s="66"/>
      <c r="T115" s="88"/>
      <c r="U115" s="66"/>
      <c r="V115" s="88"/>
      <c r="W115" s="66"/>
      <c r="X115" s="88"/>
      <c r="Y115" s="66"/>
      <c r="Z115" s="88"/>
      <c r="AA115" s="56"/>
      <c r="AB115" s="66"/>
      <c r="AC115" s="57"/>
      <c r="AD115" s="126"/>
      <c r="AE115" s="67"/>
      <c r="AF115" s="1072"/>
      <c r="AG115" s="126"/>
      <c r="AH115" s="275"/>
      <c r="AI115" s="56"/>
      <c r="AJ115" s="643"/>
      <c r="AK115" s="920"/>
      <c r="AL115" s="1432"/>
      <c r="AM115" s="784"/>
    </row>
    <row r="116" spans="1:52" ht="15" customHeight="1">
      <c r="A116" s="150"/>
      <c r="B116" s="29" t="s">
        <v>165</v>
      </c>
      <c r="C116" s="31"/>
      <c r="D116" s="66"/>
      <c r="E116" s="66"/>
      <c r="F116" s="66"/>
      <c r="G116" s="66"/>
      <c r="H116" s="66"/>
      <c r="I116" s="66"/>
      <c r="J116" s="66"/>
      <c r="K116" s="66"/>
      <c r="L116" s="66"/>
      <c r="M116" s="66"/>
      <c r="N116" s="66"/>
      <c r="O116" s="66"/>
      <c r="P116" s="66"/>
      <c r="Q116" s="66"/>
      <c r="R116" s="66"/>
      <c r="S116" s="66"/>
      <c r="T116" s="66"/>
      <c r="U116" s="66"/>
      <c r="V116" s="66"/>
      <c r="W116" s="66"/>
      <c r="X116" s="66"/>
      <c r="Y116" s="66"/>
      <c r="Z116" s="66"/>
      <c r="AA116" s="66"/>
      <c r="AB116" s="66"/>
      <c r="AC116" s="57"/>
      <c r="AD116" s="118"/>
      <c r="AE116" s="67"/>
      <c r="AF116" s="1072"/>
      <c r="AG116" s="118"/>
      <c r="AH116" s="275"/>
      <c r="AI116" s="56"/>
      <c r="AJ116" s="643"/>
      <c r="AK116" s="920"/>
      <c r="AL116" s="1432"/>
      <c r="AM116" s="784"/>
    </row>
    <row r="117" spans="1:52" ht="15" customHeight="1">
      <c r="A117" s="150"/>
      <c r="B117" s="29" t="s">
        <v>1228</v>
      </c>
      <c r="C117" s="31"/>
      <c r="D117" s="66"/>
      <c r="E117" s="66"/>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57"/>
      <c r="AD117" s="118"/>
      <c r="AE117" s="67"/>
      <c r="AF117" s="1072"/>
      <c r="AG117" s="139"/>
      <c r="AH117" s="275"/>
      <c r="AI117" s="56"/>
      <c r="AJ117" s="643"/>
      <c r="AK117" s="920"/>
      <c r="AL117" s="1432"/>
      <c r="AM117" s="784"/>
    </row>
    <row r="118" spans="1:52" ht="15" customHeight="1">
      <c r="A118" s="150"/>
      <c r="B118" s="29" t="s">
        <v>1175</v>
      </c>
      <c r="C118" s="31"/>
      <c r="D118" s="829">
        <f>ROUND(SUM(D108+D114),1)</f>
        <v>295.5</v>
      </c>
      <c r="E118" s="1532"/>
      <c r="F118" s="829">
        <f>ROUND(SUM(F108+F114),1)</f>
        <v>14.2</v>
      </c>
      <c r="G118" s="1532"/>
      <c r="H118" s="829">
        <f>ROUND(SUM(H108+H114),1)</f>
        <v>1536</v>
      </c>
      <c r="I118" s="1532"/>
      <c r="J118" s="829">
        <f>ROUND(SUM(J108+J114),1)</f>
        <v>-566.5</v>
      </c>
      <c r="K118" s="1532"/>
      <c r="L118" s="829">
        <f>ROUND(SUM(L108+L114),1)</f>
        <v>68.900000000000006</v>
      </c>
      <c r="M118" s="1532"/>
      <c r="N118" s="829">
        <f>ROUND(SUM(N108+N114),1)</f>
        <v>-1944.9</v>
      </c>
      <c r="O118" s="1532"/>
      <c r="P118" s="829">
        <f>ROUND(SUM(P108+P114),1)</f>
        <v>790.2</v>
      </c>
      <c r="Q118" s="1532"/>
      <c r="R118" s="829">
        <f>ROUND(SUM(R108+R114),1)</f>
        <v>-382.6</v>
      </c>
      <c r="S118" s="1532"/>
      <c r="T118" s="829">
        <f>ROUND(SUM(T108+T114),1)</f>
        <v>-208.2</v>
      </c>
      <c r="U118" s="1532"/>
      <c r="V118" s="829">
        <f>ROUND(SUM(V108+V114),1)</f>
        <v>301.3</v>
      </c>
      <c r="W118" s="1532"/>
      <c r="X118" s="829">
        <f>ROUND(SUM(X108+X114),1)</f>
        <v>0</v>
      </c>
      <c r="Y118" s="1532"/>
      <c r="Z118" s="829">
        <f>ROUND(SUM(Z108+Z114),1)</f>
        <v>0</v>
      </c>
      <c r="AA118" s="1532"/>
      <c r="AB118" s="1859"/>
      <c r="AC118" s="1532"/>
      <c r="AD118" s="1107">
        <f>ROUND(SUM(AD108+AD114),1)</f>
        <v>-96.1</v>
      </c>
      <c r="AE118" s="3167"/>
      <c r="AF118" s="115"/>
      <c r="AG118" s="1107">
        <f>ROUND(SUM(AG108+AG114),1)</f>
        <v>518.79999999999995</v>
      </c>
      <c r="AH118" s="275"/>
      <c r="AI118" s="1532"/>
      <c r="AJ118" s="829">
        <f>ROUND(SUM(AJ108+AJ114),1)</f>
        <v>-614.9</v>
      </c>
      <c r="AK118" s="1532"/>
      <c r="AL118" s="1858">
        <f>ROUND(IF(AG118=0,0,AJ118/ABS(AG118)),3)</f>
        <v>-1.1850000000000001</v>
      </c>
      <c r="AM118" s="784"/>
    </row>
    <row r="119" spans="1:52" ht="15" customHeight="1">
      <c r="A119" s="150"/>
      <c r="B119" s="29"/>
      <c r="C119" s="31"/>
      <c r="D119" s="165"/>
      <c r="E119" s="165"/>
      <c r="F119" s="165"/>
      <c r="G119" s="165"/>
      <c r="H119" s="165"/>
      <c r="I119" s="165"/>
      <c r="J119" s="165"/>
      <c r="K119" s="165"/>
      <c r="L119" s="165"/>
      <c r="M119" s="165"/>
      <c r="N119" s="165"/>
      <c r="O119" s="165"/>
      <c r="P119" s="165"/>
      <c r="Q119" s="165"/>
      <c r="R119" s="165"/>
      <c r="S119" s="165"/>
      <c r="T119" s="219"/>
      <c r="U119" s="165"/>
      <c r="V119" s="165"/>
      <c r="W119" s="165"/>
      <c r="X119" s="165"/>
      <c r="Y119" s="165"/>
      <c r="Z119" s="165"/>
      <c r="AA119" s="165"/>
      <c r="AB119" s="165"/>
      <c r="AC119" s="1976"/>
      <c r="AD119" s="117"/>
      <c r="AE119" s="117"/>
      <c r="AF119" s="3178"/>
      <c r="AG119" s="117"/>
      <c r="AH119" s="59"/>
      <c r="AI119" s="271"/>
      <c r="AJ119" s="1407"/>
      <c r="AK119" s="1407"/>
      <c r="AL119" s="1447"/>
      <c r="AM119" s="784"/>
    </row>
    <row r="120" spans="1:52" ht="17.25" customHeight="1" thickBot="1">
      <c r="A120" s="150"/>
      <c r="B120" s="29" t="s">
        <v>1185</v>
      </c>
      <c r="C120" s="31"/>
      <c r="D120" s="267">
        <f>ROUND(SUM(+D118+D13),1)</f>
        <v>5696.2</v>
      </c>
      <c r="E120" s="165"/>
      <c r="F120" s="267">
        <f>ROUND(SUM(+F118+F13),1)</f>
        <v>5710.4</v>
      </c>
      <c r="G120" s="165"/>
      <c r="H120" s="267">
        <f>ROUND(SUM(+H118+H13),1)</f>
        <v>7246.4</v>
      </c>
      <c r="I120" s="165"/>
      <c r="J120" s="267">
        <f>ROUND(SUM(+J118+J13),1)</f>
        <v>6679.9</v>
      </c>
      <c r="K120" s="165"/>
      <c r="L120" s="267">
        <f>ROUND(SUM(+L118+L13),1)</f>
        <v>6748.8</v>
      </c>
      <c r="M120" s="165"/>
      <c r="N120" s="267">
        <f>ROUND(SUM(+N118+N13),1)</f>
        <v>4803.8999999999996</v>
      </c>
      <c r="O120" s="165"/>
      <c r="P120" s="267">
        <f>ROUND(SUM(+P118+P13),1)</f>
        <v>5594.1</v>
      </c>
      <c r="Q120" s="165"/>
      <c r="R120" s="267">
        <f>ROUND(SUM(+R118+R13),1)</f>
        <v>5211.5</v>
      </c>
      <c r="S120" s="165"/>
      <c r="T120" s="267">
        <f>ROUND(SUM(+T118+T13),1)</f>
        <v>5003.3</v>
      </c>
      <c r="U120" s="165"/>
      <c r="V120" s="267">
        <f>ROUND(SUM(+V118+V13),1)</f>
        <v>5304.6</v>
      </c>
      <c r="W120" s="165"/>
      <c r="X120" s="267">
        <f>ROUND(SUM(+X118+X13),1)</f>
        <v>0</v>
      </c>
      <c r="Y120" s="165"/>
      <c r="Z120" s="267">
        <f>ROUND(SUM(+Z118+Z13),1)</f>
        <v>0</v>
      </c>
      <c r="AA120" s="165"/>
      <c r="AB120" s="165"/>
      <c r="AC120" s="1976"/>
      <c r="AD120" s="262">
        <f>ROUND(SUM(+AD118+AD13),1)</f>
        <v>5304.6</v>
      </c>
      <c r="AE120" s="117"/>
      <c r="AF120" s="3178"/>
      <c r="AG120" s="262">
        <f>ROUND(SUM(+AG118+AG13),1)</f>
        <v>5609.6</v>
      </c>
      <c r="AH120" s="59"/>
      <c r="AI120" s="271"/>
      <c r="AJ120" s="267">
        <f>ROUND(SUM(+AJ118+AJ13),1)</f>
        <v>-305</v>
      </c>
      <c r="AK120" s="1407"/>
      <c r="AL120" s="1856">
        <f>ROUND(IF(AG120=0,0,AJ120/ABS(AG120)),3)</f>
        <v>-5.3999999999999999E-2</v>
      </c>
      <c r="AM120" s="784"/>
    </row>
    <row r="121" spans="1:52" ht="15" customHeight="1" thickTop="1">
      <c r="A121" s="150"/>
      <c r="B121" s="29"/>
      <c r="C121" s="31"/>
      <c r="D121" s="165"/>
      <c r="E121" s="165"/>
      <c r="F121" s="165"/>
      <c r="G121" s="165"/>
      <c r="H121" s="165"/>
      <c r="I121" s="165"/>
      <c r="J121" s="165"/>
      <c r="K121" s="165"/>
      <c r="L121" s="165"/>
      <c r="M121" s="165"/>
      <c r="N121" s="165"/>
      <c r="O121" s="165"/>
      <c r="P121" s="219"/>
      <c r="Q121" s="165"/>
      <c r="R121" s="165"/>
      <c r="S121" s="165"/>
      <c r="T121" s="165"/>
      <c r="U121" s="165"/>
      <c r="V121" s="165"/>
      <c r="W121" s="165"/>
      <c r="X121" s="165"/>
      <c r="Y121" s="165"/>
      <c r="Z121" s="165"/>
      <c r="AA121" s="165"/>
      <c r="AB121" s="165"/>
      <c r="AC121" s="59"/>
      <c r="AD121" s="117"/>
      <c r="AE121" s="117"/>
      <c r="AF121" s="117"/>
      <c r="AG121" s="117"/>
      <c r="AH121" s="59"/>
      <c r="AI121" s="37"/>
      <c r="AJ121" s="1407"/>
      <c r="AK121" s="1407"/>
      <c r="AL121" s="1447"/>
      <c r="AM121" s="784"/>
    </row>
    <row r="122" spans="1:52" ht="15" customHeight="1">
      <c r="A122" s="150"/>
      <c r="B122" s="29"/>
      <c r="C122" s="31"/>
      <c r="D122" s="165"/>
      <c r="E122" s="165"/>
      <c r="F122" s="165"/>
      <c r="G122" s="165"/>
      <c r="H122" s="165"/>
      <c r="I122" s="165"/>
      <c r="J122" s="165"/>
      <c r="K122" s="165"/>
      <c r="L122" s="165"/>
      <c r="M122" s="165"/>
      <c r="N122" s="165"/>
      <c r="O122" s="165"/>
      <c r="P122" s="59"/>
      <c r="Q122" s="165"/>
      <c r="R122" s="165"/>
      <c r="S122" s="165"/>
      <c r="T122" s="165"/>
      <c r="U122" s="165"/>
      <c r="V122" s="165"/>
      <c r="W122" s="165"/>
      <c r="X122" s="165"/>
      <c r="Y122" s="165"/>
      <c r="Z122" s="165"/>
      <c r="AA122" s="165"/>
      <c r="AB122" s="165"/>
      <c r="AC122" s="59"/>
      <c r="AD122" s="117"/>
      <c r="AE122" s="117"/>
      <c r="AF122" s="117"/>
      <c r="AG122" s="117"/>
      <c r="AH122" s="59"/>
      <c r="AI122" s="37"/>
      <c r="AJ122" s="1407"/>
      <c r="AK122" s="1407"/>
      <c r="AL122" s="1447"/>
      <c r="AM122" s="784"/>
    </row>
    <row r="123" spans="1:52" ht="15" customHeight="1">
      <c r="B123" s="920"/>
      <c r="C123" s="30"/>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c r="Z123" s="268"/>
      <c r="AA123" s="268"/>
      <c r="AB123" s="268"/>
      <c r="AC123" s="268"/>
      <c r="AD123" s="2121"/>
      <c r="AE123" s="2121"/>
      <c r="AF123" s="2121"/>
      <c r="AG123" s="2121"/>
      <c r="AH123" s="268"/>
      <c r="AI123" s="268"/>
      <c r="AJ123" s="1406"/>
      <c r="AK123" s="1406"/>
      <c r="AL123" s="1432"/>
      <c r="AM123" s="784"/>
      <c r="AN123" s="295"/>
      <c r="AO123" s="295"/>
      <c r="AP123" s="295"/>
      <c r="AQ123" s="295"/>
      <c r="AR123" s="295"/>
      <c r="AS123" s="295"/>
      <c r="AT123" s="295"/>
      <c r="AU123" s="295"/>
      <c r="AV123" s="295"/>
      <c r="AW123" s="295"/>
      <c r="AX123" s="295"/>
      <c r="AY123" s="295"/>
      <c r="AZ123" s="295"/>
    </row>
    <row r="124" spans="1:52" ht="15" customHeight="1">
      <c r="B124" s="30"/>
      <c r="AL124" s="1449"/>
      <c r="AM124" s="784"/>
    </row>
    <row r="125" spans="1:52" ht="15" customHeight="1">
      <c r="B125" s="30"/>
      <c r="AL125" s="1449"/>
      <c r="AM125" s="784"/>
    </row>
    <row r="126" spans="1:52">
      <c r="AL126" s="1449"/>
      <c r="AM126" s="784"/>
    </row>
    <row r="127" spans="1:52" ht="15" customHeight="1">
      <c r="AL127" s="1449"/>
      <c r="AM127" s="784"/>
    </row>
    <row r="128" spans="1:52" ht="15" customHeight="1">
      <c r="D128" s="920"/>
      <c r="F128" s="920"/>
      <c r="H128" s="920"/>
      <c r="AJ128" s="1857"/>
      <c r="AL128" s="1449"/>
      <c r="AM128" s="784"/>
    </row>
    <row r="129" spans="38:39" ht="15" customHeight="1">
      <c r="AL129" s="784"/>
      <c r="AM129" s="784"/>
    </row>
    <row r="130" spans="38:39" ht="15" customHeight="1">
      <c r="AL130" s="784"/>
      <c r="AM130" s="784"/>
    </row>
    <row r="131" spans="38:39" ht="15" customHeight="1">
      <c r="AL131" s="784"/>
      <c r="AM131" s="784"/>
    </row>
    <row r="132" spans="38:39" ht="15" customHeight="1">
      <c r="AL132" s="784"/>
      <c r="AM132" s="784"/>
    </row>
    <row r="133" spans="38:39" ht="15" customHeight="1">
      <c r="AL133" s="784"/>
      <c r="AM133" s="784"/>
    </row>
    <row r="134" spans="38:39" ht="15" customHeight="1">
      <c r="AL134" s="784"/>
      <c r="AM134" s="784"/>
    </row>
    <row r="135" spans="38:39" ht="15" customHeight="1">
      <c r="AL135" s="784"/>
      <c r="AM135" s="784"/>
    </row>
    <row r="136" spans="38:39" ht="15" customHeight="1">
      <c r="AL136" s="784"/>
      <c r="AM136" s="784"/>
    </row>
    <row r="137" spans="38:39" ht="15" customHeight="1">
      <c r="AL137" s="784"/>
      <c r="AM137" s="784"/>
    </row>
    <row r="138" spans="38:39" ht="15" customHeight="1">
      <c r="AL138" s="784"/>
      <c r="AM138" s="784"/>
    </row>
    <row r="139" spans="38:39" ht="15" customHeight="1">
      <c r="AL139" s="784"/>
      <c r="AM139" s="784"/>
    </row>
    <row r="140" spans="38:39" ht="15" customHeight="1">
      <c r="AL140" s="784"/>
      <c r="AM140" s="784"/>
    </row>
    <row r="141" spans="38:39" ht="15" customHeight="1">
      <c r="AL141" s="784"/>
      <c r="AM141" s="784"/>
    </row>
    <row r="142" spans="38:39" ht="15" customHeight="1">
      <c r="AL142" s="784"/>
      <c r="AM142" s="784"/>
    </row>
    <row r="143" spans="38:39" ht="15" customHeight="1">
      <c r="AL143" s="784"/>
      <c r="AM143" s="784"/>
    </row>
    <row r="144" spans="38:39" ht="15" customHeight="1">
      <c r="AL144" s="784"/>
      <c r="AM144" s="784"/>
    </row>
    <row r="145" spans="38:39" ht="15" customHeight="1">
      <c r="AL145" s="784"/>
      <c r="AM145" s="784"/>
    </row>
    <row r="146" spans="38:39" ht="15" customHeight="1">
      <c r="AL146" s="784"/>
      <c r="AM146" s="784"/>
    </row>
    <row r="147" spans="38:39" ht="15" customHeight="1">
      <c r="AL147" s="784"/>
      <c r="AM147" s="784"/>
    </row>
    <row r="148" spans="38:39" ht="15" customHeight="1">
      <c r="AL148" s="784"/>
      <c r="AM148" s="784"/>
    </row>
    <row r="149" spans="38:39" ht="15" customHeight="1">
      <c r="AL149" s="784"/>
      <c r="AM149" s="784"/>
    </row>
    <row r="150" spans="38:39" ht="15" customHeight="1">
      <c r="AL150" s="784"/>
      <c r="AM150" s="784"/>
    </row>
    <row r="151" spans="38:39" ht="15" customHeight="1">
      <c r="AL151" s="784"/>
      <c r="AM151" s="784"/>
    </row>
    <row r="152" spans="38:39" ht="15" customHeight="1">
      <c r="AL152" s="784"/>
      <c r="AM152" s="784"/>
    </row>
    <row r="153" spans="38:39" ht="15" customHeight="1">
      <c r="AL153" s="784"/>
      <c r="AM153" s="784"/>
    </row>
    <row r="154" spans="38:39" ht="15" customHeight="1">
      <c r="AL154" s="784"/>
      <c r="AM154" s="784"/>
    </row>
    <row r="155" spans="38:39" ht="11.25" customHeight="1">
      <c r="AL155" s="784"/>
      <c r="AM155" s="784"/>
    </row>
    <row r="156" spans="38:39" ht="15" customHeight="1">
      <c r="AL156" s="784"/>
      <c r="AM156" s="784"/>
    </row>
    <row r="157" spans="38:39" ht="15" customHeight="1">
      <c r="AL157" s="784"/>
      <c r="AM157" s="784"/>
    </row>
    <row r="158" spans="38:39" ht="15" customHeight="1"/>
    <row r="159" spans="38:39" ht="15" customHeight="1"/>
    <row r="160" spans="38:39"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mergeCells count="1">
    <mergeCell ref="AC9:AL9"/>
  </mergeCells>
  <pageMargins left="0.25" right="0.25" top="0.5" bottom="0.25" header="0" footer="0.25"/>
  <pageSetup scale="40" firstPageNumber="24" orientation="landscape" useFirstPageNumber="1" r:id="rId1"/>
  <headerFooter scaleWithDoc="0" alignWithMargins="0">
    <oddFooter>&amp;C&amp;8&amp;P</oddFooter>
  </headerFooter>
  <rowBreaks count="1" manualBreakCount="1">
    <brk id="85" min="1" max="37" man="1"/>
  </rowBreaks>
  <ignoredErrors>
    <ignoredError sqref="AL42 AL55 AL47 AL60 AL67 AL36 AL38:AL40 AL24:AL25 AL20 AL28:AL35" unlockedFormula="1"/>
    <ignoredError sqref="AL80" evalError="1"/>
    <ignoredError sqref="AL73:AL75 AL23 AL51 AJ71:AM71 AJ73:AK73 AM73 AJ72:AK72 AM72 AJ70:AK70 AM70 AL27 AL21" formula="1"/>
    <ignoredError sqref="AL22" formula="1"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Y142"/>
  <sheetViews>
    <sheetView showGridLines="0" zoomScale="80" workbookViewId="0"/>
  </sheetViews>
  <sheetFormatPr defaultColWidth="8.6640625" defaultRowHeight="12.75"/>
  <cols>
    <col min="1" max="1" width="1.6640625" style="247" customWidth="1"/>
    <col min="2" max="2" width="44.6640625" style="247" customWidth="1"/>
    <col min="3" max="3" width="1.6640625" style="247" customWidth="1"/>
    <col min="4" max="4" width="15.109375" style="247" bestFit="1" customWidth="1"/>
    <col min="5" max="5" width="1.6640625" style="247" customWidth="1"/>
    <col min="6" max="6" width="12" style="247" customWidth="1"/>
    <col min="7" max="7" width="1.6640625" style="247" customWidth="1"/>
    <col min="8" max="8" width="11.109375" style="247" bestFit="1" customWidth="1"/>
    <col min="9" max="9" width="1.6640625" style="247" customWidth="1"/>
    <col min="10" max="10" width="11" style="247" customWidth="1"/>
    <col min="11" max="11" width="1.6640625" style="247" customWidth="1"/>
    <col min="12" max="12" width="11.109375" style="247" customWidth="1"/>
    <col min="13" max="13" width="1.6640625" style="247" customWidth="1"/>
    <col min="14" max="14" width="12.109375" style="247" customWidth="1"/>
    <col min="15" max="15" width="1.6640625" style="247" customWidth="1"/>
    <col min="16" max="16" width="11" style="247" bestFit="1" customWidth="1"/>
    <col min="17" max="17" width="1.6640625" style="247" customWidth="1"/>
    <col min="18" max="18" width="11.5546875" style="247" bestFit="1" customWidth="1"/>
    <col min="19" max="19" width="1.6640625" style="247" customWidth="1"/>
    <col min="20" max="20" width="11.44140625" style="247" customWidth="1"/>
    <col min="21" max="21" width="1.6640625" style="247" customWidth="1"/>
    <col min="22" max="22" width="11.109375" style="247" customWidth="1"/>
    <col min="23" max="23" width="1.6640625" style="247" customWidth="1"/>
    <col min="24" max="24" width="11.109375" style="247" bestFit="1" customWidth="1"/>
    <col min="25" max="25" width="1.6640625" style="247" customWidth="1"/>
    <col min="26" max="26" width="10.6640625" style="247" bestFit="1" customWidth="1"/>
    <col min="27" max="27" width="1" style="247" customWidth="1"/>
    <col min="28" max="29" width="1.6640625" style="247" customWidth="1"/>
    <col min="30" max="30" width="12.109375" style="887" customWidth="1"/>
    <col min="31" max="32" width="1.109375" style="887" customWidth="1"/>
    <col min="33" max="33" width="11.6640625" style="887" customWidth="1"/>
    <col min="34" max="34" width="1.44140625" style="247" customWidth="1"/>
    <col min="35" max="35" width="0.6640625" style="247" customWidth="1"/>
    <col min="36" max="36" width="13.109375" style="247" bestFit="1" customWidth="1"/>
    <col min="37" max="37" width="0.6640625" style="247" customWidth="1"/>
    <col min="38" max="38" width="13.6640625" style="784" bestFit="1" customWidth="1"/>
    <col min="39" max="16384" width="8.6640625" style="247"/>
  </cols>
  <sheetData>
    <row r="1" spans="1:41" ht="15">
      <c r="B1" s="644" t="s">
        <v>963</v>
      </c>
    </row>
    <row r="2" spans="1:41" ht="15.75">
      <c r="A2" s="246"/>
      <c r="M2" s="29"/>
      <c r="N2" s="29"/>
      <c r="O2" s="265"/>
    </row>
    <row r="3" spans="1:41" ht="18">
      <c r="A3" s="246"/>
      <c r="B3" s="249" t="s">
        <v>0</v>
      </c>
      <c r="M3" s="29"/>
      <c r="N3" s="29"/>
      <c r="O3" s="265"/>
      <c r="AF3" s="3105"/>
      <c r="AG3" s="3452"/>
      <c r="AH3" s="288"/>
      <c r="AI3" s="288"/>
      <c r="AJ3" s="288"/>
      <c r="AK3" s="288"/>
      <c r="AL3" s="250" t="s">
        <v>168</v>
      </c>
    </row>
    <row r="4" spans="1:41" ht="18">
      <c r="A4" s="246"/>
      <c r="B4" s="249" t="s">
        <v>177</v>
      </c>
      <c r="L4" s="29"/>
      <c r="M4" s="29"/>
      <c r="O4" s="265"/>
    </row>
    <row r="5" spans="1:41" ht="18">
      <c r="A5" s="246"/>
      <c r="B5" s="1534" t="s">
        <v>148</v>
      </c>
      <c r="L5" s="265"/>
      <c r="M5" s="265"/>
      <c r="O5" s="265"/>
      <c r="X5" s="289"/>
    </row>
    <row r="6" spans="1:41" ht="20.25">
      <c r="A6" s="246"/>
      <c r="B6" s="1534" t="str">
        <f>'Cashflow Governmental'!A6</f>
        <v xml:space="preserve">FISCAL YEAR 2020-2021   </v>
      </c>
      <c r="L6" s="265"/>
      <c r="M6" s="265"/>
      <c r="O6" s="265"/>
      <c r="AL6" s="785"/>
    </row>
    <row r="7" spans="1:41" ht="18">
      <c r="A7" s="246"/>
      <c r="B7" s="249" t="s">
        <v>1366</v>
      </c>
      <c r="AI7" s="150"/>
      <c r="AJ7" s="150"/>
      <c r="AK7" s="150"/>
      <c r="AL7" s="786"/>
    </row>
    <row r="8" spans="1:41" ht="13.5" customHeight="1">
      <c r="A8" s="246"/>
      <c r="B8" s="296"/>
      <c r="AI8" s="150"/>
      <c r="AJ8" s="150"/>
      <c r="AK8" s="150"/>
      <c r="AL8" s="786"/>
    </row>
    <row r="9" spans="1:41" ht="15.75">
      <c r="A9" s="246"/>
      <c r="L9" s="265"/>
      <c r="M9" s="265"/>
      <c r="N9" s="265"/>
      <c r="O9" s="265"/>
      <c r="AC9" s="3954" t="str">
        <f>'Exhibit G'!AC9:AL9</f>
        <v>10 Months Ended January 31</v>
      </c>
      <c r="AD9" s="3954"/>
      <c r="AE9" s="3954"/>
      <c r="AF9" s="3954"/>
      <c r="AG9" s="3954"/>
      <c r="AH9" s="3954"/>
      <c r="AI9" s="3954"/>
      <c r="AJ9" s="3954"/>
      <c r="AK9" s="3954"/>
      <c r="AL9" s="3954"/>
    </row>
    <row r="10" spans="1:41" ht="15.75">
      <c r="A10" s="246"/>
      <c r="B10" s="30"/>
      <c r="C10" s="30"/>
      <c r="D10" s="746" t="str">
        <f>'Cashflow Governmental'!C13</f>
        <v>2020</v>
      </c>
      <c r="E10" s="29"/>
      <c r="F10" s="29"/>
      <c r="G10" s="29"/>
      <c r="H10" s="29"/>
      <c r="I10" s="29"/>
      <c r="J10" s="29"/>
      <c r="K10" s="29"/>
      <c r="L10" s="29"/>
      <c r="M10" s="29"/>
      <c r="N10" s="29"/>
      <c r="O10" s="29"/>
      <c r="P10" s="29"/>
      <c r="Q10" s="29"/>
      <c r="R10" s="29"/>
      <c r="S10" s="29"/>
      <c r="T10" s="29"/>
      <c r="U10" s="29"/>
      <c r="V10" s="746">
        <f>'Cashflow Governmental'!U13</f>
        <v>2021</v>
      </c>
      <c r="W10" s="29"/>
      <c r="X10" s="29"/>
      <c r="Y10" s="29"/>
      <c r="Z10" s="29"/>
      <c r="AA10" s="29"/>
      <c r="AB10" s="29"/>
      <c r="AC10" s="29"/>
      <c r="AD10" s="3162"/>
      <c r="AE10" s="3162"/>
      <c r="AF10" s="3162"/>
      <c r="AG10" s="3162"/>
      <c r="AH10" s="210"/>
      <c r="AI10" s="209"/>
      <c r="AJ10" s="750" t="s">
        <v>8</v>
      </c>
      <c r="AK10" s="750"/>
      <c r="AL10" s="787" t="s">
        <v>9</v>
      </c>
      <c r="AM10" s="753"/>
      <c r="AN10" s="753"/>
      <c r="AO10" s="753"/>
    </row>
    <row r="11" spans="1:41" ht="15.75">
      <c r="A11" s="246"/>
      <c r="B11" s="30"/>
      <c r="C11" s="30"/>
      <c r="D11" s="737" t="s">
        <v>124</v>
      </c>
      <c r="E11" s="29"/>
      <c r="F11" s="737" t="s">
        <v>125</v>
      </c>
      <c r="G11" s="29"/>
      <c r="H11" s="737" t="s">
        <v>126</v>
      </c>
      <c r="I11" s="29"/>
      <c r="J11" s="737" t="s">
        <v>127</v>
      </c>
      <c r="K11" s="29"/>
      <c r="L11" s="737" t="s">
        <v>128</v>
      </c>
      <c r="M11" s="29"/>
      <c r="N11" s="737" t="s">
        <v>143</v>
      </c>
      <c r="O11" s="29"/>
      <c r="P11" s="737" t="s">
        <v>144</v>
      </c>
      <c r="Q11" s="29"/>
      <c r="R11" s="737" t="s">
        <v>131</v>
      </c>
      <c r="S11" s="29"/>
      <c r="T11" s="737" t="s">
        <v>132</v>
      </c>
      <c r="U11" s="29"/>
      <c r="V11" s="737" t="s">
        <v>133</v>
      </c>
      <c r="W11" s="29"/>
      <c r="X11" s="737" t="s">
        <v>134</v>
      </c>
      <c r="Y11" s="29"/>
      <c r="Z11" s="737" t="s">
        <v>185</v>
      </c>
      <c r="AA11" s="737"/>
      <c r="AB11" s="29"/>
      <c r="AC11" s="29"/>
      <c r="AD11" s="741">
        <f>'Cashflow Governmental'!AB14</f>
        <v>2021</v>
      </c>
      <c r="AE11" s="741"/>
      <c r="AF11" s="105" t="s">
        <v>15</v>
      </c>
      <c r="AG11" s="741">
        <f>'Cashflow Governmental'!AE14</f>
        <v>2020</v>
      </c>
      <c r="AH11" s="736"/>
      <c r="AI11" s="209"/>
      <c r="AJ11" s="755" t="s">
        <v>12</v>
      </c>
      <c r="AK11" s="749"/>
      <c r="AL11" s="788" t="s">
        <v>13</v>
      </c>
      <c r="AM11" s="753"/>
      <c r="AN11" s="753"/>
      <c r="AO11" s="753"/>
    </row>
    <row r="12" spans="1:41" ht="6.75" customHeight="1">
      <c r="A12" s="246"/>
      <c r="B12" s="30"/>
      <c r="C12" s="30"/>
      <c r="D12" s="43"/>
      <c r="E12" s="30"/>
      <c r="F12" s="43"/>
      <c r="G12" s="30"/>
      <c r="H12" s="43"/>
      <c r="I12" s="30"/>
      <c r="J12" s="43"/>
      <c r="K12" s="30"/>
      <c r="L12" s="43"/>
      <c r="M12" s="30"/>
      <c r="N12" s="270"/>
      <c r="O12" s="30"/>
      <c r="P12" s="43"/>
      <c r="Q12" s="30"/>
      <c r="R12" s="43"/>
      <c r="S12" s="30"/>
      <c r="T12" s="43"/>
      <c r="U12" s="30"/>
      <c r="V12" s="43"/>
      <c r="W12" s="30"/>
      <c r="X12" s="43"/>
      <c r="Y12" s="30"/>
      <c r="Z12" s="43"/>
      <c r="AA12" s="37"/>
      <c r="AB12" s="30"/>
      <c r="AC12" s="1059"/>
      <c r="AD12" s="3179"/>
      <c r="AE12" s="3179"/>
      <c r="AF12" s="3169"/>
      <c r="AG12" s="3179"/>
      <c r="AH12" s="37"/>
      <c r="AI12" s="271"/>
      <c r="AJ12" s="30"/>
      <c r="AK12" s="30"/>
      <c r="AL12" s="264"/>
    </row>
    <row r="13" spans="1:41" ht="15.75">
      <c r="A13" s="246"/>
      <c r="B13" s="1851" t="s">
        <v>1253</v>
      </c>
      <c r="C13" s="30"/>
      <c r="D13" s="306">
        <v>911.4</v>
      </c>
      <c r="E13" s="30"/>
      <c r="F13" s="219">
        <f>D94</f>
        <v>5527.8</v>
      </c>
      <c r="G13" s="30"/>
      <c r="H13" s="219">
        <f>F94</f>
        <v>5429.8</v>
      </c>
      <c r="I13" s="30"/>
      <c r="J13" s="219">
        <f>H94</f>
        <v>7226.3</v>
      </c>
      <c r="K13" s="30"/>
      <c r="L13" s="219">
        <f>J94</f>
        <v>6552.8</v>
      </c>
      <c r="M13" s="30"/>
      <c r="N13" s="219">
        <f>L94</f>
        <v>6121.4</v>
      </c>
      <c r="O13" s="30"/>
      <c r="P13" s="219">
        <f>N94</f>
        <v>4706.3999999999996</v>
      </c>
      <c r="Q13" s="30"/>
      <c r="R13" s="219">
        <f>P94</f>
        <v>6589.7</v>
      </c>
      <c r="S13" s="30"/>
      <c r="T13" s="219">
        <f>R94</f>
        <v>6049.4</v>
      </c>
      <c r="U13" s="30"/>
      <c r="V13" s="219">
        <f>T94</f>
        <v>5775.3</v>
      </c>
      <c r="W13" s="30"/>
      <c r="X13" s="219"/>
      <c r="Y13" s="30"/>
      <c r="Z13" s="219"/>
      <c r="AA13" s="37"/>
      <c r="AB13" s="30"/>
      <c r="AC13" s="1059"/>
      <c r="AD13" s="139">
        <f>D13</f>
        <v>911.4</v>
      </c>
      <c r="AE13" s="1089"/>
      <c r="AF13" s="3169"/>
      <c r="AG13" s="139">
        <v>-1248.3999999999999</v>
      </c>
      <c r="AH13" s="37"/>
      <c r="AI13" s="271"/>
      <c r="AJ13" s="94">
        <f>+AD13-AG13</f>
        <v>2159.7999999999997</v>
      </c>
      <c r="AK13" s="30"/>
      <c r="AL13" s="273">
        <f>-AJ13/AG13</f>
        <v>1.7300544697212432</v>
      </c>
    </row>
    <row r="14" spans="1:41" ht="15.75">
      <c r="A14" s="246"/>
      <c r="B14" s="1851"/>
      <c r="C14" s="30"/>
      <c r="D14" s="37"/>
      <c r="E14" s="30"/>
      <c r="F14" s="37"/>
      <c r="G14" s="30"/>
      <c r="H14" s="37"/>
      <c r="I14" s="30"/>
      <c r="J14" s="37"/>
      <c r="K14" s="30"/>
      <c r="L14" s="37"/>
      <c r="M14" s="30"/>
      <c r="N14" s="1058"/>
      <c r="O14" s="30"/>
      <c r="P14" s="37"/>
      <c r="Q14" s="30"/>
      <c r="R14" s="37"/>
      <c r="S14" s="30"/>
      <c r="T14" s="37"/>
      <c r="U14" s="30"/>
      <c r="V14" s="37"/>
      <c r="W14" s="30"/>
      <c r="X14" s="37"/>
      <c r="Y14" s="30"/>
      <c r="Z14" s="37"/>
      <c r="AA14" s="37"/>
      <c r="AB14" s="1861"/>
      <c r="AC14" s="37"/>
      <c r="AD14" s="1089"/>
      <c r="AE14" s="1089"/>
      <c r="AF14" s="3169"/>
      <c r="AG14" s="1089"/>
      <c r="AH14" s="274"/>
      <c r="AI14" s="37"/>
      <c r="AJ14" s="30"/>
      <c r="AK14" s="30"/>
      <c r="AL14" s="264"/>
    </row>
    <row r="15" spans="1:41" ht="15" customHeight="1">
      <c r="A15" s="150"/>
      <c r="B15" s="29" t="s">
        <v>14</v>
      </c>
      <c r="C15" s="31"/>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212"/>
      <c r="AD15" s="106"/>
      <c r="AE15" s="106"/>
      <c r="AF15" s="3170"/>
      <c r="AG15" s="106"/>
      <c r="AH15" s="293"/>
      <c r="AI15" s="37"/>
      <c r="AJ15" s="292"/>
      <c r="AK15" s="292"/>
      <c r="AL15" s="298"/>
    </row>
    <row r="16" spans="1:41" ht="7.5" customHeight="1">
      <c r="A16" s="150"/>
      <c r="B16" s="31"/>
      <c r="C16" s="31"/>
      <c r="D16" s="170"/>
      <c r="E16" s="165"/>
      <c r="F16" s="170"/>
      <c r="G16" s="165"/>
      <c r="H16" s="170"/>
      <c r="I16" s="165"/>
      <c r="J16" s="170"/>
      <c r="K16" s="165"/>
      <c r="L16" s="170"/>
      <c r="M16" s="165"/>
      <c r="N16" s="170"/>
      <c r="O16" s="165"/>
      <c r="P16" s="170"/>
      <c r="Q16" s="165"/>
      <c r="R16" s="170"/>
      <c r="S16" s="165"/>
      <c r="T16" s="170"/>
      <c r="U16" s="165"/>
      <c r="V16" s="170"/>
      <c r="W16" s="66"/>
      <c r="X16" s="170"/>
      <c r="Y16" s="66"/>
      <c r="Z16" s="170"/>
      <c r="AA16" s="170"/>
      <c r="AB16" s="165"/>
      <c r="AC16" s="252"/>
      <c r="AD16" s="118"/>
      <c r="AE16" s="3180"/>
      <c r="AF16" s="3183"/>
      <c r="AG16" s="357"/>
      <c r="AH16" s="293"/>
      <c r="AI16" s="37"/>
      <c r="AJ16" s="943"/>
      <c r="AK16" s="643"/>
      <c r="AL16" s="910"/>
    </row>
    <row r="17" spans="1:39" ht="15" customHeight="1">
      <c r="A17" s="150"/>
      <c r="B17" s="261" t="s">
        <v>1014</v>
      </c>
      <c r="C17" s="31"/>
      <c r="D17" s="77"/>
      <c r="E17" s="165"/>
      <c r="F17" s="170"/>
      <c r="G17" s="165"/>
      <c r="H17" s="140"/>
      <c r="I17" s="165"/>
      <c r="J17" s="140"/>
      <c r="K17" s="165"/>
      <c r="L17" s="140"/>
      <c r="M17" s="165"/>
      <c r="N17" s="140"/>
      <c r="O17" s="165"/>
      <c r="P17" s="297"/>
      <c r="Q17" s="165"/>
      <c r="R17" s="169"/>
      <c r="S17" s="165"/>
      <c r="T17" s="170"/>
      <c r="U17" s="165"/>
      <c r="V17" s="77"/>
      <c r="W17" s="66"/>
      <c r="X17" s="77"/>
      <c r="Y17" s="66"/>
      <c r="Z17" s="77"/>
      <c r="AA17" s="77"/>
      <c r="AB17" s="165"/>
      <c r="AC17" s="252"/>
      <c r="AD17" s="118"/>
      <c r="AE17" s="118"/>
      <c r="AF17" s="1072"/>
      <c r="AG17" s="118"/>
      <c r="AH17" s="275"/>
      <c r="AI17" s="56"/>
      <c r="AJ17" s="943"/>
      <c r="AK17" s="943"/>
      <c r="AL17" s="669"/>
    </row>
    <row r="18" spans="1:39" ht="15" customHeight="1">
      <c r="A18" s="150"/>
      <c r="B18" s="892" t="s">
        <v>1133</v>
      </c>
      <c r="C18" s="31"/>
      <c r="D18" s="681" t="s">
        <v>15</v>
      </c>
      <c r="E18" s="165"/>
      <c r="F18" s="170"/>
      <c r="G18" s="165"/>
      <c r="H18" s="140"/>
      <c r="I18" s="165"/>
      <c r="J18" s="140"/>
      <c r="K18" s="165"/>
      <c r="L18" s="140"/>
      <c r="M18" s="165"/>
      <c r="N18" s="140"/>
      <c r="O18" s="165"/>
      <c r="P18" s="297"/>
      <c r="Q18" s="165"/>
      <c r="R18" s="169"/>
      <c r="S18" s="165"/>
      <c r="T18" s="170"/>
      <c r="U18" s="165"/>
      <c r="V18" s="77"/>
      <c r="W18" s="66"/>
      <c r="X18" s="77"/>
      <c r="Y18" s="66"/>
      <c r="Z18" s="77"/>
      <c r="AA18" s="77"/>
      <c r="AB18" s="165"/>
      <c r="AC18" s="252"/>
      <c r="AD18" s="118"/>
      <c r="AE18" s="118"/>
      <c r="AF18" s="1072"/>
      <c r="AG18" s="118"/>
      <c r="AH18" s="275"/>
      <c r="AI18" s="56"/>
      <c r="AJ18" s="943"/>
      <c r="AK18" s="943"/>
      <c r="AL18" s="669"/>
    </row>
    <row r="19" spans="1:39" ht="15" customHeight="1">
      <c r="A19" s="150"/>
      <c r="B19" s="892" t="s">
        <v>1047</v>
      </c>
      <c r="C19" s="31"/>
      <c r="D19" s="684">
        <v>0</v>
      </c>
      <c r="E19" s="894"/>
      <c r="F19" s="684">
        <v>0</v>
      </c>
      <c r="G19" s="895"/>
      <c r="H19" s="684">
        <v>0</v>
      </c>
      <c r="I19" s="895"/>
      <c r="J19" s="684">
        <v>0</v>
      </c>
      <c r="K19" s="1537"/>
      <c r="L19" s="684">
        <v>0</v>
      </c>
      <c r="M19" s="1537"/>
      <c r="N19" s="684">
        <v>0</v>
      </c>
      <c r="O19" s="1796"/>
      <c r="P19" s="1789">
        <v>0</v>
      </c>
      <c r="Q19" s="1987"/>
      <c r="R19" s="1789">
        <v>0</v>
      </c>
      <c r="S19" s="1987"/>
      <c r="T19" s="1789">
        <v>0</v>
      </c>
      <c r="U19" s="1987"/>
      <c r="V19" s="1789">
        <f>$AD19-$D19-$F19-$H19-$J19-$L19-$N19-$P19-$R19-$T19</f>
        <v>0</v>
      </c>
      <c r="W19" s="1987"/>
      <c r="X19" s="1789"/>
      <c r="Y19" s="1987"/>
      <c r="Z19" s="1789"/>
      <c r="AA19" s="1988"/>
      <c r="AB19" s="1842"/>
      <c r="AC19" s="1989"/>
      <c r="AD19" s="1789">
        <v>0</v>
      </c>
      <c r="AE19" s="2000"/>
      <c r="AF19" s="2002"/>
      <c r="AG19" s="1789">
        <v>0</v>
      </c>
      <c r="AH19" s="1377"/>
      <c r="AI19" s="943"/>
      <c r="AJ19" s="895">
        <f>ROUND(SUM(+AD19-AG19),1)</f>
        <v>0</v>
      </c>
      <c r="AK19" s="943"/>
      <c r="AL19" s="1438">
        <f>ROUND(IF(AG19=0,0,AJ19/ABS(AG19)),3)</f>
        <v>0</v>
      </c>
    </row>
    <row r="20" spans="1:39" s="887" customFormat="1" ht="15" customHeight="1">
      <c r="A20" s="1070"/>
      <c r="B20" s="892" t="s">
        <v>1134</v>
      </c>
      <c r="C20" s="107"/>
      <c r="D20" s="684" t="s">
        <v>15</v>
      </c>
      <c r="E20" s="815"/>
      <c r="F20" s="684"/>
      <c r="G20" s="815"/>
      <c r="H20" s="684"/>
      <c r="I20" s="815"/>
      <c r="J20" s="684"/>
      <c r="K20" s="140"/>
      <c r="L20" s="684"/>
      <c r="M20" s="140"/>
      <c r="N20" s="684"/>
      <c r="O20" s="140"/>
      <c r="P20" s="1789"/>
      <c r="Q20" s="1991"/>
      <c r="R20" s="1789"/>
      <c r="S20" s="1991"/>
      <c r="T20" s="1789"/>
      <c r="U20" s="1991"/>
      <c r="V20" s="1789"/>
      <c r="W20" s="1995"/>
      <c r="X20" s="1789"/>
      <c r="Y20" s="1995"/>
      <c r="Z20" s="1789"/>
      <c r="AA20" s="1994"/>
      <c r="AB20" s="1991"/>
      <c r="AC20" s="1996"/>
      <c r="AD20" s="1995"/>
      <c r="AE20" s="1995"/>
      <c r="AF20" s="1997"/>
      <c r="AG20" s="1995"/>
      <c r="AH20" s="1073"/>
      <c r="AI20" s="67"/>
      <c r="AJ20" s="1024"/>
      <c r="AK20" s="1024"/>
      <c r="AL20" s="1448"/>
    </row>
    <row r="21" spans="1:39" s="887" customFormat="1" ht="15" customHeight="1">
      <c r="A21" s="1070"/>
      <c r="B21" s="892" t="s">
        <v>1049</v>
      </c>
      <c r="C21" s="107"/>
      <c r="D21" s="684">
        <v>4</v>
      </c>
      <c r="E21" s="815"/>
      <c r="F21" s="684">
        <v>40.6</v>
      </c>
      <c r="G21" s="815"/>
      <c r="H21" s="684">
        <v>0.19999999999999574</v>
      </c>
      <c r="I21" s="815"/>
      <c r="J21" s="684">
        <v>1.7000000000000028</v>
      </c>
      <c r="K21" s="1537"/>
      <c r="L21" s="684">
        <v>7.6000000000000014</v>
      </c>
      <c r="M21" s="1537"/>
      <c r="N21" s="684">
        <v>0.10000000000000142</v>
      </c>
      <c r="O21" s="1537"/>
      <c r="P21" s="1789">
        <v>1.3999999999999986</v>
      </c>
      <c r="Q21" s="1998"/>
      <c r="R21" s="1789">
        <v>5.6999999999999957</v>
      </c>
      <c r="S21" s="1998"/>
      <c r="T21" s="1789">
        <v>0.10000000000000142</v>
      </c>
      <c r="U21" s="1998"/>
      <c r="V21" s="1789">
        <f t="shared" ref="V21:V51" si="0">$AD21-$D21-$F21-$H21-$J21-$L21-$N21-$P21-$R21-$T21</f>
        <v>1.1000000000000014</v>
      </c>
      <c r="W21" s="1998"/>
      <c r="X21" s="1789"/>
      <c r="Y21" s="1998"/>
      <c r="Z21" s="1789"/>
      <c r="AA21" s="1999"/>
      <c r="AB21" s="2000"/>
      <c r="AC21" s="2001"/>
      <c r="AD21" s="1789">
        <v>62.5</v>
      </c>
      <c r="AE21" s="2000"/>
      <c r="AF21" s="2002"/>
      <c r="AG21" s="1789">
        <v>68</v>
      </c>
      <c r="AH21" s="1073"/>
      <c r="AI21" s="67"/>
      <c r="AJ21" s="1024">
        <f t="shared" ref="AJ21:AJ51" si="1">ROUND(SUM(+AD21-AG21),1)</f>
        <v>-5.5</v>
      </c>
      <c r="AK21" s="1024"/>
      <c r="AL21" s="1724">
        <f>ROUND(IF(AG21=0,0,AJ21/ABS(AG21)),3)</f>
        <v>-8.1000000000000003E-2</v>
      </c>
      <c r="AM21" s="1808"/>
    </row>
    <row r="22" spans="1:39" ht="15" customHeight="1">
      <c r="A22" s="150"/>
      <c r="B22" s="892" t="s">
        <v>1050</v>
      </c>
      <c r="C22" s="31"/>
      <c r="D22" s="684">
        <v>0</v>
      </c>
      <c r="E22" s="815"/>
      <c r="F22" s="684">
        <v>0</v>
      </c>
      <c r="G22" s="815"/>
      <c r="H22" s="684">
        <v>0</v>
      </c>
      <c r="I22" s="815"/>
      <c r="J22" s="684">
        <v>0</v>
      </c>
      <c r="K22" s="1537"/>
      <c r="L22" s="684">
        <v>0</v>
      </c>
      <c r="M22" s="1537"/>
      <c r="N22" s="684">
        <v>0</v>
      </c>
      <c r="O22" s="1537"/>
      <c r="P22" s="1789">
        <v>0</v>
      </c>
      <c r="Q22" s="1998"/>
      <c r="R22" s="1789">
        <v>0</v>
      </c>
      <c r="S22" s="1998"/>
      <c r="T22" s="1789">
        <v>0</v>
      </c>
      <c r="U22" s="1998"/>
      <c r="V22" s="1789">
        <f t="shared" si="0"/>
        <v>0</v>
      </c>
      <c r="W22" s="1998"/>
      <c r="X22" s="1789"/>
      <c r="Y22" s="1998"/>
      <c r="Z22" s="1789"/>
      <c r="AA22" s="1999"/>
      <c r="AB22" s="2000"/>
      <c r="AC22" s="2001"/>
      <c r="AD22" s="1789">
        <v>0</v>
      </c>
      <c r="AE22" s="2000"/>
      <c r="AF22" s="2002"/>
      <c r="AG22" s="1789">
        <v>0</v>
      </c>
      <c r="AH22" s="275"/>
      <c r="AI22" s="56"/>
      <c r="AJ22" s="943">
        <f t="shared" si="1"/>
        <v>0</v>
      </c>
      <c r="AK22" s="943"/>
      <c r="AL22" s="1438">
        <f>ROUND(IF(AG22=0,0,AJ22/ABS(AG22)),3)</f>
        <v>0</v>
      </c>
    </row>
    <row r="23" spans="1:39" ht="15" customHeight="1">
      <c r="A23" s="150"/>
      <c r="B23" s="892" t="s">
        <v>1051</v>
      </c>
      <c r="C23" s="31"/>
      <c r="D23" s="684">
        <v>0</v>
      </c>
      <c r="E23" s="815"/>
      <c r="F23" s="684">
        <v>0</v>
      </c>
      <c r="G23" s="815"/>
      <c r="H23" s="684">
        <v>0</v>
      </c>
      <c r="I23" s="815"/>
      <c r="J23" s="684">
        <v>0</v>
      </c>
      <c r="K23" s="1537"/>
      <c r="L23" s="684">
        <v>0</v>
      </c>
      <c r="M23" s="1537"/>
      <c r="N23" s="684">
        <v>0</v>
      </c>
      <c r="O23" s="1537"/>
      <c r="P23" s="1789">
        <v>0</v>
      </c>
      <c r="Q23" s="1998"/>
      <c r="R23" s="1789">
        <v>0</v>
      </c>
      <c r="S23" s="1998"/>
      <c r="T23" s="1789">
        <v>0</v>
      </c>
      <c r="U23" s="1998"/>
      <c r="V23" s="1789">
        <f t="shared" si="0"/>
        <v>0</v>
      </c>
      <c r="W23" s="1998"/>
      <c r="X23" s="1789"/>
      <c r="Y23" s="1998"/>
      <c r="Z23" s="1789"/>
      <c r="AA23" s="1999"/>
      <c r="AB23" s="2000"/>
      <c r="AC23" s="2001"/>
      <c r="AD23" s="1789">
        <v>0</v>
      </c>
      <c r="AE23" s="2000"/>
      <c r="AF23" s="2002"/>
      <c r="AG23" s="1789">
        <v>0</v>
      </c>
      <c r="AH23" s="275"/>
      <c r="AI23" s="56"/>
      <c r="AJ23" s="943">
        <f t="shared" si="1"/>
        <v>0</v>
      </c>
      <c r="AK23" s="943"/>
      <c r="AL23" s="1438">
        <f>ROUND(IF(AG23=0,0,AJ23/ABS(AG23)),3)</f>
        <v>0</v>
      </c>
    </row>
    <row r="24" spans="1:39" ht="15" customHeight="1">
      <c r="A24" s="150"/>
      <c r="B24" s="892" t="s">
        <v>1052</v>
      </c>
      <c r="C24" s="31"/>
      <c r="D24" s="684">
        <v>0</v>
      </c>
      <c r="E24" s="815"/>
      <c r="F24" s="684">
        <v>0</v>
      </c>
      <c r="G24" s="815"/>
      <c r="H24" s="684">
        <v>0</v>
      </c>
      <c r="I24" s="815"/>
      <c r="J24" s="684">
        <v>0</v>
      </c>
      <c r="K24" s="1537"/>
      <c r="L24" s="684">
        <v>0</v>
      </c>
      <c r="M24" s="1537"/>
      <c r="N24" s="684">
        <v>0</v>
      </c>
      <c r="O24" s="1537"/>
      <c r="P24" s="1789">
        <v>0</v>
      </c>
      <c r="Q24" s="1998"/>
      <c r="R24" s="1789">
        <v>0</v>
      </c>
      <c r="S24" s="1998"/>
      <c r="T24" s="1789">
        <v>0</v>
      </c>
      <c r="U24" s="1998"/>
      <c r="V24" s="1789">
        <f t="shared" si="0"/>
        <v>0</v>
      </c>
      <c r="W24" s="1998"/>
      <c r="X24" s="1789"/>
      <c r="Y24" s="1998"/>
      <c r="Z24" s="1789"/>
      <c r="AA24" s="1999"/>
      <c r="AB24" s="2000"/>
      <c r="AC24" s="2001"/>
      <c r="AD24" s="1789">
        <v>0</v>
      </c>
      <c r="AE24" s="2000"/>
      <c r="AF24" s="2002"/>
      <c r="AG24" s="1789">
        <v>0</v>
      </c>
      <c r="AH24" s="275"/>
      <c r="AI24" s="56"/>
      <c r="AJ24" s="943">
        <f t="shared" si="1"/>
        <v>0</v>
      </c>
      <c r="AK24" s="943"/>
      <c r="AL24" s="1438">
        <f>ROUND(IF(AG24=0,0,AJ24/ABS(AG24)),3)</f>
        <v>0</v>
      </c>
    </row>
    <row r="25" spans="1:39" ht="15" customHeight="1">
      <c r="A25" s="150"/>
      <c r="B25" s="892" t="s">
        <v>1139</v>
      </c>
      <c r="C25" s="31"/>
      <c r="D25" s="684" t="s">
        <v>15</v>
      </c>
      <c r="E25" s="815"/>
      <c r="F25" s="684"/>
      <c r="G25" s="815"/>
      <c r="H25" s="684"/>
      <c r="I25" s="815"/>
      <c r="J25" s="684"/>
      <c r="K25" s="140"/>
      <c r="L25" s="684"/>
      <c r="M25" s="140"/>
      <c r="N25" s="684"/>
      <c r="O25" s="140"/>
      <c r="P25" s="1789"/>
      <c r="Q25" s="1991"/>
      <c r="R25" s="1789"/>
      <c r="S25" s="1991"/>
      <c r="T25" s="1789"/>
      <c r="U25" s="1991"/>
      <c r="V25" s="1789"/>
      <c r="W25" s="1995"/>
      <c r="X25" s="1789"/>
      <c r="Y25" s="1995"/>
      <c r="Z25" s="1789"/>
      <c r="AA25" s="1994"/>
      <c r="AB25" s="1991"/>
      <c r="AC25" s="1996"/>
      <c r="AD25" s="1995"/>
      <c r="AE25" s="1995"/>
      <c r="AF25" s="1997"/>
      <c r="AG25" s="1995"/>
      <c r="AH25" s="275"/>
      <c r="AI25" s="56"/>
      <c r="AJ25" s="943"/>
      <c r="AK25" s="943"/>
      <c r="AL25" s="1438"/>
    </row>
    <row r="26" spans="1:39" ht="15" customHeight="1">
      <c r="A26" s="150"/>
      <c r="B26" s="892" t="s">
        <v>1053</v>
      </c>
      <c r="C26" s="31"/>
      <c r="D26" s="684">
        <v>0</v>
      </c>
      <c r="E26" s="815"/>
      <c r="F26" s="684">
        <v>0</v>
      </c>
      <c r="G26" s="815"/>
      <c r="H26" s="684">
        <v>0</v>
      </c>
      <c r="I26" s="815"/>
      <c r="J26" s="684">
        <v>0</v>
      </c>
      <c r="K26" s="1537"/>
      <c r="L26" s="684">
        <v>0</v>
      </c>
      <c r="M26" s="1537"/>
      <c r="N26" s="684">
        <v>0</v>
      </c>
      <c r="O26" s="1537"/>
      <c r="P26" s="1789">
        <v>0</v>
      </c>
      <c r="Q26" s="1998"/>
      <c r="R26" s="1789">
        <v>0</v>
      </c>
      <c r="S26" s="1998"/>
      <c r="T26" s="1789">
        <v>0</v>
      </c>
      <c r="U26" s="1998"/>
      <c r="V26" s="1789">
        <f t="shared" si="0"/>
        <v>0</v>
      </c>
      <c r="W26" s="1998"/>
      <c r="X26" s="1789"/>
      <c r="Y26" s="1998"/>
      <c r="Z26" s="1789"/>
      <c r="AA26" s="1999"/>
      <c r="AB26" s="2000"/>
      <c r="AC26" s="2001"/>
      <c r="AD26" s="1789">
        <v>0</v>
      </c>
      <c r="AE26" s="2000"/>
      <c r="AF26" s="2002"/>
      <c r="AG26" s="1789">
        <v>0</v>
      </c>
      <c r="AH26" s="275"/>
      <c r="AI26" s="56"/>
      <c r="AJ26" s="943">
        <f t="shared" si="1"/>
        <v>0</v>
      </c>
      <c r="AK26" s="943"/>
      <c r="AL26" s="1438">
        <f t="shared" ref="AL26:AL31" si="2">ROUND(IF(AG26=0,0,AJ26/ABS(AG26)),3)</f>
        <v>0</v>
      </c>
    </row>
    <row r="27" spans="1:39" ht="15" customHeight="1">
      <c r="A27" s="150"/>
      <c r="B27" s="892" t="s">
        <v>1054</v>
      </c>
      <c r="C27" s="31"/>
      <c r="D27" s="684">
        <v>0</v>
      </c>
      <c r="E27" s="815"/>
      <c r="F27" s="684">
        <v>0</v>
      </c>
      <c r="G27" s="815"/>
      <c r="H27" s="684">
        <v>0</v>
      </c>
      <c r="I27" s="815"/>
      <c r="J27" s="684">
        <v>0</v>
      </c>
      <c r="K27" s="1537"/>
      <c r="L27" s="684">
        <v>0</v>
      </c>
      <c r="M27" s="1537"/>
      <c r="N27" s="684">
        <v>0</v>
      </c>
      <c r="O27" s="1537"/>
      <c r="P27" s="1789">
        <v>0</v>
      </c>
      <c r="Q27" s="1998"/>
      <c r="R27" s="1789">
        <v>0</v>
      </c>
      <c r="S27" s="1998"/>
      <c r="T27" s="1789">
        <v>0</v>
      </c>
      <c r="U27" s="1998"/>
      <c r="V27" s="1789">
        <f t="shared" si="0"/>
        <v>0</v>
      </c>
      <c r="W27" s="1998"/>
      <c r="X27" s="1789"/>
      <c r="Y27" s="1998"/>
      <c r="Z27" s="1789"/>
      <c r="AA27" s="1999"/>
      <c r="AB27" s="2000"/>
      <c r="AC27" s="2001"/>
      <c r="AD27" s="1789">
        <v>0</v>
      </c>
      <c r="AE27" s="2000"/>
      <c r="AF27" s="2002"/>
      <c r="AG27" s="1789">
        <v>0</v>
      </c>
      <c r="AH27" s="275"/>
      <c r="AI27" s="56"/>
      <c r="AJ27" s="943">
        <f t="shared" si="1"/>
        <v>0</v>
      </c>
      <c r="AK27" s="943"/>
      <c r="AL27" s="1438">
        <f t="shared" si="2"/>
        <v>0</v>
      </c>
    </row>
    <row r="28" spans="1:39" ht="15" customHeight="1">
      <c r="A28" s="150"/>
      <c r="B28" s="892" t="s">
        <v>1055</v>
      </c>
      <c r="C28" s="31"/>
      <c r="D28" s="684">
        <v>0</v>
      </c>
      <c r="E28" s="815"/>
      <c r="F28" s="684">
        <v>0</v>
      </c>
      <c r="G28" s="815"/>
      <c r="H28" s="684">
        <v>0</v>
      </c>
      <c r="I28" s="815"/>
      <c r="J28" s="684">
        <v>0</v>
      </c>
      <c r="K28" s="1537"/>
      <c r="L28" s="684">
        <v>0</v>
      </c>
      <c r="M28" s="1537"/>
      <c r="N28" s="684">
        <v>0</v>
      </c>
      <c r="O28" s="1537"/>
      <c r="P28" s="1789">
        <v>0</v>
      </c>
      <c r="Q28" s="1998"/>
      <c r="R28" s="1789">
        <v>0</v>
      </c>
      <c r="S28" s="1998"/>
      <c r="T28" s="1789">
        <v>0</v>
      </c>
      <c r="U28" s="1998"/>
      <c r="V28" s="1789">
        <f t="shared" si="0"/>
        <v>0</v>
      </c>
      <c r="W28" s="1998"/>
      <c r="X28" s="1789"/>
      <c r="Y28" s="1998"/>
      <c r="Z28" s="1789"/>
      <c r="AA28" s="1999"/>
      <c r="AB28" s="2000"/>
      <c r="AC28" s="2001"/>
      <c r="AD28" s="1789">
        <v>0</v>
      </c>
      <c r="AE28" s="2000"/>
      <c r="AF28" s="2002"/>
      <c r="AG28" s="1789">
        <v>0</v>
      </c>
      <c r="AH28" s="275"/>
      <c r="AI28" s="56"/>
      <c r="AJ28" s="943">
        <f t="shared" si="1"/>
        <v>0</v>
      </c>
      <c r="AK28" s="943"/>
      <c r="AL28" s="1438">
        <f t="shared" si="2"/>
        <v>0</v>
      </c>
    </row>
    <row r="29" spans="1:39" ht="15" customHeight="1">
      <c r="A29" s="150"/>
      <c r="B29" s="892" t="s">
        <v>1056</v>
      </c>
      <c r="C29" s="31"/>
      <c r="D29" s="684">
        <v>0</v>
      </c>
      <c r="E29" s="815"/>
      <c r="F29" s="684">
        <v>0</v>
      </c>
      <c r="G29" s="815"/>
      <c r="H29" s="684">
        <v>0</v>
      </c>
      <c r="I29" s="815"/>
      <c r="J29" s="684">
        <v>0</v>
      </c>
      <c r="K29" s="1537"/>
      <c r="L29" s="684">
        <v>0</v>
      </c>
      <c r="M29" s="1537"/>
      <c r="N29" s="684">
        <v>0</v>
      </c>
      <c r="O29" s="1537"/>
      <c r="P29" s="1789">
        <v>0</v>
      </c>
      <c r="Q29" s="1998"/>
      <c r="R29" s="1789">
        <v>0</v>
      </c>
      <c r="S29" s="1998"/>
      <c r="T29" s="1789">
        <v>0</v>
      </c>
      <c r="U29" s="1998"/>
      <c r="V29" s="1789">
        <f t="shared" si="0"/>
        <v>0</v>
      </c>
      <c r="W29" s="1998"/>
      <c r="X29" s="1789"/>
      <c r="Y29" s="1998"/>
      <c r="Z29" s="1789"/>
      <c r="AA29" s="1999"/>
      <c r="AB29" s="2000"/>
      <c r="AC29" s="2001"/>
      <c r="AD29" s="1789">
        <v>0</v>
      </c>
      <c r="AE29" s="2000"/>
      <c r="AF29" s="2002"/>
      <c r="AG29" s="1789">
        <v>0</v>
      </c>
      <c r="AH29" s="275"/>
      <c r="AI29" s="56"/>
      <c r="AJ29" s="943">
        <f t="shared" si="1"/>
        <v>0</v>
      </c>
      <c r="AK29" s="943"/>
      <c r="AL29" s="1438">
        <f t="shared" si="2"/>
        <v>0</v>
      </c>
    </row>
    <row r="30" spans="1:39" ht="15" customHeight="1">
      <c r="A30" s="150"/>
      <c r="B30" s="892" t="s">
        <v>1057</v>
      </c>
      <c r="C30" s="31"/>
      <c r="D30" s="684">
        <v>0</v>
      </c>
      <c r="E30" s="815"/>
      <c r="F30" s="684">
        <v>0</v>
      </c>
      <c r="G30" s="815"/>
      <c r="H30" s="684">
        <v>0</v>
      </c>
      <c r="I30" s="815"/>
      <c r="J30" s="684">
        <v>0</v>
      </c>
      <c r="K30" s="1537"/>
      <c r="L30" s="684">
        <v>0</v>
      </c>
      <c r="M30" s="1537"/>
      <c r="N30" s="684">
        <v>0</v>
      </c>
      <c r="O30" s="1537"/>
      <c r="P30" s="1789">
        <v>0</v>
      </c>
      <c r="Q30" s="1998"/>
      <c r="R30" s="1789">
        <v>0</v>
      </c>
      <c r="S30" s="1998"/>
      <c r="T30" s="1789">
        <v>0</v>
      </c>
      <c r="U30" s="1998"/>
      <c r="V30" s="1789">
        <f t="shared" si="0"/>
        <v>0</v>
      </c>
      <c r="W30" s="1998"/>
      <c r="X30" s="1789"/>
      <c r="Y30" s="1998"/>
      <c r="Z30" s="1789"/>
      <c r="AA30" s="1999"/>
      <c r="AB30" s="2000"/>
      <c r="AC30" s="2001"/>
      <c r="AD30" s="1789">
        <v>0</v>
      </c>
      <c r="AE30" s="2000"/>
      <c r="AF30" s="2002"/>
      <c r="AG30" s="1789">
        <v>0</v>
      </c>
      <c r="AH30" s="275"/>
      <c r="AI30" s="56"/>
      <c r="AJ30" s="943">
        <f t="shared" si="1"/>
        <v>0</v>
      </c>
      <c r="AK30" s="943"/>
      <c r="AL30" s="1438">
        <f t="shared" si="2"/>
        <v>0</v>
      </c>
    </row>
    <row r="31" spans="1:39" ht="15" customHeight="1">
      <c r="A31" s="150"/>
      <c r="B31" s="892" t="s">
        <v>1015</v>
      </c>
      <c r="C31" s="31"/>
      <c r="D31" s="684">
        <v>0.3</v>
      </c>
      <c r="E31" s="815"/>
      <c r="F31" s="684">
        <v>0.2</v>
      </c>
      <c r="G31" s="815"/>
      <c r="H31" s="684">
        <v>0.19999999999999996</v>
      </c>
      <c r="I31" s="815"/>
      <c r="J31" s="684">
        <v>0.20000000000000012</v>
      </c>
      <c r="K31" s="1537"/>
      <c r="L31" s="684">
        <v>0.2</v>
      </c>
      <c r="M31" s="1537"/>
      <c r="N31" s="684">
        <v>0.3</v>
      </c>
      <c r="O31" s="1537"/>
      <c r="P31" s="1789">
        <v>9.9999999999999867E-2</v>
      </c>
      <c r="Q31" s="1998"/>
      <c r="R31" s="1789">
        <v>0.2</v>
      </c>
      <c r="S31" s="1998"/>
      <c r="T31" s="1789">
        <v>0.3</v>
      </c>
      <c r="U31" s="1998"/>
      <c r="V31" s="1789">
        <f t="shared" si="0"/>
        <v>0.29999999999999988</v>
      </c>
      <c r="W31" s="1998"/>
      <c r="X31" s="1789"/>
      <c r="Y31" s="1998"/>
      <c r="Z31" s="1789"/>
      <c r="AA31" s="1999"/>
      <c r="AB31" s="2000"/>
      <c r="AC31" s="2001"/>
      <c r="AD31" s="1789">
        <v>2.2999999999999998</v>
      </c>
      <c r="AE31" s="2000"/>
      <c r="AF31" s="2002"/>
      <c r="AG31" s="1789">
        <v>5.0999999999999996</v>
      </c>
      <c r="AH31" s="275"/>
      <c r="AI31" s="56"/>
      <c r="AJ31" s="943">
        <f>ROUND(SUM(+AD31-AG31),1)</f>
        <v>-2.8</v>
      </c>
      <c r="AK31" s="943"/>
      <c r="AL31" s="1438">
        <f t="shared" si="2"/>
        <v>-0.54900000000000004</v>
      </c>
    </row>
    <row r="32" spans="1:39" s="887" customFormat="1" ht="15" customHeight="1">
      <c r="A32" s="1070"/>
      <c r="B32" s="892" t="s">
        <v>1016</v>
      </c>
      <c r="C32" s="107"/>
      <c r="D32" s="684">
        <v>3</v>
      </c>
      <c r="E32" s="815"/>
      <c r="F32" s="684">
        <v>3.9</v>
      </c>
      <c r="G32" s="815"/>
      <c r="H32" s="684">
        <v>1.4000000000000008</v>
      </c>
      <c r="I32" s="815"/>
      <c r="J32" s="684">
        <v>0.89999999999999858</v>
      </c>
      <c r="K32" s="1537"/>
      <c r="L32" s="684">
        <v>1.2000000000000011</v>
      </c>
      <c r="M32" s="1537"/>
      <c r="N32" s="684">
        <v>0.79999999999999849</v>
      </c>
      <c r="O32" s="1537"/>
      <c r="P32" s="1789">
        <v>0.80000000000000071</v>
      </c>
      <c r="Q32" s="1998"/>
      <c r="R32" s="1789">
        <v>0.80000000000000115</v>
      </c>
      <c r="S32" s="1998"/>
      <c r="T32" s="1789">
        <v>0.69999999999999929</v>
      </c>
      <c r="U32" s="1998"/>
      <c r="V32" s="1789">
        <f t="shared" si="0"/>
        <v>0.80000000000000071</v>
      </c>
      <c r="W32" s="1998"/>
      <c r="X32" s="1789"/>
      <c r="Y32" s="1998"/>
      <c r="Z32" s="1789"/>
      <c r="AA32" s="1999"/>
      <c r="AB32" s="2000"/>
      <c r="AC32" s="2001"/>
      <c r="AD32" s="1789">
        <v>14.3</v>
      </c>
      <c r="AE32" s="2000"/>
      <c r="AF32" s="2002"/>
      <c r="AG32" s="1789">
        <v>23.7</v>
      </c>
      <c r="AH32" s="1073"/>
      <c r="AI32" s="67"/>
      <c r="AJ32" s="1024">
        <f t="shared" si="1"/>
        <v>-9.4</v>
      </c>
      <c r="AK32" s="1024"/>
      <c r="AL32" s="1724">
        <f>ROUND(IF(AG32=0,1,AJ32/ABS(AG32)),3)</f>
        <v>-0.39700000000000002</v>
      </c>
    </row>
    <row r="33" spans="1:38" s="887" customFormat="1" ht="15" customHeight="1">
      <c r="A33" s="1070"/>
      <c r="B33" s="892" t="s">
        <v>1137</v>
      </c>
      <c r="C33" s="107"/>
      <c r="D33" s="684" t="s">
        <v>15</v>
      </c>
      <c r="E33" s="815"/>
      <c r="F33" s="684"/>
      <c r="G33" s="815"/>
      <c r="H33" s="684"/>
      <c r="I33" s="815"/>
      <c r="J33" s="684"/>
      <c r="K33" s="140"/>
      <c r="L33" s="684"/>
      <c r="M33" s="140"/>
      <c r="N33" s="684"/>
      <c r="O33" s="140"/>
      <c r="P33" s="1789"/>
      <c r="Q33" s="1991"/>
      <c r="R33" s="1789"/>
      <c r="S33" s="1991"/>
      <c r="T33" s="1789"/>
      <c r="U33" s="1991"/>
      <c r="V33" s="1789"/>
      <c r="W33" s="1995"/>
      <c r="X33" s="1789"/>
      <c r="Y33" s="1995"/>
      <c r="Z33" s="1789"/>
      <c r="AA33" s="1994"/>
      <c r="AB33" s="1991"/>
      <c r="AC33" s="1996"/>
      <c r="AD33" s="1995"/>
      <c r="AE33" s="1995"/>
      <c r="AF33" s="1997"/>
      <c r="AG33" s="1995"/>
      <c r="AH33" s="1073"/>
      <c r="AI33" s="67"/>
      <c r="AJ33" s="1024"/>
      <c r="AK33" s="1024"/>
      <c r="AL33" s="1448"/>
    </row>
    <row r="34" spans="1:38" s="887" customFormat="1" ht="15" customHeight="1">
      <c r="A34" s="1070"/>
      <c r="B34" s="892" t="s">
        <v>1061</v>
      </c>
      <c r="C34" s="107"/>
      <c r="D34" s="684">
        <v>0</v>
      </c>
      <c r="E34" s="815"/>
      <c r="F34" s="684">
        <v>0</v>
      </c>
      <c r="G34" s="815"/>
      <c r="H34" s="684">
        <v>0</v>
      </c>
      <c r="I34" s="815"/>
      <c r="J34" s="684">
        <v>0</v>
      </c>
      <c r="K34" s="1537"/>
      <c r="L34" s="684">
        <v>0</v>
      </c>
      <c r="M34" s="1537"/>
      <c r="N34" s="684">
        <v>0</v>
      </c>
      <c r="O34" s="1537"/>
      <c r="P34" s="1789">
        <v>0</v>
      </c>
      <c r="Q34" s="1998"/>
      <c r="R34" s="1789">
        <v>0</v>
      </c>
      <c r="S34" s="1998"/>
      <c r="T34" s="1789">
        <v>0</v>
      </c>
      <c r="U34" s="1998"/>
      <c r="V34" s="1789">
        <f t="shared" si="0"/>
        <v>0</v>
      </c>
      <c r="W34" s="1998"/>
      <c r="X34" s="1789"/>
      <c r="Y34" s="1998"/>
      <c r="Z34" s="1789"/>
      <c r="AA34" s="1999"/>
      <c r="AB34" s="2000"/>
      <c r="AC34" s="2001"/>
      <c r="AD34" s="1789">
        <v>0</v>
      </c>
      <c r="AE34" s="2000"/>
      <c r="AF34" s="2002"/>
      <c r="AG34" s="1789">
        <v>0</v>
      </c>
      <c r="AH34" s="1073"/>
      <c r="AI34" s="67"/>
      <c r="AJ34" s="1024">
        <f t="shared" si="1"/>
        <v>0</v>
      </c>
      <c r="AK34" s="1024"/>
      <c r="AL34" s="1724">
        <f t="shared" ref="AL34:AL39" si="3">ROUND(IF(AG34=0,0,AJ34/ABS(AG34)),3)</f>
        <v>0</v>
      </c>
    </row>
    <row r="35" spans="1:38" s="887" customFormat="1" ht="15" customHeight="1">
      <c r="A35" s="1070"/>
      <c r="B35" s="892" t="s">
        <v>1062</v>
      </c>
      <c r="C35" s="107"/>
      <c r="D35" s="684">
        <v>0</v>
      </c>
      <c r="E35" s="815"/>
      <c r="F35" s="684">
        <v>0</v>
      </c>
      <c r="G35" s="815"/>
      <c r="H35" s="684">
        <v>0</v>
      </c>
      <c r="I35" s="815"/>
      <c r="J35" s="684">
        <v>0</v>
      </c>
      <c r="K35" s="1537"/>
      <c r="L35" s="684">
        <v>0</v>
      </c>
      <c r="M35" s="1537"/>
      <c r="N35" s="684">
        <v>0</v>
      </c>
      <c r="O35" s="1537"/>
      <c r="P35" s="1789">
        <v>0</v>
      </c>
      <c r="Q35" s="1998"/>
      <c r="R35" s="1789">
        <v>0</v>
      </c>
      <c r="S35" s="1998"/>
      <c r="T35" s="1789">
        <v>0</v>
      </c>
      <c r="U35" s="1998"/>
      <c r="V35" s="1789">
        <f t="shared" si="0"/>
        <v>0</v>
      </c>
      <c r="W35" s="1998"/>
      <c r="X35" s="1789"/>
      <c r="Y35" s="1998"/>
      <c r="Z35" s="1789"/>
      <c r="AA35" s="1999"/>
      <c r="AB35" s="2000"/>
      <c r="AC35" s="2001"/>
      <c r="AD35" s="1789">
        <v>0</v>
      </c>
      <c r="AE35" s="2000"/>
      <c r="AF35" s="2002"/>
      <c r="AG35" s="1789">
        <v>0</v>
      </c>
      <c r="AH35" s="1073"/>
      <c r="AI35" s="67"/>
      <c r="AJ35" s="1024">
        <f t="shared" si="1"/>
        <v>0</v>
      </c>
      <c r="AK35" s="1024"/>
      <c r="AL35" s="1724">
        <f t="shared" si="3"/>
        <v>0</v>
      </c>
    </row>
    <row r="36" spans="1:38" s="887" customFormat="1" ht="15" customHeight="1">
      <c r="A36" s="1070"/>
      <c r="B36" s="892" t="s">
        <v>1063</v>
      </c>
      <c r="C36" s="107"/>
      <c r="D36" s="684">
        <v>0</v>
      </c>
      <c r="E36" s="815"/>
      <c r="F36" s="684">
        <v>0</v>
      </c>
      <c r="G36" s="815"/>
      <c r="H36" s="684">
        <v>0</v>
      </c>
      <c r="I36" s="815"/>
      <c r="J36" s="684">
        <v>0</v>
      </c>
      <c r="K36" s="1537"/>
      <c r="L36" s="684">
        <v>0</v>
      </c>
      <c r="M36" s="1537"/>
      <c r="N36" s="684">
        <v>0</v>
      </c>
      <c r="O36" s="1537"/>
      <c r="P36" s="1789">
        <v>0</v>
      </c>
      <c r="Q36" s="1998"/>
      <c r="R36" s="1789">
        <v>0</v>
      </c>
      <c r="S36" s="1998"/>
      <c r="T36" s="1789">
        <v>0</v>
      </c>
      <c r="U36" s="1998"/>
      <c r="V36" s="1789">
        <f t="shared" si="0"/>
        <v>0</v>
      </c>
      <c r="W36" s="1998"/>
      <c r="X36" s="1789"/>
      <c r="Y36" s="1998"/>
      <c r="Z36" s="1789"/>
      <c r="AA36" s="1999"/>
      <c r="AB36" s="2000"/>
      <c r="AC36" s="2001"/>
      <c r="AD36" s="1789">
        <v>0</v>
      </c>
      <c r="AE36" s="2000"/>
      <c r="AF36" s="2002"/>
      <c r="AG36" s="1789">
        <v>0</v>
      </c>
      <c r="AH36" s="1073"/>
      <c r="AI36" s="67"/>
      <c r="AJ36" s="1024">
        <f t="shared" si="1"/>
        <v>0</v>
      </c>
      <c r="AK36" s="1024"/>
      <c r="AL36" s="1724">
        <f t="shared" si="3"/>
        <v>0</v>
      </c>
    </row>
    <row r="37" spans="1:38" s="887" customFormat="1" ht="15" customHeight="1">
      <c r="A37" s="1070"/>
      <c r="B37" s="892" t="s">
        <v>1064</v>
      </c>
      <c r="C37" s="107"/>
      <c r="D37" s="684">
        <v>0</v>
      </c>
      <c r="E37" s="815"/>
      <c r="F37" s="684">
        <v>0</v>
      </c>
      <c r="G37" s="815"/>
      <c r="H37" s="684">
        <v>0</v>
      </c>
      <c r="I37" s="815"/>
      <c r="J37" s="684">
        <v>0</v>
      </c>
      <c r="K37" s="1537"/>
      <c r="L37" s="684">
        <v>0</v>
      </c>
      <c r="M37" s="1537"/>
      <c r="N37" s="684">
        <v>0</v>
      </c>
      <c r="O37" s="1537"/>
      <c r="P37" s="1789">
        <v>0</v>
      </c>
      <c r="Q37" s="1998"/>
      <c r="R37" s="1789">
        <v>0</v>
      </c>
      <c r="S37" s="1998"/>
      <c r="T37" s="1789">
        <v>0</v>
      </c>
      <c r="U37" s="1998"/>
      <c r="V37" s="1789">
        <f t="shared" si="0"/>
        <v>0</v>
      </c>
      <c r="W37" s="1998"/>
      <c r="X37" s="1789"/>
      <c r="Y37" s="1998"/>
      <c r="Z37" s="1789"/>
      <c r="AA37" s="1999"/>
      <c r="AB37" s="2000"/>
      <c r="AC37" s="2001"/>
      <c r="AD37" s="1789">
        <v>0</v>
      </c>
      <c r="AE37" s="2000"/>
      <c r="AF37" s="2002"/>
      <c r="AG37" s="1789">
        <v>0</v>
      </c>
      <c r="AH37" s="1073"/>
      <c r="AI37" s="67"/>
      <c r="AJ37" s="1024">
        <f t="shared" si="1"/>
        <v>0</v>
      </c>
      <c r="AK37" s="1024"/>
      <c r="AL37" s="1724">
        <f t="shared" si="3"/>
        <v>0</v>
      </c>
    </row>
    <row r="38" spans="1:38" s="887" customFormat="1" ht="15" customHeight="1">
      <c r="A38" s="1070"/>
      <c r="B38" s="892" t="s">
        <v>1034</v>
      </c>
      <c r="C38" s="107"/>
      <c r="D38" s="684">
        <v>0</v>
      </c>
      <c r="E38" s="815"/>
      <c r="F38" s="684">
        <v>0</v>
      </c>
      <c r="G38" s="815"/>
      <c r="H38" s="684">
        <v>0</v>
      </c>
      <c r="I38" s="815"/>
      <c r="J38" s="684">
        <v>0</v>
      </c>
      <c r="K38" s="1537"/>
      <c r="L38" s="684">
        <v>0</v>
      </c>
      <c r="M38" s="1537"/>
      <c r="N38" s="684">
        <v>0</v>
      </c>
      <c r="O38" s="1537"/>
      <c r="P38" s="1789">
        <v>0</v>
      </c>
      <c r="Q38" s="1998"/>
      <c r="R38" s="1789">
        <v>0</v>
      </c>
      <c r="S38" s="1998"/>
      <c r="T38" s="1789">
        <v>0</v>
      </c>
      <c r="U38" s="1998"/>
      <c r="V38" s="1789">
        <f t="shared" si="0"/>
        <v>0</v>
      </c>
      <c r="W38" s="1998"/>
      <c r="X38" s="1789"/>
      <c r="Y38" s="1998"/>
      <c r="Z38" s="1789"/>
      <c r="AA38" s="1999"/>
      <c r="AB38" s="2000"/>
      <c r="AC38" s="2001"/>
      <c r="AD38" s="1789">
        <v>0</v>
      </c>
      <c r="AE38" s="2000"/>
      <c r="AF38" s="2002"/>
      <c r="AG38" s="1789">
        <v>0</v>
      </c>
      <c r="AH38" s="1073"/>
      <c r="AI38" s="67"/>
      <c r="AJ38" s="1024">
        <f t="shared" si="1"/>
        <v>0</v>
      </c>
      <c r="AK38" s="1024"/>
      <c r="AL38" s="1724">
        <f t="shared" si="3"/>
        <v>0</v>
      </c>
    </row>
    <row r="39" spans="1:38" s="887" customFormat="1" ht="15" customHeight="1">
      <c r="A39" s="1070"/>
      <c r="B39" s="892" t="s">
        <v>1035</v>
      </c>
      <c r="C39" s="107"/>
      <c r="D39" s="684">
        <v>0</v>
      </c>
      <c r="E39" s="815"/>
      <c r="F39" s="684">
        <v>0</v>
      </c>
      <c r="G39" s="815"/>
      <c r="H39" s="684">
        <v>0</v>
      </c>
      <c r="I39" s="815"/>
      <c r="J39" s="684">
        <v>0</v>
      </c>
      <c r="K39" s="1537"/>
      <c r="L39" s="684">
        <v>0</v>
      </c>
      <c r="M39" s="1537"/>
      <c r="N39" s="684">
        <v>0</v>
      </c>
      <c r="O39" s="1537"/>
      <c r="P39" s="1789">
        <v>0</v>
      </c>
      <c r="Q39" s="1998"/>
      <c r="R39" s="1789">
        <v>0</v>
      </c>
      <c r="S39" s="1998"/>
      <c r="T39" s="1789">
        <v>0</v>
      </c>
      <c r="U39" s="1998"/>
      <c r="V39" s="1789">
        <f t="shared" si="0"/>
        <v>0</v>
      </c>
      <c r="W39" s="1998"/>
      <c r="X39" s="1789"/>
      <c r="Y39" s="1998"/>
      <c r="Z39" s="1789"/>
      <c r="AA39" s="1999"/>
      <c r="AB39" s="2000"/>
      <c r="AC39" s="2001"/>
      <c r="AD39" s="1789">
        <v>0</v>
      </c>
      <c r="AE39" s="2000"/>
      <c r="AF39" s="2002"/>
      <c r="AG39" s="1789">
        <v>0</v>
      </c>
      <c r="AH39" s="1073"/>
      <c r="AI39" s="67"/>
      <c r="AJ39" s="1024">
        <f t="shared" si="1"/>
        <v>0</v>
      </c>
      <c r="AK39" s="1024"/>
      <c r="AL39" s="1724">
        <f t="shared" si="3"/>
        <v>0</v>
      </c>
    </row>
    <row r="40" spans="1:38" s="887" customFormat="1" ht="15" customHeight="1">
      <c r="A40" s="1070"/>
      <c r="B40" s="892" t="s">
        <v>1138</v>
      </c>
      <c r="C40" s="107"/>
      <c r="D40" s="684" t="s">
        <v>15</v>
      </c>
      <c r="E40" s="815"/>
      <c r="F40" s="684"/>
      <c r="G40" s="815"/>
      <c r="H40" s="684"/>
      <c r="I40" s="815"/>
      <c r="J40" s="684"/>
      <c r="K40" s="140"/>
      <c r="L40" s="684"/>
      <c r="M40" s="140"/>
      <c r="N40" s="684"/>
      <c r="O40" s="140"/>
      <c r="P40" s="1789"/>
      <c r="Q40" s="1991"/>
      <c r="R40" s="1789"/>
      <c r="S40" s="1991"/>
      <c r="T40" s="1789"/>
      <c r="U40" s="1991"/>
      <c r="V40" s="1789"/>
      <c r="W40" s="1995"/>
      <c r="X40" s="1789"/>
      <c r="Y40" s="1995"/>
      <c r="Z40" s="1789"/>
      <c r="AA40" s="1994"/>
      <c r="AB40" s="1991"/>
      <c r="AC40" s="1996"/>
      <c r="AD40" s="1995"/>
      <c r="AE40" s="1995"/>
      <c r="AF40" s="1997"/>
      <c r="AG40" s="1995"/>
      <c r="AH40" s="1073"/>
      <c r="AI40" s="67"/>
      <c r="AJ40" s="1024"/>
      <c r="AK40" s="1024"/>
      <c r="AL40" s="1448"/>
    </row>
    <row r="41" spans="1:38" s="887" customFormat="1" ht="15" customHeight="1">
      <c r="A41" s="1070"/>
      <c r="B41" s="892" t="s">
        <v>1065</v>
      </c>
      <c r="C41" s="107"/>
      <c r="D41" s="684">
        <v>0</v>
      </c>
      <c r="E41" s="815"/>
      <c r="F41" s="684">
        <v>0</v>
      </c>
      <c r="G41" s="815"/>
      <c r="H41" s="684">
        <v>0</v>
      </c>
      <c r="I41" s="815"/>
      <c r="J41" s="684">
        <v>0</v>
      </c>
      <c r="K41" s="1537"/>
      <c r="L41" s="684">
        <v>0</v>
      </c>
      <c r="M41" s="1537"/>
      <c r="N41" s="684">
        <v>0</v>
      </c>
      <c r="O41" s="1537"/>
      <c r="P41" s="1789">
        <v>0</v>
      </c>
      <c r="Q41" s="1998"/>
      <c r="R41" s="1789">
        <v>0</v>
      </c>
      <c r="S41" s="1998"/>
      <c r="T41" s="1789">
        <v>0</v>
      </c>
      <c r="U41" s="1998"/>
      <c r="V41" s="1789">
        <f t="shared" si="0"/>
        <v>0</v>
      </c>
      <c r="W41" s="1998"/>
      <c r="X41" s="1789"/>
      <c r="Y41" s="1998"/>
      <c r="Z41" s="1789"/>
      <c r="AA41" s="1999"/>
      <c r="AB41" s="2000"/>
      <c r="AC41" s="2001"/>
      <c r="AD41" s="1789">
        <v>0</v>
      </c>
      <c r="AE41" s="2000"/>
      <c r="AF41" s="2002"/>
      <c r="AG41" s="1789">
        <v>0</v>
      </c>
      <c r="AH41" s="1073"/>
      <c r="AI41" s="67"/>
      <c r="AJ41" s="1024">
        <f t="shared" si="1"/>
        <v>0</v>
      </c>
      <c r="AK41" s="1024"/>
      <c r="AL41" s="1724">
        <f t="shared" ref="AL41:AL48" si="4">ROUND(IF(AG41=0,0,AJ41/ABS(AG41)),3)</f>
        <v>0</v>
      </c>
    </row>
    <row r="42" spans="1:38" s="887" customFormat="1" ht="15" customHeight="1">
      <c r="A42" s="1070"/>
      <c r="B42" s="892" t="s">
        <v>1066</v>
      </c>
      <c r="C42" s="107"/>
      <c r="D42" s="684">
        <v>0</v>
      </c>
      <c r="E42" s="815"/>
      <c r="F42" s="684">
        <v>0</v>
      </c>
      <c r="G42" s="815"/>
      <c r="H42" s="684">
        <v>0</v>
      </c>
      <c r="I42" s="815"/>
      <c r="J42" s="684">
        <v>0</v>
      </c>
      <c r="K42" s="1537"/>
      <c r="L42" s="684">
        <v>0</v>
      </c>
      <c r="M42" s="1537"/>
      <c r="N42" s="684">
        <v>0</v>
      </c>
      <c r="O42" s="1537"/>
      <c r="P42" s="1789">
        <v>0</v>
      </c>
      <c r="Q42" s="1998"/>
      <c r="R42" s="1789">
        <v>0</v>
      </c>
      <c r="S42" s="1998"/>
      <c r="T42" s="1789">
        <v>0</v>
      </c>
      <c r="U42" s="1998"/>
      <c r="V42" s="1789">
        <f t="shared" si="0"/>
        <v>0</v>
      </c>
      <c r="W42" s="1998"/>
      <c r="X42" s="1789"/>
      <c r="Y42" s="1998"/>
      <c r="Z42" s="1789"/>
      <c r="AA42" s="1999"/>
      <c r="AB42" s="2000"/>
      <c r="AC42" s="2001"/>
      <c r="AD42" s="1789">
        <v>0</v>
      </c>
      <c r="AE42" s="2000"/>
      <c r="AF42" s="2002"/>
      <c r="AG42" s="1789">
        <v>0</v>
      </c>
      <c r="AH42" s="1073"/>
      <c r="AI42" s="67"/>
      <c r="AJ42" s="1024">
        <f t="shared" si="1"/>
        <v>0</v>
      </c>
      <c r="AK42" s="1024"/>
      <c r="AL42" s="1724">
        <f t="shared" si="4"/>
        <v>0</v>
      </c>
    </row>
    <row r="43" spans="1:38" s="887" customFormat="1" ht="15" customHeight="1">
      <c r="A43" s="1070"/>
      <c r="B43" s="892" t="s">
        <v>1067</v>
      </c>
      <c r="C43" s="107"/>
      <c r="D43" s="684">
        <v>0</v>
      </c>
      <c r="E43" s="815"/>
      <c r="F43" s="684">
        <v>0</v>
      </c>
      <c r="G43" s="815"/>
      <c r="H43" s="684">
        <v>0</v>
      </c>
      <c r="I43" s="815"/>
      <c r="J43" s="684">
        <v>0</v>
      </c>
      <c r="K43" s="1537"/>
      <c r="L43" s="684">
        <v>0</v>
      </c>
      <c r="M43" s="1537"/>
      <c r="N43" s="684">
        <v>0</v>
      </c>
      <c r="O43" s="1537"/>
      <c r="P43" s="1789">
        <v>0</v>
      </c>
      <c r="Q43" s="1998"/>
      <c r="R43" s="1789">
        <v>0</v>
      </c>
      <c r="S43" s="1998"/>
      <c r="T43" s="1789">
        <v>0</v>
      </c>
      <c r="U43" s="1998"/>
      <c r="V43" s="1789">
        <f t="shared" si="0"/>
        <v>0.1</v>
      </c>
      <c r="W43" s="1998"/>
      <c r="X43" s="1789"/>
      <c r="Y43" s="1998"/>
      <c r="Z43" s="1789"/>
      <c r="AA43" s="1999"/>
      <c r="AB43" s="2000"/>
      <c r="AC43" s="2001"/>
      <c r="AD43" s="1789">
        <v>0.1</v>
      </c>
      <c r="AE43" s="2000"/>
      <c r="AF43" s="2002"/>
      <c r="AG43" s="1789">
        <v>0</v>
      </c>
      <c r="AH43" s="1073"/>
      <c r="AI43" s="67"/>
      <c r="AJ43" s="1024">
        <f t="shared" si="1"/>
        <v>0.1</v>
      </c>
      <c r="AK43" s="1024"/>
      <c r="AL43" s="1724">
        <f>ROUND(IF(AG43=0,1,AJ43/ABS(AG43)),3)</f>
        <v>1</v>
      </c>
    </row>
    <row r="44" spans="1:38" s="887" customFormat="1" ht="15" customHeight="1">
      <c r="A44" s="1070"/>
      <c r="B44" s="892" t="s">
        <v>1068</v>
      </c>
      <c r="C44" s="107"/>
      <c r="D44" s="684">
        <v>0</v>
      </c>
      <c r="E44" s="815"/>
      <c r="F44" s="684">
        <v>0</v>
      </c>
      <c r="G44" s="815"/>
      <c r="H44" s="684">
        <v>0</v>
      </c>
      <c r="I44" s="815"/>
      <c r="J44" s="684">
        <v>0</v>
      </c>
      <c r="K44" s="1537"/>
      <c r="L44" s="684">
        <v>0</v>
      </c>
      <c r="M44" s="1537"/>
      <c r="N44" s="684">
        <v>0</v>
      </c>
      <c r="O44" s="1537"/>
      <c r="P44" s="1789">
        <v>0</v>
      </c>
      <c r="Q44" s="1998"/>
      <c r="R44" s="1789">
        <v>0</v>
      </c>
      <c r="S44" s="1998"/>
      <c r="T44" s="1789">
        <v>0</v>
      </c>
      <c r="U44" s="1998"/>
      <c r="V44" s="1789">
        <f t="shared" si="0"/>
        <v>0</v>
      </c>
      <c r="W44" s="1998"/>
      <c r="X44" s="1789"/>
      <c r="Y44" s="1998"/>
      <c r="Z44" s="1789"/>
      <c r="AA44" s="1999"/>
      <c r="AB44" s="2000"/>
      <c r="AC44" s="2001"/>
      <c r="AD44" s="1789">
        <v>0</v>
      </c>
      <c r="AE44" s="2000"/>
      <c r="AF44" s="2002"/>
      <c r="AG44" s="1789">
        <v>0</v>
      </c>
      <c r="AH44" s="1073"/>
      <c r="AI44" s="67"/>
      <c r="AJ44" s="1024">
        <f t="shared" si="1"/>
        <v>0</v>
      </c>
      <c r="AK44" s="1024"/>
      <c r="AL44" s="1724">
        <f t="shared" si="4"/>
        <v>0</v>
      </c>
    </row>
    <row r="45" spans="1:38" s="887" customFormat="1" ht="15" customHeight="1">
      <c r="A45" s="1070"/>
      <c r="B45" s="892" t="s">
        <v>1069</v>
      </c>
      <c r="C45" s="107"/>
      <c r="D45" s="684">
        <v>0</v>
      </c>
      <c r="E45" s="815"/>
      <c r="F45" s="684">
        <v>0</v>
      </c>
      <c r="G45" s="815"/>
      <c r="H45" s="684">
        <v>0</v>
      </c>
      <c r="I45" s="815"/>
      <c r="J45" s="684">
        <v>0</v>
      </c>
      <c r="K45" s="1537"/>
      <c r="L45" s="684">
        <v>0</v>
      </c>
      <c r="M45" s="1537"/>
      <c r="N45" s="684">
        <v>0</v>
      </c>
      <c r="O45" s="1537"/>
      <c r="P45" s="1789">
        <v>0</v>
      </c>
      <c r="Q45" s="1998"/>
      <c r="R45" s="1789">
        <v>0</v>
      </c>
      <c r="S45" s="1998"/>
      <c r="T45" s="1789">
        <v>0</v>
      </c>
      <c r="U45" s="1998"/>
      <c r="V45" s="1789">
        <f t="shared" si="0"/>
        <v>0</v>
      </c>
      <c r="W45" s="1998"/>
      <c r="X45" s="1789"/>
      <c r="Y45" s="1998"/>
      <c r="Z45" s="1789"/>
      <c r="AA45" s="1999"/>
      <c r="AB45" s="2000"/>
      <c r="AC45" s="2001"/>
      <c r="AD45" s="1789">
        <v>0</v>
      </c>
      <c r="AE45" s="2000"/>
      <c r="AF45" s="2002"/>
      <c r="AG45" s="1789">
        <v>0</v>
      </c>
      <c r="AH45" s="1073"/>
      <c r="AI45" s="67"/>
      <c r="AJ45" s="1024">
        <f t="shared" si="1"/>
        <v>0</v>
      </c>
      <c r="AK45" s="1024"/>
      <c r="AL45" s="1724">
        <f t="shared" si="4"/>
        <v>0</v>
      </c>
    </row>
    <row r="46" spans="1:38" s="887" customFormat="1" ht="15" customHeight="1">
      <c r="A46" s="1070"/>
      <c r="B46" s="892" t="s">
        <v>1070</v>
      </c>
      <c r="C46" s="107"/>
      <c r="D46" s="684">
        <v>7.7</v>
      </c>
      <c r="E46" s="815"/>
      <c r="F46" s="684">
        <v>8.6999999999999993</v>
      </c>
      <c r="G46" s="815"/>
      <c r="H46" s="684">
        <v>7.5</v>
      </c>
      <c r="I46" s="815"/>
      <c r="J46" s="684">
        <v>7.5</v>
      </c>
      <c r="K46" s="1537"/>
      <c r="L46" s="684">
        <v>7.3999999999999986</v>
      </c>
      <c r="M46" s="1537"/>
      <c r="N46" s="684">
        <v>7.6999999999999993</v>
      </c>
      <c r="O46" s="1537"/>
      <c r="P46" s="1789">
        <v>7.4999999999999964</v>
      </c>
      <c r="Q46" s="1998"/>
      <c r="R46" s="1789">
        <v>7.4000000000000057</v>
      </c>
      <c r="S46" s="1998"/>
      <c r="T46" s="1789">
        <v>7.8999999999999915</v>
      </c>
      <c r="U46" s="1998"/>
      <c r="V46" s="1789">
        <f t="shared" si="0"/>
        <v>7.2000000000000028</v>
      </c>
      <c r="W46" s="1998"/>
      <c r="X46" s="1789"/>
      <c r="Y46" s="1998"/>
      <c r="Z46" s="1789"/>
      <c r="AA46" s="1999"/>
      <c r="AB46" s="2000"/>
      <c r="AC46" s="2001"/>
      <c r="AD46" s="1789">
        <v>76.5</v>
      </c>
      <c r="AE46" s="2000"/>
      <c r="AF46" s="2002"/>
      <c r="AG46" s="1789">
        <v>82.5</v>
      </c>
      <c r="AH46" s="1073"/>
      <c r="AI46" s="67"/>
      <c r="AJ46" s="1024">
        <f t="shared" si="1"/>
        <v>-6</v>
      </c>
      <c r="AK46" s="1024"/>
      <c r="AL46" s="1724">
        <f t="shared" si="4"/>
        <v>-7.2999999999999995E-2</v>
      </c>
    </row>
    <row r="47" spans="1:38" ht="15" customHeight="1">
      <c r="A47" s="150"/>
      <c r="B47" s="892" t="s">
        <v>1071</v>
      </c>
      <c r="C47" s="31"/>
      <c r="D47" s="684">
        <v>0</v>
      </c>
      <c r="E47" s="815"/>
      <c r="F47" s="684">
        <v>0</v>
      </c>
      <c r="G47" s="815"/>
      <c r="H47" s="684">
        <v>0</v>
      </c>
      <c r="I47" s="815"/>
      <c r="J47" s="684">
        <v>0</v>
      </c>
      <c r="K47" s="1537"/>
      <c r="L47" s="684">
        <v>0</v>
      </c>
      <c r="M47" s="1537"/>
      <c r="N47" s="684">
        <v>0</v>
      </c>
      <c r="O47" s="1537"/>
      <c r="P47" s="1789">
        <v>0</v>
      </c>
      <c r="Q47" s="1998"/>
      <c r="R47" s="1789">
        <v>0</v>
      </c>
      <c r="S47" s="1998"/>
      <c r="T47" s="1789">
        <v>0</v>
      </c>
      <c r="U47" s="1998"/>
      <c r="V47" s="1789">
        <f t="shared" si="0"/>
        <v>0</v>
      </c>
      <c r="W47" s="1998"/>
      <c r="X47" s="1789"/>
      <c r="Y47" s="1998"/>
      <c r="Z47" s="1789"/>
      <c r="AA47" s="1999"/>
      <c r="AB47" s="2000"/>
      <c r="AC47" s="2001"/>
      <c r="AD47" s="1789">
        <v>0</v>
      </c>
      <c r="AE47" s="2000"/>
      <c r="AF47" s="2002"/>
      <c r="AG47" s="1789">
        <v>0</v>
      </c>
      <c r="AH47" s="275"/>
      <c r="AI47" s="56"/>
      <c r="AJ47" s="943">
        <f t="shared" si="1"/>
        <v>0</v>
      </c>
      <c r="AK47" s="943"/>
      <c r="AL47" s="1438">
        <f t="shared" si="4"/>
        <v>0</v>
      </c>
    </row>
    <row r="48" spans="1:38" ht="15" customHeight="1">
      <c r="A48" s="150"/>
      <c r="B48" s="892" t="s">
        <v>1072</v>
      </c>
      <c r="C48" s="31"/>
      <c r="D48" s="684">
        <v>0</v>
      </c>
      <c r="E48" s="815"/>
      <c r="F48" s="684">
        <v>0</v>
      </c>
      <c r="G48" s="815"/>
      <c r="H48" s="684">
        <v>0</v>
      </c>
      <c r="I48" s="815"/>
      <c r="J48" s="684">
        <v>0</v>
      </c>
      <c r="K48" s="1537"/>
      <c r="L48" s="684">
        <v>0</v>
      </c>
      <c r="M48" s="1537"/>
      <c r="N48" s="684">
        <v>0</v>
      </c>
      <c r="O48" s="1537"/>
      <c r="P48" s="1789">
        <v>0</v>
      </c>
      <c r="Q48" s="1998"/>
      <c r="R48" s="1789">
        <v>0</v>
      </c>
      <c r="S48" s="1998"/>
      <c r="T48" s="1789">
        <v>0</v>
      </c>
      <c r="U48" s="1998"/>
      <c r="V48" s="1789">
        <f t="shared" si="0"/>
        <v>0</v>
      </c>
      <c r="W48" s="1998"/>
      <c r="X48" s="1789"/>
      <c r="Y48" s="1998"/>
      <c r="Z48" s="1789"/>
      <c r="AA48" s="1999"/>
      <c r="AB48" s="2000"/>
      <c r="AC48" s="2001"/>
      <c r="AD48" s="1789">
        <v>0</v>
      </c>
      <c r="AE48" s="2000"/>
      <c r="AF48" s="2002"/>
      <c r="AG48" s="1789">
        <v>0</v>
      </c>
      <c r="AH48" s="275"/>
      <c r="AI48" s="56"/>
      <c r="AJ48" s="943">
        <f t="shared" si="1"/>
        <v>0</v>
      </c>
      <c r="AK48" s="943"/>
      <c r="AL48" s="1438">
        <f t="shared" si="4"/>
        <v>0</v>
      </c>
    </row>
    <row r="49" spans="1:38" s="887" customFormat="1" ht="15" customHeight="1">
      <c r="A49" s="1070"/>
      <c r="B49" s="892" t="s">
        <v>1073</v>
      </c>
      <c r="C49" s="107"/>
      <c r="D49" s="684">
        <v>0.3</v>
      </c>
      <c r="E49" s="815"/>
      <c r="F49" s="684">
        <v>0.3</v>
      </c>
      <c r="G49" s="815"/>
      <c r="H49" s="684">
        <v>0</v>
      </c>
      <c r="I49" s="815"/>
      <c r="J49" s="684">
        <v>0.10000000000000009</v>
      </c>
      <c r="K49" s="1537"/>
      <c r="L49" s="684">
        <v>0.59999999999999987</v>
      </c>
      <c r="M49" s="1537"/>
      <c r="N49" s="684">
        <v>-0.10000000000000009</v>
      </c>
      <c r="O49" s="1537"/>
      <c r="P49" s="1789">
        <v>0.10000000000000009</v>
      </c>
      <c r="Q49" s="1998"/>
      <c r="R49" s="1789">
        <v>0</v>
      </c>
      <c r="S49" s="1998"/>
      <c r="T49" s="1789">
        <v>1.3000000000000005</v>
      </c>
      <c r="U49" s="1998"/>
      <c r="V49" s="1789">
        <f t="shared" si="0"/>
        <v>0.29999999999999982</v>
      </c>
      <c r="W49" s="1998"/>
      <c r="X49" s="1789"/>
      <c r="Y49" s="1998"/>
      <c r="Z49" s="1789"/>
      <c r="AA49" s="1999"/>
      <c r="AB49" s="2000"/>
      <c r="AC49" s="2001"/>
      <c r="AD49" s="1789">
        <v>2.9</v>
      </c>
      <c r="AE49" s="2000"/>
      <c r="AF49" s="2002"/>
      <c r="AG49" s="1789">
        <v>4.9000000000000004</v>
      </c>
      <c r="AH49" s="1073"/>
      <c r="AI49" s="67"/>
      <c r="AJ49" s="1024">
        <f t="shared" si="1"/>
        <v>-2</v>
      </c>
      <c r="AK49" s="1024"/>
      <c r="AL49" s="1724">
        <f>ROUND(IF(AG49=0,1,AJ49/ABS(AG49)),3)</f>
        <v>-0.40799999999999997</v>
      </c>
    </row>
    <row r="50" spans="1:38" s="887" customFormat="1" ht="15" customHeight="1">
      <c r="A50" s="1070"/>
      <c r="B50" s="892" t="s">
        <v>1045</v>
      </c>
      <c r="C50" s="107"/>
      <c r="D50" s="684">
        <v>0</v>
      </c>
      <c r="E50" s="815"/>
      <c r="F50" s="684">
        <v>0</v>
      </c>
      <c r="G50" s="815"/>
      <c r="H50" s="684">
        <v>0</v>
      </c>
      <c r="I50" s="815"/>
      <c r="J50" s="684">
        <v>0</v>
      </c>
      <c r="K50" s="1537"/>
      <c r="L50" s="684">
        <v>0</v>
      </c>
      <c r="M50" s="1537"/>
      <c r="N50" s="684">
        <v>0</v>
      </c>
      <c r="O50" s="1537"/>
      <c r="P50" s="1789">
        <v>0</v>
      </c>
      <c r="Q50" s="1998"/>
      <c r="R50" s="1789">
        <v>0</v>
      </c>
      <c r="S50" s="1998"/>
      <c r="T50" s="1789">
        <v>0</v>
      </c>
      <c r="U50" s="1998"/>
      <c r="V50" s="1789">
        <f t="shared" si="0"/>
        <v>0</v>
      </c>
      <c r="W50" s="1998"/>
      <c r="X50" s="1789"/>
      <c r="Y50" s="1998"/>
      <c r="Z50" s="1789"/>
      <c r="AA50" s="1999"/>
      <c r="AB50" s="2000"/>
      <c r="AC50" s="2001"/>
      <c r="AD50" s="1789">
        <v>0</v>
      </c>
      <c r="AE50" s="2000"/>
      <c r="AF50" s="2002"/>
      <c r="AG50" s="1789">
        <v>0.1</v>
      </c>
      <c r="AH50" s="1073"/>
      <c r="AI50" s="67"/>
      <c r="AJ50" s="1024">
        <f t="shared" si="1"/>
        <v>-0.1</v>
      </c>
      <c r="AK50" s="1024"/>
      <c r="AL50" s="1724">
        <f>ROUND(IF(AG50=0,0,AJ50/ABS(AG50)),3)</f>
        <v>-1</v>
      </c>
    </row>
    <row r="51" spans="1:38" s="887" customFormat="1" ht="15" customHeight="1">
      <c r="A51" s="1070"/>
      <c r="B51" s="892" t="s">
        <v>1046</v>
      </c>
      <c r="C51" s="107"/>
      <c r="D51" s="684">
        <v>0</v>
      </c>
      <c r="E51" s="815"/>
      <c r="F51" s="684">
        <v>0</v>
      </c>
      <c r="G51" s="815"/>
      <c r="H51" s="684">
        <v>0</v>
      </c>
      <c r="I51" s="815"/>
      <c r="J51" s="684">
        <v>0</v>
      </c>
      <c r="K51" s="1537"/>
      <c r="L51" s="684">
        <v>0</v>
      </c>
      <c r="M51" s="1537"/>
      <c r="N51" s="684">
        <v>0</v>
      </c>
      <c r="O51" s="1537"/>
      <c r="P51" s="1789">
        <v>0</v>
      </c>
      <c r="Q51" s="1998"/>
      <c r="R51" s="1789">
        <v>0</v>
      </c>
      <c r="S51" s="1998"/>
      <c r="T51" s="1789">
        <v>0</v>
      </c>
      <c r="U51" s="1998"/>
      <c r="V51" s="1789">
        <f t="shared" si="0"/>
        <v>0</v>
      </c>
      <c r="W51" s="1998"/>
      <c r="X51" s="1789"/>
      <c r="Y51" s="1998"/>
      <c r="Z51" s="1789"/>
      <c r="AA51" s="1999"/>
      <c r="AB51" s="2000"/>
      <c r="AC51" s="2001"/>
      <c r="AD51" s="1789">
        <v>0</v>
      </c>
      <c r="AE51" s="2000"/>
      <c r="AF51" s="2002"/>
      <c r="AG51" s="1789">
        <v>0</v>
      </c>
      <c r="AH51" s="1073"/>
      <c r="AI51" s="67"/>
      <c r="AJ51" s="1024">
        <f t="shared" si="1"/>
        <v>0</v>
      </c>
      <c r="AK51" s="1024"/>
      <c r="AL51" s="1724">
        <f>ROUND(IF(AG51=0,0,AJ51/ABS(AG51)),3)</f>
        <v>0</v>
      </c>
    </row>
    <row r="52" spans="1:38" s="887" customFormat="1" ht="15" customHeight="1">
      <c r="A52" s="1070"/>
      <c r="B52" s="310" t="s">
        <v>1177</v>
      </c>
      <c r="C52" s="107"/>
      <c r="D52" s="1074">
        <f>ROUND(SUM(D19:D51),1)</f>
        <v>15.3</v>
      </c>
      <c r="E52" s="891"/>
      <c r="F52" s="1074">
        <f>ROUND(SUM(F19:F51),1)</f>
        <v>53.7</v>
      </c>
      <c r="G52" s="891"/>
      <c r="H52" s="1074">
        <f>ROUND(SUM(H19:H51),1)</f>
        <v>9.3000000000000007</v>
      </c>
      <c r="I52" s="891"/>
      <c r="J52" s="1074">
        <f>ROUND(SUM(J19:J51),1)</f>
        <v>10.4</v>
      </c>
      <c r="K52" s="140"/>
      <c r="L52" s="1074">
        <f>ROUND(SUM(L19:L51),1)</f>
        <v>17</v>
      </c>
      <c r="M52" s="140"/>
      <c r="N52" s="1074">
        <f>ROUND(SUM(N19:N51),1)</f>
        <v>8.8000000000000007</v>
      </c>
      <c r="O52" s="140"/>
      <c r="P52" s="2003">
        <f>ROUND(SUM(P19:P51),1)</f>
        <v>9.9</v>
      </c>
      <c r="Q52" s="1991"/>
      <c r="R52" s="2003">
        <f>ROUND(SUM(R19:R51),1)</f>
        <v>14.1</v>
      </c>
      <c r="S52" s="1991"/>
      <c r="T52" s="2003">
        <f>ROUND(SUM(T19:T51),1)</f>
        <v>10.3</v>
      </c>
      <c r="U52" s="1991"/>
      <c r="V52" s="2003">
        <f>ROUND(SUM(V19:V51),1)</f>
        <v>9.8000000000000007</v>
      </c>
      <c r="W52" s="1995"/>
      <c r="X52" s="2003">
        <f>ROUND(SUM(X19:X51),1)</f>
        <v>0</v>
      </c>
      <c r="Y52" s="1995"/>
      <c r="Z52" s="2003">
        <f>ROUND(SUM(Z19:Z51),1)</f>
        <v>0</v>
      </c>
      <c r="AA52" s="2004"/>
      <c r="AB52" s="1991"/>
      <c r="AC52" s="1996"/>
      <c r="AD52" s="2003">
        <f>ROUND(SUM(AD19:AD51),1)</f>
        <v>158.6</v>
      </c>
      <c r="AE52" s="1995"/>
      <c r="AF52" s="1997"/>
      <c r="AG52" s="2003">
        <f>ROUND(SUM(AG19:AG51),1)</f>
        <v>184.3</v>
      </c>
      <c r="AH52" s="1073"/>
      <c r="AI52" s="67"/>
      <c r="AJ52" s="1074">
        <f>ROUND(SUM(AJ19:AJ51),1)</f>
        <v>-25.7</v>
      </c>
      <c r="AK52" s="1024"/>
      <c r="AL52" s="1450">
        <f>ROUND(SUM((AD52-AG52)/ABS(AG52)),3)</f>
        <v>-0.13900000000000001</v>
      </c>
    </row>
    <row r="53" spans="1:38" s="887" customFormat="1" ht="15" customHeight="1">
      <c r="A53" s="1070"/>
      <c r="B53" s="892"/>
      <c r="C53" s="107"/>
      <c r="D53" s="684"/>
      <c r="E53" s="891"/>
      <c r="F53" s="1122"/>
      <c r="G53" s="891"/>
      <c r="H53" s="895"/>
      <c r="I53" s="891"/>
      <c r="J53" s="895"/>
      <c r="K53" s="140"/>
      <c r="L53" s="118"/>
      <c r="M53" s="140"/>
      <c r="N53" s="118"/>
      <c r="O53" s="140"/>
      <c r="P53" s="1990"/>
      <c r="Q53" s="1991"/>
      <c r="R53" s="1992"/>
      <c r="S53" s="1991"/>
      <c r="T53" s="1993"/>
      <c r="U53" s="1991"/>
      <c r="V53" s="1994"/>
      <c r="W53" s="1995"/>
      <c r="X53" s="1994"/>
      <c r="Y53" s="1995"/>
      <c r="Z53" s="1994"/>
      <c r="AA53" s="1994"/>
      <c r="AB53" s="1991"/>
      <c r="AC53" s="1996"/>
      <c r="AD53" s="1995"/>
      <c r="AE53" s="1995"/>
      <c r="AF53" s="1997"/>
      <c r="AG53" s="1995"/>
      <c r="AH53" s="1073"/>
      <c r="AI53" s="67"/>
      <c r="AJ53" s="1024"/>
      <c r="AK53" s="1024"/>
      <c r="AL53" s="1448"/>
    </row>
    <row r="54" spans="1:38" ht="15" customHeight="1">
      <c r="A54" s="150"/>
      <c r="B54" s="280" t="s">
        <v>149</v>
      </c>
      <c r="C54" s="31"/>
      <c r="D54" s="684">
        <v>10777.4</v>
      </c>
      <c r="E54" s="815"/>
      <c r="F54" s="684">
        <v>4104.3</v>
      </c>
      <c r="G54" s="815"/>
      <c r="H54" s="684">
        <v>7348.2</v>
      </c>
      <c r="I54" s="815"/>
      <c r="J54" s="684">
        <v>5218.199999999998</v>
      </c>
      <c r="K54" s="1537"/>
      <c r="L54" s="684">
        <v>4401.9999999999991</v>
      </c>
      <c r="M54" s="1537"/>
      <c r="N54" s="684">
        <v>9909</v>
      </c>
      <c r="O54" s="1537"/>
      <c r="P54" s="684">
        <v>7428.5999999999949</v>
      </c>
      <c r="Q54" s="1998"/>
      <c r="R54" s="1789">
        <v>4086.4000000000015</v>
      </c>
      <c r="S54" s="1998"/>
      <c r="T54" s="1789">
        <v>7300.6000000000022</v>
      </c>
      <c r="U54" s="1998"/>
      <c r="V54" s="1789">
        <f t="shared" ref="V54" si="5">$AD54-$D54-$F54-$H54-$J54-$L54-$N54-$P54-$R54-$T54</f>
        <v>5782.6999999999971</v>
      </c>
      <c r="W54" s="1998"/>
      <c r="X54" s="1789"/>
      <c r="Y54" s="1998"/>
      <c r="Z54" s="1789"/>
      <c r="AA54" s="1999"/>
      <c r="AB54" s="2000"/>
      <c r="AC54" s="2001"/>
      <c r="AD54" s="1789">
        <v>66357.399999999994</v>
      </c>
      <c r="AE54" s="2000"/>
      <c r="AF54" s="2002"/>
      <c r="AG54" s="1789">
        <v>53584</v>
      </c>
      <c r="AH54" s="275"/>
      <c r="AI54" s="56"/>
      <c r="AJ54" s="943">
        <f>ROUND(SUM(+AD54-AG54),1)</f>
        <v>12773.4</v>
      </c>
      <c r="AK54" s="943"/>
      <c r="AL54" s="1451">
        <f>ROUND(SUM((AD54-AG54)/ABS(AG54)),3)</f>
        <v>0.23799999999999999</v>
      </c>
    </row>
    <row r="55" spans="1:38" ht="15" customHeight="1">
      <c r="A55" s="150"/>
      <c r="B55" s="31"/>
      <c r="C55" s="31"/>
      <c r="D55" s="1840"/>
      <c r="E55" s="815"/>
      <c r="F55" s="3723"/>
      <c r="G55" s="815"/>
      <c r="H55" s="1840"/>
      <c r="I55" s="815"/>
      <c r="J55" s="1840"/>
      <c r="K55" s="165"/>
      <c r="L55" s="168"/>
      <c r="M55" s="165"/>
      <c r="N55" s="168"/>
      <c r="O55" s="165"/>
      <c r="P55" s="1467"/>
      <c r="Q55" s="1463"/>
      <c r="R55" s="1467"/>
      <c r="S55" s="1463"/>
      <c r="T55" s="2005"/>
      <c r="U55" s="1463"/>
      <c r="V55" s="2005"/>
      <c r="W55" s="2006"/>
      <c r="X55" s="2005"/>
      <c r="Y55" s="2006"/>
      <c r="Z55" s="2005"/>
      <c r="AA55" s="2007"/>
      <c r="AB55" s="1463"/>
      <c r="AC55" s="2008"/>
      <c r="AD55" s="2051"/>
      <c r="AE55" s="1977"/>
      <c r="AF55" s="1997"/>
      <c r="AG55" s="2051"/>
      <c r="AH55" s="275"/>
      <c r="AI55" s="56"/>
      <c r="AJ55" s="1410"/>
      <c r="AK55" s="1411"/>
      <c r="AL55" s="1452"/>
    </row>
    <row r="56" spans="1:38" ht="15" customHeight="1">
      <c r="A56" s="150"/>
      <c r="B56" s="29" t="s">
        <v>150</v>
      </c>
      <c r="C56" s="31"/>
      <c r="D56" s="922">
        <f>ROUND(SUM(+D52+D54),2)</f>
        <v>10792.7</v>
      </c>
      <c r="E56" s="207"/>
      <c r="F56" s="112">
        <f>ROUND(SUM(+F52+F54),2)</f>
        <v>4158</v>
      </c>
      <c r="G56" s="207"/>
      <c r="H56" s="922">
        <f>ROUND(SUM(+H52+H54),2)</f>
        <v>7357.5</v>
      </c>
      <c r="I56" s="207"/>
      <c r="J56" s="922">
        <f>ROUND(SUM(+J52+J54),2)</f>
        <v>5228.6000000000004</v>
      </c>
      <c r="K56" s="207"/>
      <c r="L56" s="922">
        <f>ROUND(SUM(+L52+L54),2)</f>
        <v>4419</v>
      </c>
      <c r="M56" s="207"/>
      <c r="N56" s="922">
        <f>ROUND(SUM(+N52+N54),2)</f>
        <v>9917.7999999999993</v>
      </c>
      <c r="O56" s="207"/>
      <c r="P56" s="1461">
        <f>ROUND(SUM(+P52+P54),2)</f>
        <v>7438.5</v>
      </c>
      <c r="Q56" s="2010"/>
      <c r="R56" s="1461">
        <f>ROUND(SUM(+R52+R54),2)</f>
        <v>4100.5</v>
      </c>
      <c r="S56" s="2010"/>
      <c r="T56" s="1461">
        <f>ROUND(SUM(+T52+T54),2)</f>
        <v>7310.9</v>
      </c>
      <c r="U56" s="2010"/>
      <c r="V56" s="1461">
        <f>ROUND(SUM(+V52+V54),2)</f>
        <v>5792.5</v>
      </c>
      <c r="W56" s="1461"/>
      <c r="X56" s="1461">
        <f>ROUND(SUM(+X52+X54),2)</f>
        <v>0</v>
      </c>
      <c r="Y56" s="1461"/>
      <c r="Z56" s="1461">
        <f>ROUND(SUM(+Z52+Z54),2)</f>
        <v>0</v>
      </c>
      <c r="AA56" s="1461"/>
      <c r="AB56" s="2010"/>
      <c r="AC56" s="2011"/>
      <c r="AD56" s="2050">
        <f>ROUND(SUM(+AD52+AD54),1)</f>
        <v>66516</v>
      </c>
      <c r="AE56" s="1462"/>
      <c r="AF56" s="3158"/>
      <c r="AG56" s="2050">
        <f>ROUND(SUM(+AG52+AG54),1)</f>
        <v>53768.3</v>
      </c>
      <c r="AH56" s="282"/>
      <c r="AI56" s="76"/>
      <c r="AJ56" s="829">
        <f>ROUND(SUM(+AJ52+AJ54),1)</f>
        <v>12747.7</v>
      </c>
      <c r="AK56" s="284"/>
      <c r="AL56" s="1453">
        <f>ROUND(SUM((AD56-AG56)/ABS(AG56)),3)</f>
        <v>0.23699999999999999</v>
      </c>
    </row>
    <row r="57" spans="1:38" ht="15" customHeight="1">
      <c r="A57" s="150"/>
      <c r="B57" s="31"/>
      <c r="C57" s="31"/>
      <c r="D57" s="1840"/>
      <c r="E57" s="815"/>
      <c r="F57" s="1042"/>
      <c r="G57" s="815"/>
      <c r="H57" s="688"/>
      <c r="I57" s="815"/>
      <c r="J57" s="688"/>
      <c r="K57" s="165"/>
      <c r="L57" s="88"/>
      <c r="M57" s="165"/>
      <c r="N57" s="88"/>
      <c r="O57" s="165"/>
      <c r="P57" s="2005"/>
      <c r="Q57" s="1463"/>
      <c r="R57" s="2005"/>
      <c r="S57" s="1463"/>
      <c r="T57" s="2005"/>
      <c r="U57" s="1463"/>
      <c r="V57" s="2051"/>
      <c r="W57" s="1995"/>
      <c r="X57" s="2051"/>
      <c r="Y57" s="1995"/>
      <c r="Z57" s="2051"/>
      <c r="AA57" s="1977"/>
      <c r="AB57" s="1991"/>
      <c r="AC57" s="1996"/>
      <c r="AD57" s="2170"/>
      <c r="AE57" s="2018"/>
      <c r="AF57" s="3184"/>
      <c r="AG57" s="2170"/>
      <c r="AH57" s="1809"/>
      <c r="AI57" s="1089"/>
      <c r="AJ57" s="1810"/>
      <c r="AK57" s="1810"/>
      <c r="AL57" s="1811"/>
    </row>
    <row r="58" spans="1:38" ht="15" customHeight="1">
      <c r="A58" s="150"/>
      <c r="B58" s="173" t="s">
        <v>23</v>
      </c>
      <c r="C58" s="31"/>
      <c r="D58" s="815"/>
      <c r="E58" s="815"/>
      <c r="F58" s="895"/>
      <c r="G58" s="815"/>
      <c r="H58" s="1531"/>
      <c r="I58" s="815"/>
      <c r="J58" s="1531"/>
      <c r="K58" s="165"/>
      <c r="L58" s="66"/>
      <c r="M58" s="165"/>
      <c r="N58" s="66"/>
      <c r="O58" s="165"/>
      <c r="P58" s="2006"/>
      <c r="Q58" s="1463"/>
      <c r="R58" s="2006"/>
      <c r="S58" s="1463"/>
      <c r="T58" s="2006"/>
      <c r="U58" s="1463"/>
      <c r="V58" s="1995"/>
      <c r="W58" s="1995"/>
      <c r="X58" s="1995"/>
      <c r="Y58" s="1995"/>
      <c r="Z58" s="1995"/>
      <c r="AA58" s="1995"/>
      <c r="AB58" s="1991"/>
      <c r="AC58" s="1996"/>
      <c r="AD58" s="1991"/>
      <c r="AE58" s="2018"/>
      <c r="AF58" s="3184"/>
      <c r="AG58" s="1991"/>
      <c r="AH58" s="1809"/>
      <c r="AI58" s="1089"/>
      <c r="AJ58" s="1810"/>
      <c r="AK58" s="1810"/>
      <c r="AL58" s="1811"/>
    </row>
    <row r="59" spans="1:38" ht="15" customHeight="1">
      <c r="A59" s="150"/>
      <c r="B59" s="690" t="s">
        <v>151</v>
      </c>
      <c r="C59" s="31"/>
      <c r="D59" s="681"/>
      <c r="E59" s="815"/>
      <c r="F59" s="684"/>
      <c r="G59" s="815"/>
      <c r="H59" s="684"/>
      <c r="I59" s="815"/>
      <c r="J59" s="684"/>
      <c r="K59" s="165"/>
      <c r="L59" s="119"/>
      <c r="M59" s="165"/>
      <c r="N59" s="119"/>
      <c r="O59" s="165"/>
      <c r="P59" s="2014"/>
      <c r="Q59" s="1463"/>
      <c r="R59" s="2015"/>
      <c r="S59" s="1463"/>
      <c r="T59" s="2015"/>
      <c r="U59" s="1463"/>
      <c r="V59" s="1995"/>
      <c r="W59" s="1995"/>
      <c r="X59" s="1995"/>
      <c r="Y59" s="1995"/>
      <c r="Z59" s="1995"/>
      <c r="AA59" s="1995"/>
      <c r="AB59" s="1991"/>
      <c r="AC59" s="1996"/>
      <c r="AD59" s="1991"/>
      <c r="AE59" s="2018"/>
      <c r="AF59" s="3184"/>
      <c r="AG59" s="1991"/>
      <c r="AH59" s="1809"/>
      <c r="AI59" s="1089"/>
      <c r="AJ59" s="1797"/>
      <c r="AK59" s="1810"/>
      <c r="AL59" s="1815"/>
    </row>
    <row r="60" spans="1:38" s="887" customFormat="1" ht="15" customHeight="1">
      <c r="A60" s="1070"/>
      <c r="B60" s="1813" t="s">
        <v>25</v>
      </c>
      <c r="C60" s="107"/>
      <c r="D60" s="684">
        <v>382.9</v>
      </c>
      <c r="E60" s="815"/>
      <c r="F60" s="684">
        <v>67.599999999999994</v>
      </c>
      <c r="G60" s="815"/>
      <c r="H60" s="684">
        <v>550.9</v>
      </c>
      <c r="I60" s="815"/>
      <c r="J60" s="684">
        <v>234.60000000000002</v>
      </c>
      <c r="K60" s="1537"/>
      <c r="L60" s="684">
        <v>213.30000000000007</v>
      </c>
      <c r="M60" s="1537"/>
      <c r="N60" s="684">
        <v>294.10000000000002</v>
      </c>
      <c r="O60" s="684"/>
      <c r="P60" s="684">
        <v>130.30000000000018</v>
      </c>
      <c r="Q60" s="1998"/>
      <c r="R60" s="1789">
        <v>199.1999999999997</v>
      </c>
      <c r="S60" s="1998"/>
      <c r="T60" s="1789">
        <v>78.199999999999818</v>
      </c>
      <c r="U60" s="1998"/>
      <c r="V60" s="1789">
        <f t="shared" ref="V60:V69" si="6">AD60-SUM(D60:T60)</f>
        <v>363.80000000000018</v>
      </c>
      <c r="W60" s="1998"/>
      <c r="X60" s="1789"/>
      <c r="Y60" s="1998"/>
      <c r="Z60" s="1789"/>
      <c r="AA60" s="1999"/>
      <c r="AB60" s="2000"/>
      <c r="AC60" s="2001"/>
      <c r="AD60" s="1789">
        <v>2514.9</v>
      </c>
      <c r="AE60" s="2000"/>
      <c r="AF60" s="2002"/>
      <c r="AG60" s="1789">
        <v>2959.8</v>
      </c>
      <c r="AH60" s="1073"/>
      <c r="AI60" s="67"/>
      <c r="AJ60" s="895">
        <f>ROUND(SUM(+AD60-AG60),1)</f>
        <v>-444.9</v>
      </c>
      <c r="AK60" s="895"/>
      <c r="AL60" s="1724">
        <f>ROUND(IF(AG60=0,0,AJ60/ABS(AG60)),3)</f>
        <v>-0.15</v>
      </c>
    </row>
    <row r="61" spans="1:38" ht="15" customHeight="1">
      <c r="A61" s="150"/>
      <c r="B61" s="179" t="s">
        <v>26</v>
      </c>
      <c r="C61" s="31"/>
      <c r="D61" s="684">
        <v>0</v>
      </c>
      <c r="E61" s="815"/>
      <c r="F61" s="684">
        <v>0.2</v>
      </c>
      <c r="G61" s="815"/>
      <c r="H61" s="684">
        <v>0</v>
      </c>
      <c r="I61" s="815"/>
      <c r="J61" s="684">
        <v>9.9999999999999978E-2</v>
      </c>
      <c r="K61" s="1537"/>
      <c r="L61" s="684">
        <v>0.10000000000000003</v>
      </c>
      <c r="M61" s="1537"/>
      <c r="N61" s="684">
        <v>-0.10000000000000003</v>
      </c>
      <c r="O61" s="1537"/>
      <c r="P61" s="684">
        <v>0.10000000000000003</v>
      </c>
      <c r="Q61" s="1998"/>
      <c r="R61" s="1789">
        <v>0</v>
      </c>
      <c r="S61" s="1998"/>
      <c r="T61" s="1789">
        <v>9.9999999999999978E-2</v>
      </c>
      <c r="U61" s="1998"/>
      <c r="V61" s="1789">
        <f t="shared" si="6"/>
        <v>9.9999999999999978E-2</v>
      </c>
      <c r="W61" s="1998"/>
      <c r="X61" s="1789"/>
      <c r="Y61" s="1998"/>
      <c r="Z61" s="1789"/>
      <c r="AA61" s="1999"/>
      <c r="AB61" s="2000"/>
      <c r="AC61" s="2001"/>
      <c r="AD61" s="1789">
        <v>0.6</v>
      </c>
      <c r="AE61" s="2000"/>
      <c r="AF61" s="2002"/>
      <c r="AG61" s="1789">
        <v>0.9</v>
      </c>
      <c r="AH61" s="1073"/>
      <c r="AI61" s="67"/>
      <c r="AJ61" s="895">
        <f>ROUND(SUM(+AD61-AG61),1)</f>
        <v>-0.3</v>
      </c>
      <c r="AK61" s="895"/>
      <c r="AL61" s="1829">
        <f>ROUND(IF(AG61=0,1,AJ61/ABS(AG61)),3)</f>
        <v>-0.33300000000000002</v>
      </c>
    </row>
    <row r="62" spans="1:38" s="887" customFormat="1" ht="15" customHeight="1">
      <c r="A62" s="1070"/>
      <c r="B62" s="1813" t="s">
        <v>27</v>
      </c>
      <c r="C62" s="107"/>
      <c r="D62" s="684">
        <v>2</v>
      </c>
      <c r="E62" s="815"/>
      <c r="F62" s="684">
        <v>2.2000000000000002</v>
      </c>
      <c r="G62" s="815"/>
      <c r="H62" s="684">
        <v>2.2000000000000002</v>
      </c>
      <c r="I62" s="815"/>
      <c r="J62" s="684">
        <v>11</v>
      </c>
      <c r="K62" s="1537"/>
      <c r="L62" s="684">
        <v>6.4000000000000021</v>
      </c>
      <c r="M62" s="1537"/>
      <c r="N62" s="684">
        <v>3856.0000000000005</v>
      </c>
      <c r="O62" s="1537"/>
      <c r="P62" s="684">
        <v>154.29999999999973</v>
      </c>
      <c r="Q62" s="1998"/>
      <c r="R62" s="1789">
        <v>85.300000000000637</v>
      </c>
      <c r="S62" s="1998"/>
      <c r="T62" s="1789">
        <v>98.599999999999909</v>
      </c>
      <c r="U62" s="1998"/>
      <c r="V62" s="1789">
        <f t="shared" si="6"/>
        <v>1.1999999999979991</v>
      </c>
      <c r="W62" s="1998"/>
      <c r="X62" s="1789"/>
      <c r="Y62" s="1998"/>
      <c r="Z62" s="1789"/>
      <c r="AA62" s="1999"/>
      <c r="AB62" s="2000"/>
      <c r="AC62" s="2001"/>
      <c r="AD62" s="1789">
        <v>4219.2</v>
      </c>
      <c r="AE62" s="2000"/>
      <c r="AF62" s="2002"/>
      <c r="AG62" s="1789">
        <v>47.3</v>
      </c>
      <c r="AH62" s="1073"/>
      <c r="AI62" s="67"/>
      <c r="AJ62" s="895">
        <f>ROUND(SUM(+AD62-AG62),1)</f>
        <v>4171.8999999999996</v>
      </c>
      <c r="AK62" s="895"/>
      <c r="AL62" s="3801">
        <f>ROUND(IF(AG62=0,0,AJ62/ABS(AG62)),3)</f>
        <v>88.200999999999993</v>
      </c>
    </row>
    <row r="63" spans="1:38" s="887" customFormat="1" ht="15" customHeight="1">
      <c r="A63" s="1070"/>
      <c r="B63" s="1813" t="s">
        <v>28</v>
      </c>
      <c r="C63" s="107"/>
      <c r="D63" s="684" t="s">
        <v>15</v>
      </c>
      <c r="E63" s="815"/>
      <c r="F63" s="684"/>
      <c r="G63" s="815"/>
      <c r="H63" s="684"/>
      <c r="I63" s="815"/>
      <c r="J63" s="684"/>
      <c r="K63" s="1537"/>
      <c r="L63" s="684"/>
      <c r="M63" s="1537"/>
      <c r="N63" s="684"/>
      <c r="O63" s="1537"/>
      <c r="P63" s="684"/>
      <c r="Q63" s="1998"/>
      <c r="R63" s="1789"/>
      <c r="S63" s="1998"/>
      <c r="T63" s="1789"/>
      <c r="U63" s="1998"/>
      <c r="V63" s="1789" t="s">
        <v>15</v>
      </c>
      <c r="W63" s="1998"/>
      <c r="X63" s="1789"/>
      <c r="Y63" s="1998"/>
      <c r="Z63" s="1789"/>
      <c r="AA63" s="1999"/>
      <c r="AB63" s="2000"/>
      <c r="AC63" s="2001"/>
      <c r="AD63" s="1789"/>
      <c r="AE63" s="2000"/>
      <c r="AF63" s="2002"/>
      <c r="AG63" s="1789"/>
      <c r="AH63" s="1073"/>
      <c r="AI63" s="67"/>
      <c r="AJ63" s="684"/>
      <c r="AK63" s="1797"/>
      <c r="AL63" s="1815"/>
    </row>
    <row r="64" spans="1:38" s="887" customFormat="1" ht="15" customHeight="1">
      <c r="A64" s="1070"/>
      <c r="B64" s="1814" t="s">
        <v>29</v>
      </c>
      <c r="C64" s="107"/>
      <c r="D64" s="684">
        <v>4652.6000000000004</v>
      </c>
      <c r="E64" s="815"/>
      <c r="F64" s="684">
        <v>3341.8</v>
      </c>
      <c r="G64" s="815"/>
      <c r="H64" s="684">
        <v>3585.0999999999995</v>
      </c>
      <c r="I64" s="815"/>
      <c r="J64" s="684">
        <v>3313.7000000000007</v>
      </c>
      <c r="K64" s="1537"/>
      <c r="L64" s="684">
        <v>3436.2999999999984</v>
      </c>
      <c r="M64" s="1537"/>
      <c r="N64" s="684">
        <v>4869.1000000000031</v>
      </c>
      <c r="O64" s="1537"/>
      <c r="P64" s="684">
        <v>2869.5999999999985</v>
      </c>
      <c r="Q64" s="1998"/>
      <c r="R64" s="1789">
        <v>3308.9000000000005</v>
      </c>
      <c r="S64" s="1998"/>
      <c r="T64" s="1789">
        <v>4586.5999999999995</v>
      </c>
      <c r="U64" s="1998"/>
      <c r="V64" s="1789">
        <f t="shared" si="6"/>
        <v>3946.3999999999942</v>
      </c>
      <c r="W64" s="1998"/>
      <c r="X64" s="1789"/>
      <c r="Y64" s="1998"/>
      <c r="Z64" s="1789"/>
      <c r="AA64" s="1999"/>
      <c r="AB64" s="2000"/>
      <c r="AC64" s="2001"/>
      <c r="AD64" s="1789">
        <v>37910.1</v>
      </c>
      <c r="AE64" s="2000"/>
      <c r="AF64" s="2002"/>
      <c r="AG64" s="1789">
        <v>34125.599999999999</v>
      </c>
      <c r="AH64" s="1073"/>
      <c r="AI64" s="67"/>
      <c r="AJ64" s="895">
        <f t="shared" ref="AJ64:AJ69" si="7">ROUND(SUM(+AD64-AG64),1)</f>
        <v>3784.5</v>
      </c>
      <c r="AK64" s="895"/>
      <c r="AL64" s="1724">
        <f t="shared" ref="AL64:AL69" si="8">ROUND(IF(AG64=0,0,AJ64/ABS(AG64)),3)</f>
        <v>0.111</v>
      </c>
    </row>
    <row r="65" spans="1:38" s="887" customFormat="1" ht="15" customHeight="1">
      <c r="A65" s="1070"/>
      <c r="B65" s="1813" t="s">
        <v>30</v>
      </c>
      <c r="C65" s="107"/>
      <c r="D65" s="684">
        <v>480</v>
      </c>
      <c r="E65" s="815"/>
      <c r="F65" s="684">
        <v>507.5</v>
      </c>
      <c r="G65" s="815"/>
      <c r="H65" s="684">
        <v>642.29999999999995</v>
      </c>
      <c r="I65" s="815"/>
      <c r="J65" s="684">
        <v>503.89999999999986</v>
      </c>
      <c r="K65" s="1537"/>
      <c r="L65" s="684">
        <v>507.60000000000036</v>
      </c>
      <c r="M65" s="1537"/>
      <c r="N65" s="684">
        <v>614.69999999999982</v>
      </c>
      <c r="O65" s="1537"/>
      <c r="P65" s="684">
        <v>515.29999999999995</v>
      </c>
      <c r="Q65" s="1998"/>
      <c r="R65" s="1789">
        <v>498.00000000000023</v>
      </c>
      <c r="S65" s="1998"/>
      <c r="T65" s="1789">
        <v>555.69999999999982</v>
      </c>
      <c r="U65" s="1998"/>
      <c r="V65" s="1789">
        <f t="shared" si="6"/>
        <v>647.30000000000018</v>
      </c>
      <c r="W65" s="1998"/>
      <c r="X65" s="1789"/>
      <c r="Y65" s="1998"/>
      <c r="Z65" s="1789"/>
      <c r="AA65" s="1999"/>
      <c r="AB65" s="2000"/>
      <c r="AC65" s="2001"/>
      <c r="AD65" s="1789">
        <v>5472.3</v>
      </c>
      <c r="AE65" s="2000"/>
      <c r="AF65" s="2002"/>
      <c r="AG65" s="1789">
        <v>5293.8</v>
      </c>
      <c r="AH65" s="1073"/>
      <c r="AI65" s="67"/>
      <c r="AJ65" s="895">
        <f t="shared" si="7"/>
        <v>178.5</v>
      </c>
      <c r="AK65" s="895"/>
      <c r="AL65" s="1724">
        <f t="shared" si="8"/>
        <v>3.4000000000000002E-2</v>
      </c>
    </row>
    <row r="66" spans="1:38" s="887" customFormat="1" ht="15" customHeight="1">
      <c r="A66" s="1070"/>
      <c r="B66" s="1813" t="s">
        <v>31</v>
      </c>
      <c r="C66" s="107"/>
      <c r="D66" s="684">
        <v>74.400000000000006</v>
      </c>
      <c r="E66" s="815"/>
      <c r="F66" s="684">
        <v>52.5</v>
      </c>
      <c r="G66" s="815"/>
      <c r="H66" s="684">
        <v>154.99999999999997</v>
      </c>
      <c r="I66" s="815"/>
      <c r="J66" s="684">
        <v>247.4</v>
      </c>
      <c r="K66" s="1537"/>
      <c r="L66" s="684">
        <v>40.700000000000017</v>
      </c>
      <c r="M66" s="1537"/>
      <c r="N66" s="684">
        <v>115.70000000000005</v>
      </c>
      <c r="O66" s="1537"/>
      <c r="P66" s="684">
        <v>617.0999999999998</v>
      </c>
      <c r="Q66" s="1998"/>
      <c r="R66" s="1789">
        <v>29.5</v>
      </c>
      <c r="S66" s="1998"/>
      <c r="T66" s="1789">
        <v>113.40000000000009</v>
      </c>
      <c r="U66" s="1998"/>
      <c r="V66" s="1789">
        <f t="shared" si="6"/>
        <v>75.500000000000227</v>
      </c>
      <c r="W66" s="1998"/>
      <c r="X66" s="1789"/>
      <c r="Y66" s="1998"/>
      <c r="Z66" s="1789"/>
      <c r="AA66" s="1999"/>
      <c r="AB66" s="2000"/>
      <c r="AC66" s="2001"/>
      <c r="AD66" s="1789">
        <v>1521.2</v>
      </c>
      <c r="AE66" s="2000"/>
      <c r="AF66" s="2002"/>
      <c r="AG66" s="1789">
        <v>1116.4000000000001</v>
      </c>
      <c r="AH66" s="1073"/>
      <c r="AI66" s="67"/>
      <c r="AJ66" s="895">
        <f t="shared" si="7"/>
        <v>404.8</v>
      </c>
      <c r="AK66" s="895"/>
      <c r="AL66" s="1724">
        <f t="shared" si="8"/>
        <v>0.36299999999999999</v>
      </c>
    </row>
    <row r="67" spans="1:38" s="887" customFormat="1" ht="15" customHeight="1">
      <c r="A67" s="1070"/>
      <c r="B67" s="1813" t="s">
        <v>32</v>
      </c>
      <c r="C67" s="107"/>
      <c r="D67" s="684">
        <v>134.80000000000001</v>
      </c>
      <c r="E67" s="815"/>
      <c r="F67" s="684">
        <v>25.7</v>
      </c>
      <c r="G67" s="815"/>
      <c r="H67" s="684">
        <v>253.60000000000002</v>
      </c>
      <c r="I67" s="815"/>
      <c r="J67" s="684">
        <v>201</v>
      </c>
      <c r="K67" s="1537"/>
      <c r="L67" s="684">
        <v>253.89999999999998</v>
      </c>
      <c r="M67" s="1537"/>
      <c r="N67" s="684">
        <v>950.29999999999984</v>
      </c>
      <c r="O67" s="1537"/>
      <c r="P67" s="684">
        <v>384.0999999999998</v>
      </c>
      <c r="Q67" s="1998"/>
      <c r="R67" s="1789">
        <v>164.50000000000045</v>
      </c>
      <c r="S67" s="1998"/>
      <c r="T67" s="1789">
        <v>162</v>
      </c>
      <c r="U67" s="1998"/>
      <c r="V67" s="1789">
        <f t="shared" si="6"/>
        <v>267.09999999999991</v>
      </c>
      <c r="W67" s="1998"/>
      <c r="X67" s="1789"/>
      <c r="Y67" s="1998"/>
      <c r="Z67" s="1789"/>
      <c r="AA67" s="1999"/>
      <c r="AB67" s="2000"/>
      <c r="AC67" s="2001"/>
      <c r="AD67" s="1789">
        <v>2797</v>
      </c>
      <c r="AE67" s="2000"/>
      <c r="AF67" s="2002"/>
      <c r="AG67" s="1789">
        <v>3631.3</v>
      </c>
      <c r="AH67" s="1073"/>
      <c r="AI67" s="67"/>
      <c r="AJ67" s="895">
        <f t="shared" si="7"/>
        <v>-834.3</v>
      </c>
      <c r="AK67" s="895"/>
      <c r="AL67" s="1724">
        <f t="shared" si="8"/>
        <v>-0.23</v>
      </c>
    </row>
    <row r="68" spans="1:38" s="887" customFormat="1" ht="15" customHeight="1">
      <c r="A68" s="1070"/>
      <c r="B68" s="1813" t="s">
        <v>33</v>
      </c>
      <c r="C68" s="107"/>
      <c r="D68" s="684">
        <v>0.3</v>
      </c>
      <c r="E68" s="815"/>
      <c r="F68" s="684">
        <v>0.3</v>
      </c>
      <c r="G68" s="815"/>
      <c r="H68" s="684">
        <v>2.1000000000000005</v>
      </c>
      <c r="I68" s="815"/>
      <c r="J68" s="684">
        <v>0.39999999999999991</v>
      </c>
      <c r="K68" s="1537"/>
      <c r="L68" s="684">
        <v>1.9</v>
      </c>
      <c r="M68" s="1537"/>
      <c r="N68" s="684">
        <v>0</v>
      </c>
      <c r="O68" s="1537"/>
      <c r="P68" s="684">
        <v>1</v>
      </c>
      <c r="Q68" s="1998"/>
      <c r="R68" s="1789">
        <v>0</v>
      </c>
      <c r="S68" s="1998"/>
      <c r="T68" s="1789">
        <v>0.20000000000000018</v>
      </c>
      <c r="U68" s="1998"/>
      <c r="V68" s="1789">
        <f t="shared" si="6"/>
        <v>0.59999999999999964</v>
      </c>
      <c r="W68" s="1998"/>
      <c r="X68" s="1789"/>
      <c r="Y68" s="1998"/>
      <c r="Z68" s="1789"/>
      <c r="AA68" s="1999"/>
      <c r="AB68" s="2000"/>
      <c r="AC68" s="2001"/>
      <c r="AD68" s="1790">
        <v>6.8</v>
      </c>
      <c r="AE68" s="2000"/>
      <c r="AF68" s="2002"/>
      <c r="AG68" s="1789">
        <v>7.8000000000000007</v>
      </c>
      <c r="AH68" s="1073"/>
      <c r="AI68" s="67"/>
      <c r="AJ68" s="895">
        <f t="shared" si="7"/>
        <v>-1</v>
      </c>
      <c r="AK68" s="895"/>
      <c r="AL68" s="1724">
        <f>ROUND(IF(AG68=0,1,AJ68/ABS(AG68)),3)</f>
        <v>-0.128</v>
      </c>
    </row>
    <row r="69" spans="1:38" s="887" customFormat="1" ht="15" customHeight="1">
      <c r="A69" s="1070"/>
      <c r="B69" s="1813" t="s">
        <v>34</v>
      </c>
      <c r="C69" s="107"/>
      <c r="D69" s="684">
        <v>3.9</v>
      </c>
      <c r="E69" s="815"/>
      <c r="F69" s="684">
        <v>3</v>
      </c>
      <c r="G69" s="815"/>
      <c r="H69" s="684">
        <v>4.0999999999999996</v>
      </c>
      <c r="I69" s="815"/>
      <c r="J69" s="684">
        <v>7.3000000000000007</v>
      </c>
      <c r="K69" s="1537"/>
      <c r="L69" s="684">
        <v>5.0000000000000018</v>
      </c>
      <c r="M69" s="1537"/>
      <c r="N69" s="684">
        <v>5.6999999999999975</v>
      </c>
      <c r="O69" s="1537"/>
      <c r="P69" s="684">
        <v>5</v>
      </c>
      <c r="Q69" s="1998"/>
      <c r="R69" s="1789">
        <v>6.2999999999999954</v>
      </c>
      <c r="S69" s="1998"/>
      <c r="T69" s="1789">
        <v>7.5000000000000018</v>
      </c>
      <c r="U69" s="1998"/>
      <c r="V69" s="1789">
        <f t="shared" si="6"/>
        <v>4.1000000000000014</v>
      </c>
      <c r="W69" s="1998"/>
      <c r="X69" s="1789"/>
      <c r="Y69" s="1998"/>
      <c r="Z69" s="1789"/>
      <c r="AA69" s="1999"/>
      <c r="AB69" s="2000"/>
      <c r="AC69" s="2001"/>
      <c r="AD69" s="1789">
        <v>51.9</v>
      </c>
      <c r="AE69" s="2000"/>
      <c r="AF69" s="2002"/>
      <c r="AG69" s="1789">
        <v>49.8</v>
      </c>
      <c r="AH69" s="1073"/>
      <c r="AI69" s="67"/>
      <c r="AJ69" s="895">
        <f t="shared" si="7"/>
        <v>2.1</v>
      </c>
      <c r="AK69" s="1024"/>
      <c r="AL69" s="1812">
        <f t="shared" si="8"/>
        <v>4.2000000000000003E-2</v>
      </c>
    </row>
    <row r="70" spans="1:38" ht="15" customHeight="1">
      <c r="A70" s="150"/>
      <c r="B70" s="29" t="s">
        <v>1180</v>
      </c>
      <c r="C70" s="31"/>
      <c r="D70" s="294">
        <f>ROUND(SUM(D60:D69),2)</f>
        <v>5730.9</v>
      </c>
      <c r="E70" s="207"/>
      <c r="F70" s="1096">
        <f>ROUND(SUM(F60:F69),2)</f>
        <v>4000.8</v>
      </c>
      <c r="G70" s="166"/>
      <c r="H70" s="294">
        <f>ROUND(SUM(H60:H69),2)</f>
        <v>5195.3</v>
      </c>
      <c r="I70" s="207"/>
      <c r="J70" s="294">
        <f>ROUND(SUM(J60:J69),2)</f>
        <v>4519.3999999999996</v>
      </c>
      <c r="K70" s="207"/>
      <c r="L70" s="294">
        <f>ROUND(SUM(L60:L69),2)</f>
        <v>4465.2</v>
      </c>
      <c r="M70" s="207"/>
      <c r="N70" s="294">
        <f>ROUND(SUM(N60:N69),2)</f>
        <v>10705.5</v>
      </c>
      <c r="O70" s="207"/>
      <c r="P70" s="2016">
        <f>ROUND(SUM(P60:P69),2)</f>
        <v>4676.8</v>
      </c>
      <c r="Q70" s="2010"/>
      <c r="R70" s="2016">
        <f>ROUND(SUM(R60:R69),2)</f>
        <v>4291.7</v>
      </c>
      <c r="S70" s="2010"/>
      <c r="T70" s="2016">
        <f>ROUND(SUM(T60:T69),2)</f>
        <v>5602.3</v>
      </c>
      <c r="U70" s="2010"/>
      <c r="V70" s="2171">
        <f>ROUND(SUM(V60:V69),2)</f>
        <v>5306.1</v>
      </c>
      <c r="W70" s="2050"/>
      <c r="X70" s="2171">
        <f>ROUND(SUM(X60:X69),2)</f>
        <v>0</v>
      </c>
      <c r="Y70" s="2050"/>
      <c r="Z70" s="2171">
        <f>ROUND(SUM(Z60:Z69),2)</f>
        <v>0</v>
      </c>
      <c r="AA70" s="1462"/>
      <c r="AB70" s="2172"/>
      <c r="AC70" s="2173"/>
      <c r="AD70" s="2017">
        <f>ROUND(SUM(AD60:AD69),1)</f>
        <v>54494</v>
      </c>
      <c r="AE70" s="1462"/>
      <c r="AF70" s="3158"/>
      <c r="AG70" s="2017">
        <f>ROUND(SUM(AG60:AG69),1)</f>
        <v>47232.7</v>
      </c>
      <c r="AH70" s="1817"/>
      <c r="AI70" s="115"/>
      <c r="AJ70" s="111">
        <f>ROUND(SUM(AD70-AG70),1)</f>
        <v>7261.3</v>
      </c>
      <c r="AK70" s="2174"/>
      <c r="AL70" s="2175">
        <f>ROUND(SUM((AD70-AG70)/ABS(AG70)),3)</f>
        <v>0.154</v>
      </c>
    </row>
    <row r="71" spans="1:38" s="887" customFormat="1" ht="15" customHeight="1">
      <c r="A71" s="1070"/>
      <c r="B71" s="107" t="s">
        <v>152</v>
      </c>
      <c r="C71" s="107"/>
      <c r="D71" s="815"/>
      <c r="E71" s="815"/>
      <c r="F71" s="895"/>
      <c r="G71" s="815"/>
      <c r="H71" s="1531"/>
      <c r="I71" s="815"/>
      <c r="J71" s="1531"/>
      <c r="K71" s="140"/>
      <c r="L71" s="118"/>
      <c r="M71" s="140"/>
      <c r="N71" s="118"/>
      <c r="O71" s="140"/>
      <c r="P71" s="1995"/>
      <c r="Q71" s="1991"/>
      <c r="R71" s="1995"/>
      <c r="S71" s="1991"/>
      <c r="T71" s="1995"/>
      <c r="U71" s="1991"/>
      <c r="V71" s="1995"/>
      <c r="W71" s="1995"/>
      <c r="X71" s="1995"/>
      <c r="Y71" s="1995"/>
      <c r="Z71" s="1995"/>
      <c r="AA71" s="1995"/>
      <c r="AB71" s="1991"/>
      <c r="AC71" s="1996"/>
      <c r="AD71" s="1991"/>
      <c r="AE71" s="2018"/>
      <c r="AF71" s="3184"/>
      <c r="AG71" s="1991"/>
      <c r="AH71" s="1809"/>
      <c r="AI71" s="1089"/>
      <c r="AJ71" s="1810"/>
      <c r="AK71" s="1810"/>
      <c r="AL71" s="1811"/>
    </row>
    <row r="72" spans="1:38" s="887" customFormat="1" ht="15" customHeight="1">
      <c r="A72" s="1070"/>
      <c r="B72" s="107" t="s">
        <v>153</v>
      </c>
      <c r="C72" s="107"/>
      <c r="D72" s="684">
        <v>74.7</v>
      </c>
      <c r="E72" s="815"/>
      <c r="F72" s="684">
        <v>51</v>
      </c>
      <c r="G72" s="815"/>
      <c r="H72" s="684">
        <v>160.90000000000003</v>
      </c>
      <c r="I72" s="815"/>
      <c r="J72" s="684">
        <v>164.79999999999995</v>
      </c>
      <c r="K72" s="1537"/>
      <c r="L72" s="684">
        <v>63.800000000000068</v>
      </c>
      <c r="M72" s="1537"/>
      <c r="N72" s="684">
        <v>83.999999999999943</v>
      </c>
      <c r="O72" s="1537"/>
      <c r="P72" s="684">
        <v>131.79999999999995</v>
      </c>
      <c r="Q72" s="1998"/>
      <c r="R72" s="1789">
        <v>113.69999999999999</v>
      </c>
      <c r="S72" s="1998"/>
      <c r="T72" s="1789">
        <v>1396.5</v>
      </c>
      <c r="U72" s="1998"/>
      <c r="V72" s="1789">
        <f>AD72-SUM(D72:T72)</f>
        <v>114.90000000000009</v>
      </c>
      <c r="W72" s="1998"/>
      <c r="X72" s="1789"/>
      <c r="Y72" s="1998"/>
      <c r="Z72" s="1789"/>
      <c r="AA72" s="1999"/>
      <c r="AB72" s="2000"/>
      <c r="AC72" s="2001"/>
      <c r="AD72" s="1789">
        <v>2356.1</v>
      </c>
      <c r="AE72" s="2000"/>
      <c r="AF72" s="2002"/>
      <c r="AG72" s="1789">
        <v>537.1</v>
      </c>
      <c r="AH72" s="1073"/>
      <c r="AI72" s="67"/>
      <c r="AJ72" s="895">
        <f>ROUND(SUM(+AD72-AG72),1)</f>
        <v>1819</v>
      </c>
      <c r="AK72" s="895"/>
      <c r="AL72" s="1724">
        <f>ROUND(IF(AG72=0,0,AJ72/ABS(AG72)),3)</f>
        <v>3.387</v>
      </c>
    </row>
    <row r="73" spans="1:38" s="887" customFormat="1" ht="15" customHeight="1">
      <c r="A73" s="1070"/>
      <c r="B73" s="107" t="s">
        <v>179</v>
      </c>
      <c r="C73" s="107"/>
      <c r="D73" s="684">
        <v>40.800000000000004</v>
      </c>
      <c r="E73" s="815"/>
      <c r="F73" s="684">
        <v>44.1</v>
      </c>
      <c r="G73" s="815"/>
      <c r="H73" s="684">
        <v>168.6</v>
      </c>
      <c r="I73" s="815"/>
      <c r="J73" s="684">
        <v>885.30000000000007</v>
      </c>
      <c r="K73" s="1537"/>
      <c r="L73" s="684">
        <v>221.4000000000002</v>
      </c>
      <c r="M73" s="1537"/>
      <c r="N73" s="684">
        <v>228</v>
      </c>
      <c r="O73" s="1537"/>
      <c r="P73" s="684">
        <v>188.59999999999991</v>
      </c>
      <c r="Q73" s="1998"/>
      <c r="R73" s="1789">
        <v>75.700000000000045</v>
      </c>
      <c r="S73" s="1998"/>
      <c r="T73" s="1789">
        <v>205.80000000000018</v>
      </c>
      <c r="U73" s="1998"/>
      <c r="V73" s="1789">
        <f>AD73-SUM(D73:T73)</f>
        <v>181.19999999999982</v>
      </c>
      <c r="W73" s="1998"/>
      <c r="X73" s="1789"/>
      <c r="Y73" s="1998"/>
      <c r="Z73" s="1789"/>
      <c r="AA73" s="1999"/>
      <c r="AB73" s="2000"/>
      <c r="AC73" s="2001"/>
      <c r="AD73" s="1789">
        <v>2239.5</v>
      </c>
      <c r="AE73" s="2000"/>
      <c r="AF73" s="2002"/>
      <c r="AG73" s="1789">
        <v>1100.5999999999999</v>
      </c>
      <c r="AH73" s="1073"/>
      <c r="AI73" s="67"/>
      <c r="AJ73" s="895">
        <f>ROUND(SUM(+AD73-AG73),1)</f>
        <v>1138.9000000000001</v>
      </c>
      <c r="AK73" s="895"/>
      <c r="AL73" s="1724">
        <f>ROUND(IF(AG73=0,0,AJ73/ABS(AG73)),3)</f>
        <v>1.0349999999999999</v>
      </c>
    </row>
    <row r="74" spans="1:38" s="887" customFormat="1" ht="15" customHeight="1">
      <c r="A74" s="1070"/>
      <c r="B74" s="107" t="s">
        <v>155</v>
      </c>
      <c r="C74" s="107"/>
      <c r="D74" s="684">
        <v>22.7</v>
      </c>
      <c r="E74" s="815"/>
      <c r="F74" s="684">
        <v>24.7</v>
      </c>
      <c r="G74" s="815"/>
      <c r="H74" s="684">
        <v>38.899999999999991</v>
      </c>
      <c r="I74" s="815"/>
      <c r="J74" s="684">
        <v>83.700000000000017</v>
      </c>
      <c r="K74" s="1537"/>
      <c r="L74" s="684">
        <v>70.700000000000017</v>
      </c>
      <c r="M74" s="1537"/>
      <c r="N74" s="684">
        <v>23.5</v>
      </c>
      <c r="O74" s="1537"/>
      <c r="P74" s="684">
        <v>77.699999999999989</v>
      </c>
      <c r="Q74" s="1998"/>
      <c r="R74" s="1789">
        <v>29.300000000000011</v>
      </c>
      <c r="S74" s="1998"/>
      <c r="T74" s="1789">
        <v>112.4</v>
      </c>
      <c r="U74" s="1998"/>
      <c r="V74" s="1789">
        <f>AD74-SUM(D74:T74)</f>
        <v>785.29999999999984</v>
      </c>
      <c r="W74" s="1998"/>
      <c r="X74" s="1789"/>
      <c r="Y74" s="1998"/>
      <c r="Z74" s="1789"/>
      <c r="AA74" s="1999"/>
      <c r="AB74" s="2000"/>
      <c r="AC74" s="2001"/>
      <c r="AD74" s="1789">
        <v>1268.8999999999999</v>
      </c>
      <c r="AE74" s="2000"/>
      <c r="AF74" s="2002"/>
      <c r="AG74" s="1789">
        <v>278.5</v>
      </c>
      <c r="AH74" s="1073"/>
      <c r="AI74" s="67"/>
      <c r="AJ74" s="895">
        <f>ROUND(SUM(+AD74-AG74),1)</f>
        <v>990.4</v>
      </c>
      <c r="AK74" s="895"/>
      <c r="AL74" s="1724">
        <f>ROUND(IF(AG74=0,0,AJ74/ABS(AG74)),3)</f>
        <v>3.556</v>
      </c>
    </row>
    <row r="75" spans="1:38" s="887" customFormat="1" ht="15" customHeight="1">
      <c r="A75" s="1070"/>
      <c r="B75" s="3123" t="s">
        <v>1379</v>
      </c>
      <c r="C75" s="107"/>
      <c r="D75" s="684"/>
      <c r="E75" s="815"/>
      <c r="F75" s="684"/>
      <c r="G75" s="815"/>
      <c r="H75" s="684"/>
      <c r="I75" s="815"/>
      <c r="J75" s="684"/>
      <c r="K75" s="1537"/>
      <c r="L75" s="684"/>
      <c r="M75" s="1537"/>
      <c r="N75" s="684"/>
      <c r="O75" s="1537"/>
      <c r="P75" s="684"/>
      <c r="Q75" s="1998"/>
      <c r="R75" s="1789"/>
      <c r="S75" s="1998"/>
      <c r="T75" s="1789"/>
      <c r="U75" s="1998"/>
      <c r="V75" s="1789"/>
      <c r="W75" s="1998"/>
      <c r="X75" s="1789"/>
      <c r="Y75" s="1998"/>
      <c r="Z75" s="1789"/>
      <c r="AA75" s="1999"/>
      <c r="AB75" s="2000"/>
      <c r="AC75" s="2001"/>
      <c r="AD75" s="1789"/>
      <c r="AE75" s="2000"/>
      <c r="AF75" s="2002"/>
      <c r="AG75" s="1789"/>
      <c r="AH75" s="1073"/>
      <c r="AI75" s="67"/>
      <c r="AJ75" s="895"/>
      <c r="AK75" s="895"/>
      <c r="AL75" s="1724"/>
    </row>
    <row r="76" spans="1:38" s="887" customFormat="1" ht="15" customHeight="1">
      <c r="A76" s="1070"/>
      <c r="B76" s="3123" t="s">
        <v>1536</v>
      </c>
      <c r="C76" s="107"/>
      <c r="D76" s="684">
        <v>0</v>
      </c>
      <c r="E76" s="815"/>
      <c r="F76" s="684">
        <v>0</v>
      </c>
      <c r="G76" s="815"/>
      <c r="H76" s="684">
        <v>0</v>
      </c>
      <c r="I76" s="815"/>
      <c r="J76" s="684">
        <v>0</v>
      </c>
      <c r="K76" s="1537"/>
      <c r="L76" s="684">
        <v>0</v>
      </c>
      <c r="M76" s="1537"/>
      <c r="N76" s="684">
        <v>0</v>
      </c>
      <c r="O76" s="1537"/>
      <c r="P76" s="684">
        <v>0</v>
      </c>
      <c r="Q76" s="1998"/>
      <c r="R76" s="1789">
        <v>0</v>
      </c>
      <c r="S76" s="1998"/>
      <c r="T76" s="1789">
        <v>102.2</v>
      </c>
      <c r="U76" s="1998"/>
      <c r="V76" s="1789">
        <f>AD76-SUM(D76:T76)</f>
        <v>0</v>
      </c>
      <c r="W76" s="1998"/>
      <c r="X76" s="1789"/>
      <c r="Y76" s="1998"/>
      <c r="Z76" s="1789"/>
      <c r="AA76" s="1999"/>
      <c r="AB76" s="2000"/>
      <c r="AC76" s="2001"/>
      <c r="AD76" s="1789">
        <v>102.2</v>
      </c>
      <c r="AE76" s="2000"/>
      <c r="AF76" s="2002"/>
      <c r="AG76" s="1789">
        <v>0</v>
      </c>
      <c r="AH76" s="1073"/>
      <c r="AI76" s="67"/>
      <c r="AJ76" s="895">
        <f>ROUND(SUM(+AD76-AG76),1)</f>
        <v>102.2</v>
      </c>
      <c r="AK76" s="895"/>
      <c r="AL76" s="1724">
        <f>ROUND(IF(AG76=0,1,AJ76/ABS(AG76)),3)</f>
        <v>1</v>
      </c>
    </row>
    <row r="77" spans="1:38" s="887" customFormat="1" ht="15" customHeight="1">
      <c r="A77" s="1070"/>
      <c r="B77" s="107" t="s">
        <v>180</v>
      </c>
      <c r="C77" s="107"/>
      <c r="D77" s="684">
        <v>0</v>
      </c>
      <c r="E77" s="815"/>
      <c r="F77" s="684">
        <v>0</v>
      </c>
      <c r="G77" s="815"/>
      <c r="H77" s="684">
        <v>0</v>
      </c>
      <c r="I77" s="815"/>
      <c r="J77" s="684">
        <v>0</v>
      </c>
      <c r="K77" s="1537"/>
      <c r="L77" s="684">
        <v>2.2999999999999998</v>
      </c>
      <c r="M77" s="1537"/>
      <c r="N77" s="684">
        <v>0</v>
      </c>
      <c r="O77" s="1537"/>
      <c r="P77" s="684">
        <v>0</v>
      </c>
      <c r="Q77" s="1998"/>
      <c r="R77" s="1789">
        <v>0</v>
      </c>
      <c r="S77" s="1998"/>
      <c r="T77" s="1789">
        <v>0</v>
      </c>
      <c r="U77" s="1998"/>
      <c r="V77" s="1789">
        <f>AD77-SUM(D77:T77)</f>
        <v>0</v>
      </c>
      <c r="W77" s="1998"/>
      <c r="X77" s="1789"/>
      <c r="Y77" s="1998"/>
      <c r="Z77" s="1789"/>
      <c r="AA77" s="1999"/>
      <c r="AB77" s="2000"/>
      <c r="AC77" s="2001"/>
      <c r="AD77" s="1789">
        <v>2.2999999999999998</v>
      </c>
      <c r="AE77" s="2000"/>
      <c r="AF77" s="2002"/>
      <c r="AG77" s="1789">
        <v>0</v>
      </c>
      <c r="AH77" s="1073"/>
      <c r="AI77" s="67"/>
      <c r="AJ77" s="895">
        <f>ROUND(SUM(+AD77-AG77),1)</f>
        <v>2.2999999999999998</v>
      </c>
      <c r="AK77" s="1024"/>
      <c r="AL77" s="1812">
        <f>ROUND(IF(AG77=0,1,AJ77/ABS(AG77)),3)</f>
        <v>1</v>
      </c>
    </row>
    <row r="78" spans="1:38" ht="15" customHeight="1">
      <c r="A78" s="150"/>
      <c r="B78" s="31"/>
      <c r="C78" s="31"/>
      <c r="D78" s="1840"/>
      <c r="E78" s="815"/>
      <c r="F78" s="1042"/>
      <c r="G78" s="815"/>
      <c r="H78" s="688"/>
      <c r="I78" s="815"/>
      <c r="J78" s="688"/>
      <c r="K78" s="165"/>
      <c r="L78" s="88"/>
      <c r="M78" s="165"/>
      <c r="N78" s="88"/>
      <c r="O78" s="165"/>
      <c r="P78" s="2005"/>
      <c r="Q78" s="1463"/>
      <c r="R78" s="2005"/>
      <c r="S78" s="1463"/>
      <c r="T78" s="2005"/>
      <c r="U78" s="1463"/>
      <c r="V78" s="2051"/>
      <c r="W78" s="1995"/>
      <c r="X78" s="2051"/>
      <c r="Y78" s="1995"/>
      <c r="Z78" s="2051"/>
      <c r="AA78" s="1977"/>
      <c r="AB78" s="1991"/>
      <c r="AC78" s="1996"/>
      <c r="AD78" s="2051"/>
      <c r="AE78" s="1977"/>
      <c r="AF78" s="1997"/>
      <c r="AG78" s="2051"/>
      <c r="AH78" s="1073"/>
      <c r="AI78" s="67"/>
      <c r="AJ78" s="1042"/>
      <c r="AK78" s="1810"/>
      <c r="AL78" s="1448"/>
    </row>
    <row r="79" spans="1:38" ht="15" customHeight="1">
      <c r="A79" s="150"/>
      <c r="B79" s="29" t="s">
        <v>156</v>
      </c>
      <c r="C79" s="31"/>
      <c r="D79" s="922">
        <f>ROUND(SUM(D70:D77),1)</f>
        <v>5869.1</v>
      </c>
      <c r="E79" s="207"/>
      <c r="F79" s="112">
        <f>ROUND(SUM(F70:F77),1)</f>
        <v>4120.6000000000004</v>
      </c>
      <c r="G79" s="207"/>
      <c r="H79" s="922">
        <f>ROUND(SUM(H70:H77),1)</f>
        <v>5563.7</v>
      </c>
      <c r="I79" s="207"/>
      <c r="J79" s="922">
        <f>ROUND(SUM(J70:J77),1)</f>
        <v>5653.2</v>
      </c>
      <c r="K79" s="207"/>
      <c r="L79" s="922">
        <f>ROUND(SUM(L70:L77),1)</f>
        <v>4823.3999999999996</v>
      </c>
      <c r="M79" s="207"/>
      <c r="N79" s="922">
        <f>ROUND(SUM(N70:N77),1)</f>
        <v>11041</v>
      </c>
      <c r="O79" s="207"/>
      <c r="P79" s="1461">
        <f>ROUND(SUM(P70:P77),1)</f>
        <v>5074.8999999999996</v>
      </c>
      <c r="Q79" s="2010"/>
      <c r="R79" s="1461">
        <f>ROUND(SUM(R70:R77),1)</f>
        <v>4510.3999999999996</v>
      </c>
      <c r="S79" s="2010"/>
      <c r="T79" s="1461">
        <f>ROUND(SUM(T70:T77),1)</f>
        <v>7419.2</v>
      </c>
      <c r="U79" s="2010"/>
      <c r="V79" s="2050">
        <f>ROUND(SUM(V70:V77),1)</f>
        <v>6387.5</v>
      </c>
      <c r="W79" s="2050"/>
      <c r="X79" s="2050">
        <f>ROUND(SUM(X70:X77),1)</f>
        <v>0</v>
      </c>
      <c r="Y79" s="2050"/>
      <c r="Z79" s="2050">
        <f>ROUND(SUM(Z70:Z77),1)</f>
        <v>0</v>
      </c>
      <c r="AA79" s="2050"/>
      <c r="AB79" s="2172"/>
      <c r="AC79" s="2173"/>
      <c r="AD79" s="2050">
        <f>ROUND(SUM(AD70:AD77),1)</f>
        <v>60463</v>
      </c>
      <c r="AE79" s="1462"/>
      <c r="AF79" s="3158"/>
      <c r="AG79" s="2050">
        <f>ROUND(SUM(AG70:AG77),1)</f>
        <v>49148.9</v>
      </c>
      <c r="AH79" s="1817"/>
      <c r="AI79" s="115"/>
      <c r="AJ79" s="120">
        <f>ROUND(SUM(AD79-AG79),1)</f>
        <v>11314.1</v>
      </c>
      <c r="AK79" s="2176"/>
      <c r="AL79" s="2177">
        <f>ROUND(SUM((AD79-AG79)/ABS(AG79)),3)</f>
        <v>0.23</v>
      </c>
    </row>
    <row r="80" spans="1:38" ht="15" customHeight="1">
      <c r="A80" s="150"/>
      <c r="B80" s="31"/>
      <c r="C80" s="31"/>
      <c r="D80" s="1840"/>
      <c r="E80" s="815"/>
      <c r="F80" s="1042"/>
      <c r="G80" s="815"/>
      <c r="H80" s="688"/>
      <c r="I80" s="815"/>
      <c r="J80" s="688"/>
      <c r="K80" s="165"/>
      <c r="L80" s="88"/>
      <c r="M80" s="165"/>
      <c r="N80" s="88"/>
      <c r="O80" s="165"/>
      <c r="P80" s="2005"/>
      <c r="Q80" s="1463"/>
      <c r="R80" s="2005"/>
      <c r="S80" s="1463"/>
      <c r="T80" s="2005"/>
      <c r="U80" s="1463"/>
      <c r="V80" s="2051"/>
      <c r="W80" s="1995"/>
      <c r="X80" s="2051"/>
      <c r="Y80" s="1995"/>
      <c r="Z80" s="2051"/>
      <c r="AA80" s="1977"/>
      <c r="AB80" s="1991"/>
      <c r="AC80" s="1996"/>
      <c r="AD80" s="2051"/>
      <c r="AE80" s="1977"/>
      <c r="AF80" s="1997"/>
      <c r="AG80" s="2051"/>
      <c r="AH80" s="1073"/>
      <c r="AI80" s="1087"/>
      <c r="AJ80" s="684"/>
      <c r="AK80" s="1810"/>
      <c r="AL80" s="1811"/>
    </row>
    <row r="81" spans="1:51" ht="15" customHeight="1">
      <c r="A81" s="150"/>
      <c r="B81" s="29" t="s">
        <v>157</v>
      </c>
      <c r="C81" s="31"/>
      <c r="D81" s="815"/>
      <c r="E81" s="815"/>
      <c r="F81" s="895"/>
      <c r="G81" s="815"/>
      <c r="H81" s="1531"/>
      <c r="I81" s="815"/>
      <c r="J81" s="1531"/>
      <c r="K81" s="165"/>
      <c r="L81" s="66"/>
      <c r="M81" s="165"/>
      <c r="N81" s="66"/>
      <c r="O81" s="165"/>
      <c r="P81" s="2006"/>
      <c r="Q81" s="1463"/>
      <c r="R81" s="2006"/>
      <c r="S81" s="1463"/>
      <c r="T81" s="2006"/>
      <c r="U81" s="1463"/>
      <c r="V81" s="1995"/>
      <c r="W81" s="1995"/>
      <c r="X81" s="1995"/>
      <c r="Y81" s="1995"/>
      <c r="Z81" s="1995"/>
      <c r="AA81" s="1995"/>
      <c r="AB81" s="1991"/>
      <c r="AC81" s="1996"/>
      <c r="AD81" s="1977"/>
      <c r="AE81" s="3181"/>
      <c r="AF81" s="3185"/>
      <c r="AG81" s="1977"/>
      <c r="AH81" s="1073"/>
      <c r="AI81" s="2178"/>
      <c r="AJ81" s="684"/>
      <c r="AK81" s="1810"/>
      <c r="AL81" s="1811"/>
    </row>
    <row r="82" spans="1:51" ht="15" customHeight="1">
      <c r="A82" s="150"/>
      <c r="B82" s="29" t="s">
        <v>45</v>
      </c>
      <c r="C82" s="31"/>
      <c r="D82" s="922">
        <f>ROUND(SUM(D56-D79),1)</f>
        <v>4923.6000000000004</v>
      </c>
      <c r="E82" s="207"/>
      <c r="F82" s="112">
        <f>ROUND(SUM(F56-F79),1)</f>
        <v>37.4</v>
      </c>
      <c r="G82" s="207"/>
      <c r="H82" s="922">
        <f>ROUND(SUM(H56-H79),1)</f>
        <v>1793.8</v>
      </c>
      <c r="I82" s="207"/>
      <c r="J82" s="922">
        <f>ROUND(SUM(J56-J79),1)</f>
        <v>-424.6</v>
      </c>
      <c r="K82" s="207"/>
      <c r="L82" s="922">
        <f>ROUND(SUM(L56-L79),1)</f>
        <v>-404.4</v>
      </c>
      <c r="M82" s="207"/>
      <c r="N82" s="922">
        <f>ROUND(SUM(N56-N79),1)</f>
        <v>-1123.2</v>
      </c>
      <c r="O82" s="207"/>
      <c r="P82" s="1461">
        <f>ROUND(SUM(P56-P79),1)</f>
        <v>2363.6</v>
      </c>
      <c r="Q82" s="2010"/>
      <c r="R82" s="1461">
        <f>ROUND(SUM(R56-R79),1)</f>
        <v>-409.9</v>
      </c>
      <c r="S82" s="2010"/>
      <c r="T82" s="1461">
        <f>ROUND(SUM(T56-T79),1)</f>
        <v>-108.3</v>
      </c>
      <c r="U82" s="2010"/>
      <c r="V82" s="2050">
        <f>ROUND(SUM(V56-V79),1)</f>
        <v>-595</v>
      </c>
      <c r="W82" s="2050"/>
      <c r="X82" s="2050">
        <f>ROUND(SUM(X56-X79),1)</f>
        <v>0</v>
      </c>
      <c r="Y82" s="2050"/>
      <c r="Z82" s="2050">
        <f>ROUND(SUM(Z56-Z79),1)</f>
        <v>0</v>
      </c>
      <c r="AA82" s="2050"/>
      <c r="AB82" s="2172"/>
      <c r="AC82" s="2173"/>
      <c r="AD82" s="2050">
        <f>ROUND(SUM(AD56-AD79),1)</f>
        <v>6053</v>
      </c>
      <c r="AE82" s="1462"/>
      <c r="AF82" s="3158"/>
      <c r="AG82" s="2050">
        <f>ROUND(SUM(AG56-AG79),1)</f>
        <v>4619.3999999999996</v>
      </c>
      <c r="AH82" s="1817"/>
      <c r="AI82" s="115"/>
      <c r="AJ82" s="120">
        <f>ROUND(SUM(AD82-AG82),1)</f>
        <v>1433.6</v>
      </c>
      <c r="AK82" s="2179"/>
      <c r="AL82" s="3563">
        <f>ROUND(SUM((AD82-AG82)/ABS(AG82)),3)</f>
        <v>0.31</v>
      </c>
    </row>
    <row r="83" spans="1:51" ht="15" customHeight="1">
      <c r="A83" s="150"/>
      <c r="B83" s="31"/>
      <c r="C83" s="31"/>
      <c r="D83" s="1840"/>
      <c r="E83" s="815"/>
      <c r="F83" s="1042"/>
      <c r="G83" s="815"/>
      <c r="H83" s="688"/>
      <c r="I83" s="815"/>
      <c r="J83" s="688"/>
      <c r="K83" s="165"/>
      <c r="L83" s="88"/>
      <c r="M83" s="165"/>
      <c r="N83" s="88"/>
      <c r="O83" s="165"/>
      <c r="P83" s="2005"/>
      <c r="Q83" s="1463"/>
      <c r="R83" s="2005"/>
      <c r="S83" s="1463"/>
      <c r="T83" s="2005"/>
      <c r="U83" s="1463"/>
      <c r="V83" s="2051"/>
      <c r="W83" s="1995"/>
      <c r="X83" s="2051"/>
      <c r="Y83" s="1995"/>
      <c r="Z83" s="2051"/>
      <c r="AA83" s="1977"/>
      <c r="AB83" s="1991"/>
      <c r="AC83" s="1996"/>
      <c r="AD83" s="2051"/>
      <c r="AE83" s="1977"/>
      <c r="AF83" s="1997"/>
      <c r="AG83" s="2051"/>
      <c r="AH83" s="1073"/>
      <c r="AI83" s="67"/>
      <c r="AJ83" s="684"/>
      <c r="AK83" s="1810"/>
      <c r="AL83" s="1811"/>
    </row>
    <row r="84" spans="1:51" ht="15" customHeight="1">
      <c r="A84" s="150"/>
      <c r="B84" s="29" t="s">
        <v>46</v>
      </c>
      <c r="C84" s="31"/>
      <c r="D84" s="815"/>
      <c r="E84" s="815"/>
      <c r="F84" s="895"/>
      <c r="G84" s="815"/>
      <c r="H84" s="1531"/>
      <c r="I84" s="815"/>
      <c r="J84" s="1531"/>
      <c r="K84" s="165"/>
      <c r="L84" s="66"/>
      <c r="M84" s="165"/>
      <c r="N84" s="66"/>
      <c r="O84" s="165"/>
      <c r="P84" s="2006"/>
      <c r="Q84" s="1463"/>
      <c r="R84" s="2006"/>
      <c r="S84" s="1463"/>
      <c r="T84" s="2006"/>
      <c r="U84" s="1463"/>
      <c r="V84" s="1995"/>
      <c r="W84" s="1995"/>
      <c r="X84" s="1995"/>
      <c r="Y84" s="1995"/>
      <c r="Z84" s="1995"/>
      <c r="AA84" s="1995"/>
      <c r="AB84" s="1991"/>
      <c r="AC84" s="1996"/>
      <c r="AD84" s="1995"/>
      <c r="AE84" s="1977"/>
      <c r="AF84" s="1997"/>
      <c r="AG84" s="1995"/>
      <c r="AH84" s="1073"/>
      <c r="AI84" s="67"/>
      <c r="AJ84" s="684"/>
      <c r="AK84" s="1810"/>
      <c r="AL84" s="1811"/>
    </row>
    <row r="85" spans="1:51" s="887" customFormat="1" ht="15" customHeight="1">
      <c r="A85" s="1070"/>
      <c r="B85" s="107" t="s">
        <v>181</v>
      </c>
      <c r="C85" s="107"/>
      <c r="D85" s="684">
        <v>0</v>
      </c>
      <c r="E85" s="815"/>
      <c r="F85" s="684">
        <v>0</v>
      </c>
      <c r="G85" s="815"/>
      <c r="H85" s="684">
        <v>0</v>
      </c>
      <c r="I85" s="815"/>
      <c r="J85" s="684">
        <v>0</v>
      </c>
      <c r="K85" s="1537"/>
      <c r="L85" s="684">
        <v>0</v>
      </c>
      <c r="M85" s="1537"/>
      <c r="N85" s="684">
        <v>0</v>
      </c>
      <c r="O85" s="1537"/>
      <c r="P85" s="684">
        <v>0</v>
      </c>
      <c r="Q85" s="1998"/>
      <c r="R85" s="1789">
        <v>0</v>
      </c>
      <c r="S85" s="1998"/>
      <c r="T85" s="1789">
        <v>0</v>
      </c>
      <c r="U85" s="1998"/>
      <c r="V85" s="1789">
        <f>$AD85-$D85-$F85-$H85-$J85-$L85-$N85-$P85-$R85-T85</f>
        <v>0</v>
      </c>
      <c r="W85" s="1998"/>
      <c r="X85" s="1789"/>
      <c r="Y85" s="1998"/>
      <c r="Z85" s="1789"/>
      <c r="AA85" s="1999"/>
      <c r="AB85" s="2000"/>
      <c r="AC85" s="2001"/>
      <c r="AD85" s="1789">
        <v>0</v>
      </c>
      <c r="AE85" s="2000"/>
      <c r="AF85" s="2002"/>
      <c r="AG85" s="1789">
        <v>0</v>
      </c>
      <c r="AH85" s="1073"/>
      <c r="AI85" s="67"/>
      <c r="AJ85" s="1539">
        <f>ROUND(SUM(+AD85-AG85),1)</f>
        <v>0</v>
      </c>
      <c r="AK85" s="1024"/>
      <c r="AL85" s="1724">
        <f>-ROUND(IF(AG85=0,0,AJ85/ABS(AG85)),3)</f>
        <v>0</v>
      </c>
    </row>
    <row r="86" spans="1:51" s="887" customFormat="1" ht="15" customHeight="1">
      <c r="A86" s="1070"/>
      <c r="B86" s="107" t="s">
        <v>182</v>
      </c>
      <c r="C86" s="107"/>
      <c r="D86" s="684">
        <v>-307.2</v>
      </c>
      <c r="E86" s="815"/>
      <c r="F86" s="684">
        <v>-135.4</v>
      </c>
      <c r="G86" s="815"/>
      <c r="H86" s="684">
        <v>2.7000000000000171</v>
      </c>
      <c r="I86" s="815"/>
      <c r="J86" s="684">
        <v>-248.89999999999998</v>
      </c>
      <c r="K86" s="1537"/>
      <c r="L86" s="684">
        <v>-27</v>
      </c>
      <c r="M86" s="1537"/>
      <c r="N86" s="684">
        <v>-291.80000000000018</v>
      </c>
      <c r="O86" s="1537"/>
      <c r="P86" s="684">
        <v>-480.29999999999984</v>
      </c>
      <c r="Q86" s="1998"/>
      <c r="R86" s="1789">
        <v>-130.39999999999986</v>
      </c>
      <c r="S86" s="1998"/>
      <c r="T86" s="1789">
        <v>-165.79999999999984</v>
      </c>
      <c r="U86" s="1998"/>
      <c r="V86" s="1789">
        <f>$AD86-$D86-$F86-$H86-$J86-$L86-$N86-$P86-$R86-T86</f>
        <v>-191</v>
      </c>
      <c r="W86" s="1998"/>
      <c r="X86" s="1789"/>
      <c r="Y86" s="1998"/>
      <c r="Z86" s="1789"/>
      <c r="AA86" s="1999"/>
      <c r="AB86" s="2000"/>
      <c r="AC86" s="2001"/>
      <c r="AD86" s="1789">
        <v>-1975.1</v>
      </c>
      <c r="AE86" s="2000"/>
      <c r="AF86" s="2002"/>
      <c r="AG86" s="3423">
        <v>-1805.2</v>
      </c>
      <c r="AH86" s="1073"/>
      <c r="AI86" s="67"/>
      <c r="AJ86" s="1024">
        <f>ROUND(SUM(+AD86-AG86)*-1,1)</f>
        <v>169.9</v>
      </c>
      <c r="AK86" s="1024"/>
      <c r="AL86" s="1724">
        <f>ROUND(IF(AG86=0,0,AJ86/ABS(AG86)),3)</f>
        <v>9.4E-2</v>
      </c>
    </row>
    <row r="87" spans="1:51" ht="15" customHeight="1">
      <c r="A87" s="150"/>
      <c r="B87" s="31"/>
      <c r="C87" s="31"/>
      <c r="D87" s="168"/>
      <c r="E87" s="165"/>
      <c r="F87" s="126"/>
      <c r="G87" s="165"/>
      <c r="H87" s="88"/>
      <c r="I87" s="165"/>
      <c r="J87" s="88"/>
      <c r="K87" s="165"/>
      <c r="L87" s="3039"/>
      <c r="M87" s="165"/>
      <c r="N87" s="88"/>
      <c r="O87" s="165"/>
      <c r="P87" s="2005"/>
      <c r="Q87" s="1463"/>
      <c r="R87" s="2005"/>
      <c r="S87" s="1463"/>
      <c r="T87" s="2005"/>
      <c r="U87" s="1463"/>
      <c r="V87" s="2051"/>
      <c r="W87" s="1995"/>
      <c r="X87" s="2051"/>
      <c r="Y87" s="1995"/>
      <c r="Z87" s="2051"/>
      <c r="AA87" s="1977"/>
      <c r="AB87" s="1991"/>
      <c r="AC87" s="1996"/>
      <c r="AD87" s="2051"/>
      <c r="AE87" s="1977"/>
      <c r="AF87" s="1997"/>
      <c r="AG87" s="1977"/>
      <c r="AH87" s="1073"/>
      <c r="AI87" s="67"/>
      <c r="AJ87" s="2180"/>
      <c r="AK87" s="1810"/>
      <c r="AL87" s="2181"/>
    </row>
    <row r="88" spans="1:51" ht="15" customHeight="1">
      <c r="A88" s="150"/>
      <c r="B88" s="29" t="s">
        <v>1174</v>
      </c>
      <c r="C88" s="31"/>
      <c r="D88" s="62">
        <f>ROUND(SUM(D85:D87),1)</f>
        <v>-307.2</v>
      </c>
      <c r="E88" s="207"/>
      <c r="F88" s="112">
        <f>ROUND(SUM(F85:F87),1)</f>
        <v>-135.4</v>
      </c>
      <c r="G88" s="207"/>
      <c r="H88" s="62">
        <f>ROUND(SUM(H85:H87),1)</f>
        <v>2.7</v>
      </c>
      <c r="I88" s="207"/>
      <c r="J88" s="62">
        <f>ROUND(SUM(J85:J87),1)</f>
        <v>-248.9</v>
      </c>
      <c r="K88" s="207"/>
      <c r="L88" s="922">
        <f>ROUND(SUM(L85:L87),1)</f>
        <v>-27</v>
      </c>
      <c r="M88" s="207"/>
      <c r="N88" s="62">
        <f>ROUND(SUM(N85:N87),1)</f>
        <v>-291.8</v>
      </c>
      <c r="O88" s="207"/>
      <c r="P88" s="1461">
        <f>ROUND(SUM(P85:P87),1)</f>
        <v>-480.3</v>
      </c>
      <c r="Q88" s="2010"/>
      <c r="R88" s="1461">
        <f>ROUND(SUM(R85:R87),1)</f>
        <v>-130.4</v>
      </c>
      <c r="S88" s="2010"/>
      <c r="T88" s="1461">
        <f>ROUND(SUM(T85:T87),1)</f>
        <v>-165.8</v>
      </c>
      <c r="U88" s="2010"/>
      <c r="V88" s="2050">
        <f>ROUND(SUM(V85:V87),1)</f>
        <v>-191</v>
      </c>
      <c r="W88" s="2050"/>
      <c r="X88" s="2050">
        <f>ROUND(SUM(X85:X87),1)</f>
        <v>0</v>
      </c>
      <c r="Y88" s="2050"/>
      <c r="Z88" s="2050">
        <f>ROUND(SUM(Z85:Z87),1)</f>
        <v>0</v>
      </c>
      <c r="AA88" s="2050"/>
      <c r="AB88" s="2172"/>
      <c r="AC88" s="2173"/>
      <c r="AD88" s="2050">
        <f>ROUND(SUM(AD85:AD87),1)</f>
        <v>-1975.1</v>
      </c>
      <c r="AE88" s="1462"/>
      <c r="AF88" s="3158"/>
      <c r="AG88" s="2050">
        <f>ROUND(SUM(AG85:AG86),1)</f>
        <v>-1805.2</v>
      </c>
      <c r="AH88" s="1817"/>
      <c r="AI88" s="115"/>
      <c r="AJ88" s="120">
        <f>-ROUND(SUM(AD88-AG88),1)</f>
        <v>169.9</v>
      </c>
      <c r="AK88" s="2174"/>
      <c r="AL88" s="2177">
        <f>ROUND(SUM((AD88-AG88)/(AG88)),3)</f>
        <v>9.4E-2</v>
      </c>
    </row>
    <row r="89" spans="1:51" ht="15" customHeight="1">
      <c r="A89" s="150"/>
      <c r="B89" s="31"/>
      <c r="C89" s="31"/>
      <c r="D89" s="168"/>
      <c r="E89" s="165"/>
      <c r="F89" s="3724"/>
      <c r="G89" s="165"/>
      <c r="H89" s="168"/>
      <c r="I89" s="165"/>
      <c r="J89" s="168"/>
      <c r="K89" s="165"/>
      <c r="L89" s="168"/>
      <c r="M89" s="165"/>
      <c r="N89" s="168"/>
      <c r="O89" s="165"/>
      <c r="P89" s="1467"/>
      <c r="Q89" s="1463"/>
      <c r="R89" s="1467"/>
      <c r="S89" s="1463"/>
      <c r="T89" s="1467"/>
      <c r="U89" s="1463"/>
      <c r="V89" s="2051"/>
      <c r="W89" s="1995"/>
      <c r="X89" s="2051"/>
      <c r="Y89" s="1995"/>
      <c r="Z89" s="2051"/>
      <c r="AA89" s="1977"/>
      <c r="AB89" s="1991"/>
      <c r="AC89" s="1996"/>
      <c r="AD89" s="2051"/>
      <c r="AE89" s="1977"/>
      <c r="AF89" s="1997"/>
      <c r="AG89" s="2051"/>
      <c r="AH89" s="1073"/>
      <c r="AI89" s="67"/>
      <c r="AJ89" s="684"/>
      <c r="AK89" s="1810"/>
      <c r="AL89" s="1811"/>
    </row>
    <row r="90" spans="1:51" ht="15" customHeight="1">
      <c r="A90" s="150"/>
      <c r="B90" s="29" t="s">
        <v>165</v>
      </c>
      <c r="C90" s="31"/>
      <c r="D90" s="165"/>
      <c r="E90" s="165"/>
      <c r="F90" s="140"/>
      <c r="G90" s="165"/>
      <c r="H90" s="165"/>
      <c r="I90" s="165"/>
      <c r="J90" s="165"/>
      <c r="K90" s="165"/>
      <c r="L90" s="165"/>
      <c r="M90" s="165"/>
      <c r="N90" s="165"/>
      <c r="O90" s="165"/>
      <c r="P90" s="1463"/>
      <c r="Q90" s="1463"/>
      <c r="R90" s="1463"/>
      <c r="S90" s="1463"/>
      <c r="T90" s="1463"/>
      <c r="U90" s="1463"/>
      <c r="V90" s="1991"/>
      <c r="W90" s="1991"/>
      <c r="X90" s="1991"/>
      <c r="Y90" s="1991"/>
      <c r="Z90" s="1991"/>
      <c r="AA90" s="1991"/>
      <c r="AB90" s="1991"/>
      <c r="AC90" s="1996"/>
      <c r="AD90" s="1991"/>
      <c r="AE90" s="2018"/>
      <c r="AF90" s="3184"/>
      <c r="AG90" s="1991"/>
      <c r="AH90" s="1809"/>
      <c r="AI90" s="1089"/>
      <c r="AJ90" s="1810"/>
      <c r="AK90" s="1810"/>
      <c r="AL90" s="1811"/>
    </row>
    <row r="91" spans="1:51" ht="15" customHeight="1">
      <c r="A91" s="150"/>
      <c r="B91" s="29" t="s">
        <v>166</v>
      </c>
      <c r="C91" s="31"/>
      <c r="D91" s="165"/>
      <c r="E91" s="165"/>
      <c r="F91" s="140"/>
      <c r="G91" s="165"/>
      <c r="H91" s="165"/>
      <c r="I91" s="165"/>
      <c r="J91" s="165"/>
      <c r="K91" s="165"/>
      <c r="L91" s="165"/>
      <c r="M91" s="165"/>
      <c r="N91" s="165"/>
      <c r="O91" s="165"/>
      <c r="P91" s="1463"/>
      <c r="Q91" s="1463"/>
      <c r="R91" s="1463"/>
      <c r="S91" s="1463"/>
      <c r="T91" s="1463"/>
      <c r="U91" s="1463"/>
      <c r="V91" s="1991"/>
      <c r="W91" s="1991"/>
      <c r="X91" s="1991"/>
      <c r="Y91" s="1991"/>
      <c r="Z91" s="1991"/>
      <c r="AA91" s="1991"/>
      <c r="AB91" s="1991"/>
      <c r="AC91" s="1996"/>
      <c r="AD91" s="1991"/>
      <c r="AE91" s="2018"/>
      <c r="AF91" s="3184"/>
      <c r="AG91" s="3473"/>
      <c r="AH91" s="1809"/>
      <c r="AI91" s="1089"/>
      <c r="AJ91" s="1810"/>
      <c r="AK91" s="1810"/>
      <c r="AL91" s="1811"/>
    </row>
    <row r="92" spans="1:51" ht="15" customHeight="1">
      <c r="A92" s="150"/>
      <c r="B92" s="29" t="s">
        <v>1175</v>
      </c>
      <c r="C92" s="31"/>
      <c r="D92" s="829">
        <f>ROUND(SUM(D82+D88),1)</f>
        <v>4616.3999999999996</v>
      </c>
      <c r="E92" s="165"/>
      <c r="F92" s="3725">
        <f>ROUND(SUM(F82+F88),1)</f>
        <v>-98</v>
      </c>
      <c r="G92" s="165"/>
      <c r="H92" s="829">
        <f>ROUND(SUM(H82+H88),1)</f>
        <v>1796.5</v>
      </c>
      <c r="I92" s="56"/>
      <c r="J92" s="829">
        <f>ROUND(SUM(J82+J88),1)</f>
        <v>-673.5</v>
      </c>
      <c r="K92" s="56"/>
      <c r="L92" s="829">
        <f>ROUND(SUM(L82+L88),1)</f>
        <v>-431.4</v>
      </c>
      <c r="M92" s="56"/>
      <c r="N92" s="829">
        <f>ROUND(SUM(N82+N88),1)</f>
        <v>-1415</v>
      </c>
      <c r="O92" s="56"/>
      <c r="P92" s="2020">
        <f>ROUND(SUM(P82+P88),1)</f>
        <v>1883.3</v>
      </c>
      <c r="Q92" s="2007"/>
      <c r="R92" s="2020">
        <f>ROUND(SUM(R82+R88),1)</f>
        <v>-540.29999999999995</v>
      </c>
      <c r="S92" s="2007"/>
      <c r="T92" s="2020">
        <f>ROUND(SUM(T82+T88),1)</f>
        <v>-274.10000000000002</v>
      </c>
      <c r="U92" s="2007"/>
      <c r="V92" s="1559">
        <f>ROUND(SUM(V82+V88),1)</f>
        <v>-786</v>
      </c>
      <c r="W92" s="1977"/>
      <c r="X92" s="1559">
        <f>ROUND(SUM(X82+X88),1)</f>
        <v>0</v>
      </c>
      <c r="Y92" s="1977"/>
      <c r="Z92" s="1559">
        <f>ROUND(SUM(Z82+Z88),1)</f>
        <v>0</v>
      </c>
      <c r="AA92" s="1977"/>
      <c r="AB92" s="2182"/>
      <c r="AC92" s="1977"/>
      <c r="AD92" s="1559">
        <f>ROUND(SUM(AD82+AD88),1)</f>
        <v>4077.9</v>
      </c>
      <c r="AE92" s="3182"/>
      <c r="AF92" s="1977"/>
      <c r="AG92" s="1559">
        <f>ROUND(SUM(AG82+AG88),1)</f>
        <v>2814.2</v>
      </c>
      <c r="AH92" s="1809"/>
      <c r="AI92" s="67"/>
      <c r="AJ92" s="1107">
        <f>ROUND(SUM(AJ82-AJ88),1)</f>
        <v>1263.7</v>
      </c>
      <c r="AK92" s="1031"/>
      <c r="AL92" s="2183">
        <f>ROUND(SUM((AD92-AG92)/ABS(AG92)),3)</f>
        <v>0.44900000000000001</v>
      </c>
    </row>
    <row r="93" spans="1:51" ht="15" customHeight="1">
      <c r="A93" s="150"/>
      <c r="B93" s="31"/>
      <c r="C93" s="31"/>
      <c r="D93" s="37"/>
      <c r="E93" s="30"/>
      <c r="F93" s="1089"/>
      <c r="G93" s="30"/>
      <c r="H93" s="37"/>
      <c r="I93" s="30"/>
      <c r="J93" s="37"/>
      <c r="K93" s="30"/>
      <c r="L93" s="37"/>
      <c r="M93" s="30"/>
      <c r="N93" s="37"/>
      <c r="O93" s="30"/>
      <c r="P93" s="2021"/>
      <c r="Q93" s="2022"/>
      <c r="R93" s="2021"/>
      <c r="S93" s="2022"/>
      <c r="T93" s="2019"/>
      <c r="U93" s="2022"/>
      <c r="V93" s="2184"/>
      <c r="W93" s="2185"/>
      <c r="X93" s="2184"/>
      <c r="Y93" s="2185"/>
      <c r="Z93" s="2184"/>
      <c r="AA93" s="2184"/>
      <c r="AB93" s="2185"/>
      <c r="AC93" s="2186"/>
      <c r="AD93" s="2184"/>
      <c r="AE93" s="2184"/>
      <c r="AF93" s="2186"/>
      <c r="AG93" s="2184"/>
      <c r="AH93" s="1089"/>
      <c r="AI93" s="2187"/>
      <c r="AJ93" s="2188"/>
      <c r="AK93" s="1810"/>
      <c r="AL93" s="1811" t="s">
        <v>15</v>
      </c>
    </row>
    <row r="94" spans="1:51" ht="20.25" customHeight="1" thickBot="1">
      <c r="A94" s="150"/>
      <c r="B94" s="29" t="s">
        <v>1185</v>
      </c>
      <c r="C94" s="31"/>
      <c r="D94" s="1860">
        <f>ROUND(SUM(+D13+D92),1)</f>
        <v>5527.8</v>
      </c>
      <c r="E94" s="30"/>
      <c r="F94" s="1850">
        <f>ROUND(SUM(+F13+F92),1)</f>
        <v>5429.8</v>
      </c>
      <c r="G94" s="30"/>
      <c r="H94" s="1860">
        <f>ROUND(SUM(+H13+H92),1)</f>
        <v>7226.3</v>
      </c>
      <c r="I94" s="30"/>
      <c r="J94" s="1860">
        <f>ROUND(SUM(+J13+J92),1)</f>
        <v>6552.8</v>
      </c>
      <c r="K94" s="30"/>
      <c r="L94" s="1860">
        <f>ROUND(SUM(+L13+L92),1)</f>
        <v>6121.4</v>
      </c>
      <c r="M94" s="30"/>
      <c r="N94" s="1860">
        <f>ROUND(SUM(+N13+N92),1)</f>
        <v>4706.3999999999996</v>
      </c>
      <c r="O94" s="30"/>
      <c r="P94" s="2023">
        <f>ROUND(SUM(+P13+P92),1)</f>
        <v>6589.7</v>
      </c>
      <c r="Q94" s="2022"/>
      <c r="R94" s="2023">
        <f>ROUND(SUM(+R13+R92),1)</f>
        <v>6049.4</v>
      </c>
      <c r="S94" s="2022"/>
      <c r="T94" s="2023">
        <f>ROUND(SUM(+T13+T92),1)</f>
        <v>5775.3</v>
      </c>
      <c r="U94" s="2022"/>
      <c r="V94" s="2189">
        <f>ROUND(SUM(+V13+V92),1)</f>
        <v>4989.3</v>
      </c>
      <c r="W94" s="2185"/>
      <c r="X94" s="2189">
        <f>ROUND(SUM(+X13+X92),1)</f>
        <v>0</v>
      </c>
      <c r="Y94" s="2185"/>
      <c r="Z94" s="2189">
        <f>ROUND(SUM(+Z13+Z92),1)</f>
        <v>0</v>
      </c>
      <c r="AA94" s="2184"/>
      <c r="AB94" s="2185"/>
      <c r="AC94" s="2186"/>
      <c r="AD94" s="2189">
        <f>ROUND(SUM(+AD13+AD92),1)</f>
        <v>4989.3</v>
      </c>
      <c r="AE94" s="2184"/>
      <c r="AF94" s="2186"/>
      <c r="AG94" s="2189">
        <f>ROUND(SUM(+AG13+AG92),1)</f>
        <v>1565.8</v>
      </c>
      <c r="AH94" s="1089"/>
      <c r="AI94" s="2187"/>
      <c r="AJ94" s="1850">
        <f>ROUND(SUM(+AJ13+AJ92),1)</f>
        <v>3423.5</v>
      </c>
      <c r="AK94" s="1810"/>
      <c r="AL94" s="2190">
        <f>ROUND(+AJ94/ABS(AG94),3)</f>
        <v>2.1859999999999999</v>
      </c>
    </row>
    <row r="95" spans="1:51" ht="15" customHeight="1" thickTop="1">
      <c r="B95" s="30"/>
      <c r="C95" s="30"/>
      <c r="D95" s="268"/>
      <c r="E95" s="268"/>
      <c r="F95" s="2121"/>
      <c r="G95" s="268"/>
      <c r="H95" s="268"/>
      <c r="I95" s="268"/>
      <c r="J95" s="268"/>
      <c r="K95" s="268"/>
      <c r="L95" s="268"/>
      <c r="M95" s="268"/>
      <c r="N95" s="268"/>
      <c r="O95" s="268"/>
      <c r="P95" s="2024"/>
      <c r="Q95" s="2024"/>
      <c r="R95" s="2024"/>
      <c r="S95" s="2024"/>
      <c r="T95" s="2024"/>
      <c r="U95" s="2024"/>
      <c r="V95" s="2191"/>
      <c r="W95" s="2191"/>
      <c r="X95" s="2191"/>
      <c r="Y95" s="2191"/>
      <c r="Z95" s="2191"/>
      <c r="AA95" s="2191"/>
      <c r="AB95" s="2191"/>
      <c r="AC95" s="2191"/>
      <c r="AD95" s="2191"/>
      <c r="AE95" s="2191"/>
      <c r="AF95" s="2191"/>
      <c r="AG95" s="2191"/>
      <c r="AH95" s="2121"/>
      <c r="AI95" s="2121"/>
      <c r="AJ95" s="1021"/>
      <c r="AK95" s="1021"/>
      <c r="AL95" s="1818"/>
      <c r="AM95" s="295"/>
      <c r="AN95" s="295"/>
      <c r="AO95" s="295"/>
      <c r="AP95" s="295"/>
      <c r="AQ95" s="295"/>
      <c r="AR95" s="295"/>
      <c r="AS95" s="295"/>
      <c r="AT95" s="295"/>
      <c r="AU95" s="295"/>
      <c r="AV95" s="295"/>
      <c r="AW95" s="295"/>
      <c r="AX95" s="295"/>
      <c r="AY95" s="295"/>
    </row>
    <row r="96" spans="1:51" ht="15" customHeight="1">
      <c r="B96" s="920"/>
      <c r="C96" s="30"/>
      <c r="D96" s="30"/>
      <c r="E96" s="30"/>
      <c r="F96" s="30"/>
      <c r="G96" s="30"/>
      <c r="H96" s="30"/>
      <c r="I96" s="30"/>
      <c r="J96" s="30"/>
      <c r="K96" s="30"/>
      <c r="L96" s="30"/>
      <c r="M96" s="30"/>
      <c r="N96" s="30"/>
      <c r="O96" s="30"/>
      <c r="P96" s="2022"/>
      <c r="Q96" s="2022"/>
      <c r="R96" s="2022"/>
      <c r="S96" s="2022"/>
      <c r="T96" s="2022"/>
      <c r="U96" s="2022"/>
      <c r="V96" s="2185"/>
      <c r="W96" s="2185"/>
      <c r="X96" s="2185"/>
      <c r="Y96" s="2185"/>
      <c r="Z96" s="2185"/>
      <c r="AA96" s="2185"/>
      <c r="AB96" s="2185"/>
      <c r="AC96" s="2185"/>
      <c r="AD96" s="2185"/>
      <c r="AE96" s="2185"/>
      <c r="AF96" s="2185"/>
      <c r="AG96" s="2185"/>
      <c r="AH96" s="106"/>
      <c r="AI96" s="106"/>
      <c r="AJ96" s="888"/>
      <c r="AK96" s="888"/>
      <c r="AL96" s="1818"/>
    </row>
    <row r="97" spans="2:38" ht="15" customHeight="1">
      <c r="B97" s="30"/>
      <c r="P97" s="2025"/>
      <c r="Q97" s="2025"/>
      <c r="R97" s="2025"/>
      <c r="S97" s="2025"/>
      <c r="T97" s="2025"/>
      <c r="U97" s="2025"/>
      <c r="V97" s="2192"/>
      <c r="W97" s="2192"/>
      <c r="X97" s="2192"/>
      <c r="Y97" s="2192"/>
      <c r="Z97" s="2192"/>
      <c r="AA97" s="2192"/>
      <c r="AB97" s="2192"/>
      <c r="AC97" s="2192"/>
      <c r="AD97" s="2192"/>
      <c r="AE97" s="2192"/>
      <c r="AF97" s="2192"/>
      <c r="AG97" s="2192"/>
      <c r="AH97" s="887"/>
      <c r="AI97" s="887"/>
      <c r="AJ97" s="887"/>
      <c r="AK97" s="887"/>
      <c r="AL97" s="2193"/>
    </row>
    <row r="98" spans="2:38" ht="15" customHeight="1">
      <c r="B98" s="30"/>
      <c r="P98" s="2025"/>
      <c r="Q98" s="2025"/>
      <c r="R98" s="2025"/>
      <c r="S98" s="2025"/>
      <c r="T98" s="2025"/>
      <c r="U98" s="2025"/>
      <c r="V98" s="2192"/>
      <c r="W98" s="2192"/>
      <c r="X98" s="2192"/>
      <c r="Y98" s="2192"/>
      <c r="Z98" s="2192"/>
      <c r="AA98" s="2192"/>
      <c r="AB98" s="2192"/>
      <c r="AC98" s="2192"/>
      <c r="AD98" s="2192"/>
      <c r="AE98" s="2192"/>
      <c r="AF98" s="2192"/>
      <c r="AG98" s="2192"/>
      <c r="AH98" s="887"/>
      <c r="AI98" s="887"/>
      <c r="AJ98" s="887"/>
      <c r="AK98" s="887"/>
      <c r="AL98" s="2193"/>
    </row>
    <row r="99" spans="2:38" ht="15" customHeight="1">
      <c r="P99" s="2025"/>
      <c r="Q99" s="2025"/>
      <c r="R99" s="2025"/>
      <c r="S99" s="2025"/>
      <c r="T99" s="2025"/>
      <c r="U99" s="2025"/>
      <c r="V99" s="2192"/>
      <c r="W99" s="2192"/>
      <c r="X99" s="2192"/>
      <c r="Y99" s="2192"/>
      <c r="Z99" s="2192"/>
      <c r="AA99" s="2192"/>
      <c r="AB99" s="2192"/>
      <c r="AC99" s="2192"/>
      <c r="AD99" s="2192"/>
      <c r="AE99" s="2192"/>
      <c r="AF99" s="2192"/>
      <c r="AG99" s="2192"/>
      <c r="AH99" s="887"/>
      <c r="AI99" s="887"/>
      <c r="AJ99" s="887"/>
      <c r="AK99" s="887"/>
      <c r="AL99" s="2193"/>
    </row>
    <row r="100" spans="2:38" ht="15" customHeight="1">
      <c r="P100" s="2025"/>
      <c r="Q100" s="2025"/>
      <c r="R100" s="2025"/>
      <c r="S100" s="2025"/>
      <c r="T100" s="2025"/>
      <c r="U100" s="2025"/>
      <c r="V100" s="2192"/>
      <c r="W100" s="2192"/>
      <c r="X100" s="2192"/>
      <c r="Y100" s="2192"/>
      <c r="Z100" s="2192"/>
      <c r="AA100" s="2192"/>
      <c r="AB100" s="2192"/>
      <c r="AC100" s="2192"/>
      <c r="AD100" s="2192"/>
      <c r="AE100" s="2192"/>
      <c r="AF100" s="2192"/>
      <c r="AG100" s="2192"/>
      <c r="AH100" s="887"/>
      <c r="AI100" s="887"/>
      <c r="AJ100" s="887"/>
      <c r="AK100" s="887"/>
      <c r="AL100" s="2193"/>
    </row>
    <row r="101" spans="2:38" ht="15" customHeight="1">
      <c r="P101" s="2025"/>
      <c r="Q101" s="2025"/>
      <c r="R101" s="2025"/>
      <c r="S101" s="2025"/>
      <c r="T101" s="2025"/>
      <c r="U101" s="2025"/>
      <c r="V101" s="2192"/>
      <c r="W101" s="2192"/>
      <c r="X101" s="2192"/>
      <c r="Y101" s="2192"/>
      <c r="Z101" s="2192"/>
      <c r="AA101" s="2192"/>
      <c r="AB101" s="2192"/>
      <c r="AC101" s="2192"/>
      <c r="AD101" s="2192"/>
      <c r="AE101" s="2192"/>
      <c r="AF101" s="2192"/>
      <c r="AG101" s="2192"/>
      <c r="AH101" s="887"/>
      <c r="AI101" s="887"/>
      <c r="AJ101" s="887"/>
      <c r="AK101" s="887"/>
      <c r="AL101" s="2193"/>
    </row>
    <row r="102" spans="2:38" ht="15" customHeight="1">
      <c r="V102" s="887"/>
      <c r="W102" s="887"/>
      <c r="X102" s="887"/>
      <c r="Y102" s="887"/>
      <c r="Z102" s="887"/>
      <c r="AA102" s="887"/>
      <c r="AB102" s="887"/>
      <c r="AC102" s="887"/>
      <c r="AH102" s="887"/>
      <c r="AI102" s="887"/>
      <c r="AJ102" s="887"/>
      <c r="AK102" s="887"/>
      <c r="AL102" s="2193"/>
    </row>
    <row r="103" spans="2:38" ht="15" customHeight="1">
      <c r="V103" s="887"/>
      <c r="W103" s="887"/>
      <c r="X103" s="887"/>
      <c r="Y103" s="887"/>
      <c r="Z103" s="887"/>
      <c r="AA103" s="887"/>
      <c r="AB103" s="887"/>
      <c r="AC103" s="887"/>
      <c r="AH103" s="887"/>
      <c r="AI103" s="887"/>
      <c r="AJ103" s="887"/>
      <c r="AK103" s="887"/>
      <c r="AL103" s="2193"/>
    </row>
    <row r="104" spans="2:38" ht="15" customHeight="1">
      <c r="V104" s="887"/>
      <c r="W104" s="887"/>
      <c r="X104" s="887"/>
      <c r="Y104" s="887"/>
      <c r="Z104" s="887"/>
      <c r="AA104" s="887"/>
      <c r="AB104" s="887"/>
      <c r="AC104" s="887"/>
      <c r="AH104" s="887"/>
      <c r="AI104" s="887"/>
      <c r="AJ104" s="887"/>
      <c r="AK104" s="887"/>
      <c r="AL104" s="2193"/>
    </row>
    <row r="105" spans="2:38" ht="15" customHeight="1">
      <c r="V105" s="887"/>
      <c r="W105" s="887"/>
      <c r="X105" s="887"/>
      <c r="Y105" s="887"/>
      <c r="Z105" s="887"/>
      <c r="AA105" s="887"/>
      <c r="AB105" s="887"/>
      <c r="AC105" s="887"/>
      <c r="AH105" s="887"/>
      <c r="AI105" s="887"/>
      <c r="AJ105" s="887"/>
      <c r="AK105" s="887"/>
      <c r="AL105" s="2193"/>
    </row>
    <row r="106" spans="2:38" ht="15" customHeight="1">
      <c r="V106" s="887"/>
      <c r="W106" s="887"/>
      <c r="X106" s="887"/>
      <c r="Y106" s="887"/>
      <c r="Z106" s="887"/>
      <c r="AA106" s="887"/>
      <c r="AB106" s="887"/>
      <c r="AC106" s="887"/>
      <c r="AH106" s="887"/>
      <c r="AI106" s="887"/>
      <c r="AJ106" s="887"/>
      <c r="AK106" s="887"/>
      <c r="AL106" s="2193"/>
    </row>
    <row r="107" spans="2:38" ht="15" customHeight="1">
      <c r="AL107" s="1449"/>
    </row>
    <row r="108" spans="2:38" ht="15" customHeight="1">
      <c r="AL108" s="1449"/>
    </row>
    <row r="109" spans="2:38" ht="15" customHeight="1">
      <c r="AL109" s="1449"/>
    </row>
    <row r="110" spans="2:38" ht="15" customHeight="1">
      <c r="AL110" s="1449"/>
    </row>
    <row r="111" spans="2:38" ht="15" customHeight="1">
      <c r="AL111" s="1449"/>
    </row>
    <row r="112" spans="2:38" ht="15" customHeight="1">
      <c r="AL112" s="1449"/>
    </row>
    <row r="113" spans="38:38" ht="15" customHeight="1">
      <c r="AL113" s="1449"/>
    </row>
    <row r="114" spans="38:38" ht="15" customHeight="1">
      <c r="AL114" s="1449"/>
    </row>
    <row r="115" spans="38:38" ht="15" customHeight="1">
      <c r="AL115" s="1449"/>
    </row>
    <row r="116" spans="38:38" ht="15" customHeight="1">
      <c r="AL116" s="1449"/>
    </row>
    <row r="117" spans="38:38" ht="15" customHeight="1">
      <c r="AL117" s="1449"/>
    </row>
    <row r="118" spans="38:38" ht="15" customHeight="1">
      <c r="AL118" s="1449"/>
    </row>
    <row r="119" spans="38:38" ht="15" customHeight="1">
      <c r="AL119" s="1449"/>
    </row>
    <row r="120" spans="38:38" ht="15" customHeight="1">
      <c r="AL120" s="1449"/>
    </row>
    <row r="121" spans="38:38" ht="15" customHeight="1">
      <c r="AL121" s="1449"/>
    </row>
    <row r="122" spans="38:38" ht="15" customHeight="1">
      <c r="AL122" s="1449"/>
    </row>
    <row r="123" spans="38:38" ht="15" customHeight="1">
      <c r="AL123" s="1449"/>
    </row>
    <row r="124" spans="38:38" ht="15" customHeight="1">
      <c r="AL124" s="1449"/>
    </row>
    <row r="125" spans="38:38" ht="15" customHeight="1">
      <c r="AL125" s="1449"/>
    </row>
    <row r="126" spans="38:38" ht="15" customHeight="1">
      <c r="AL126" s="1449"/>
    </row>
    <row r="127" spans="38:38" ht="15" customHeight="1">
      <c r="AL127" s="1449"/>
    </row>
    <row r="128" spans="38:38" ht="15" customHeight="1">
      <c r="AL128" s="1449"/>
    </row>
    <row r="129" spans="38:38" ht="15" customHeight="1">
      <c r="AL129" s="1449"/>
    </row>
    <row r="130" spans="38:38" ht="15" customHeight="1">
      <c r="AL130" s="1449"/>
    </row>
    <row r="131" spans="38:38" ht="15" customHeight="1">
      <c r="AL131" s="1449"/>
    </row>
    <row r="132" spans="38:38" ht="15" customHeight="1">
      <c r="AL132" s="1449"/>
    </row>
    <row r="133" spans="38:38" ht="15" customHeight="1">
      <c r="AL133" s="1449"/>
    </row>
    <row r="134" spans="38:38" ht="15" customHeight="1">
      <c r="AL134" s="1449"/>
    </row>
    <row r="135" spans="38:38" ht="15" customHeight="1"/>
    <row r="136" spans="38:38" ht="15" customHeight="1"/>
    <row r="137" spans="38:38" ht="15" customHeight="1"/>
    <row r="138" spans="38:38" ht="15" customHeight="1"/>
    <row r="139" spans="38:38" ht="15" customHeight="1"/>
    <row r="140" spans="38:38" ht="15" customHeight="1"/>
    <row r="141" spans="38:38" ht="15" customHeight="1"/>
    <row r="142" spans="38:38" ht="15" customHeight="1"/>
  </sheetData>
  <mergeCells count="1">
    <mergeCell ref="AC9:AL9"/>
  </mergeCells>
  <pageMargins left="0.25" right="0.25" top="0.5" bottom="0.25" header="0" footer="0.25"/>
  <pageSetup scale="41" firstPageNumber="26" fitToHeight="2" orientation="landscape" useFirstPageNumber="1" r:id="rId1"/>
  <headerFooter scaleWithDoc="0" alignWithMargins="0">
    <oddFooter>&amp;C&amp;8&amp;P</oddFooter>
  </headerFooter>
  <rowBreaks count="1" manualBreakCount="1">
    <brk id="57" min="1" max="37" man="1"/>
  </rowBreaks>
  <ignoredErrors>
    <ignoredError sqref="AL16:AL18 AL20 AL33 AL40 AL53 AL57 AL55" unlockedFormula="1"/>
    <ignoredError sqref="AL61:AL68 AL48:AL49 AL43"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L261"/>
  <sheetViews>
    <sheetView showGridLines="0" zoomScale="90" zoomScaleNormal="70" workbookViewId="0"/>
  </sheetViews>
  <sheetFormatPr defaultRowHeight="12.75"/>
  <cols>
    <col min="1" max="1" width="40.44140625" style="2646" customWidth="1"/>
    <col min="2" max="2" width="10.44140625" style="2646" customWidth="1"/>
    <col min="3" max="3" width="1.109375" style="2646" customWidth="1"/>
    <col min="4" max="4" width="10" style="2646" customWidth="1"/>
    <col min="5" max="5" width="1.109375" style="2646" customWidth="1"/>
    <col min="6" max="6" width="9.109375" style="2647" customWidth="1"/>
    <col min="7" max="7" width="1.109375" style="2646" customWidth="1"/>
    <col min="8" max="8" width="10" style="2646" customWidth="1"/>
    <col min="9" max="9" width="1.109375" style="2646" customWidth="1"/>
    <col min="10" max="10" width="9.44140625" style="2646" customWidth="1"/>
    <col min="11" max="11" width="1.109375" style="2646" customWidth="1"/>
    <col min="12" max="12" width="11.109375" style="2646" customWidth="1"/>
    <col min="13" max="13" width="1.109375" style="2646" customWidth="1"/>
    <col min="14" max="14" width="10.6640625" style="2646" customWidth="1"/>
    <col min="15" max="15" width="1.6640625" style="2646" customWidth="1"/>
    <col min="16" max="16" width="11" style="2646" customWidth="1"/>
    <col min="17" max="17" width="1.109375" style="2646" customWidth="1"/>
    <col min="18" max="18" width="10.6640625" style="2646" customWidth="1"/>
    <col min="19" max="19" width="1.109375" style="2646" customWidth="1"/>
    <col min="20" max="20" width="10" style="2646" customWidth="1"/>
    <col min="21" max="21" width="1.109375" style="2646" customWidth="1"/>
    <col min="22" max="22" width="12.6640625" style="2646" customWidth="1"/>
    <col min="23" max="23" width="1.109375" style="2646" customWidth="1"/>
    <col min="24" max="24" width="11.109375" style="2646" bestFit="1" customWidth="1"/>
    <col min="25" max="25" width="1.109375" style="2646" customWidth="1"/>
    <col min="26" max="26" width="0.6640625" style="2646" customWidth="1"/>
    <col min="27" max="27" width="10.5546875" style="2646" customWidth="1"/>
    <col min="28" max="28" width="2.109375" style="2646" customWidth="1"/>
    <col min="29" max="29" width="0.6640625" style="2646" customWidth="1"/>
    <col min="30" max="30" width="11" style="2646" bestFit="1" customWidth="1"/>
    <col min="31" max="32" width="0.6640625" style="2646" customWidth="1"/>
    <col min="33" max="33" width="9.6640625" style="2646" customWidth="1"/>
    <col min="34" max="34" width="1.109375" style="2646" customWidth="1"/>
    <col min="35" max="35" width="11" style="2646" customWidth="1"/>
    <col min="36" max="36" width="14.5546875" style="2648" customWidth="1"/>
    <col min="37" max="252" width="8.6640625" style="2646"/>
    <col min="253" max="253" width="38.44140625" style="2646" customWidth="1"/>
    <col min="254" max="254" width="8.5546875" style="2646" customWidth="1"/>
    <col min="255" max="255" width="1.109375" style="2646" customWidth="1"/>
    <col min="256" max="256" width="8.6640625" style="2646" customWidth="1"/>
    <col min="257" max="257" width="1.109375" style="2646" customWidth="1"/>
    <col min="258" max="258" width="9.109375" style="2646" customWidth="1"/>
    <col min="259" max="259" width="1.109375" style="2646" customWidth="1"/>
    <col min="260" max="260" width="10" style="2646" customWidth="1"/>
    <col min="261" max="261" width="1.109375" style="2646" customWidth="1"/>
    <col min="262" max="262" width="9.109375" style="2646" customWidth="1"/>
    <col min="263" max="263" width="1.109375" style="2646" customWidth="1"/>
    <col min="264" max="264" width="11.109375" style="2646" customWidth="1"/>
    <col min="265" max="265" width="1.109375" style="2646" customWidth="1"/>
    <col min="266" max="266" width="9.109375" style="2646" customWidth="1"/>
    <col min="267" max="267" width="1.6640625" style="2646" customWidth="1"/>
    <col min="268" max="268" width="11" style="2646" customWidth="1"/>
    <col min="269" max="269" width="1.109375" style="2646" customWidth="1"/>
    <col min="270" max="270" width="10.6640625" style="2646" customWidth="1"/>
    <col min="271" max="271" width="1.109375" style="2646" customWidth="1"/>
    <col min="272" max="272" width="10" style="2646" customWidth="1"/>
    <col min="273" max="273" width="1.109375" style="2646" customWidth="1"/>
    <col min="274" max="274" width="9.109375" style="2646" customWidth="1"/>
    <col min="275" max="275" width="1.109375" style="2646" customWidth="1"/>
    <col min="276" max="276" width="7.6640625" style="2646" customWidth="1"/>
    <col min="277" max="277" width="1.109375" style="2646" customWidth="1"/>
    <col min="278" max="278" width="0.6640625" style="2646" customWidth="1"/>
    <col min="279" max="279" width="9.109375" style="2646" customWidth="1"/>
    <col min="280" max="280" width="1.109375" style="2646" customWidth="1"/>
    <col min="281" max="281" width="0.6640625" style="2646" customWidth="1"/>
    <col min="282" max="282" width="9.5546875" style="2646" bestFit="1" customWidth="1"/>
    <col min="283" max="284" width="0.6640625" style="2646" customWidth="1"/>
    <col min="285" max="285" width="9.6640625" style="2646" customWidth="1"/>
    <col min="286" max="286" width="1.109375" style="2646" customWidth="1"/>
    <col min="287" max="287" width="8.5546875" style="2646" customWidth="1"/>
    <col min="288" max="288" width="14.5546875" style="2646" customWidth="1"/>
    <col min="289" max="289" width="10" style="2646" customWidth="1"/>
    <col min="290" max="290" width="7.6640625" style="2646" bestFit="1" customWidth="1"/>
    <col min="291" max="291" width="9.6640625" style="2646" customWidth="1"/>
    <col min="292" max="508" width="8.6640625" style="2646"/>
    <col min="509" max="509" width="38.44140625" style="2646" customWidth="1"/>
    <col min="510" max="510" width="8.5546875" style="2646" customWidth="1"/>
    <col min="511" max="511" width="1.109375" style="2646" customWidth="1"/>
    <col min="512" max="512" width="8.6640625" style="2646" customWidth="1"/>
    <col min="513" max="513" width="1.109375" style="2646" customWidth="1"/>
    <col min="514" max="514" width="9.109375" style="2646" customWidth="1"/>
    <col min="515" max="515" width="1.109375" style="2646" customWidth="1"/>
    <col min="516" max="516" width="10" style="2646" customWidth="1"/>
    <col min="517" max="517" width="1.109375" style="2646" customWidth="1"/>
    <col min="518" max="518" width="9.109375" style="2646" customWidth="1"/>
    <col min="519" max="519" width="1.109375" style="2646" customWidth="1"/>
    <col min="520" max="520" width="11.109375" style="2646" customWidth="1"/>
    <col min="521" max="521" width="1.109375" style="2646" customWidth="1"/>
    <col min="522" max="522" width="9.109375" style="2646" customWidth="1"/>
    <col min="523" max="523" width="1.6640625" style="2646" customWidth="1"/>
    <col min="524" max="524" width="11" style="2646" customWidth="1"/>
    <col min="525" max="525" width="1.109375" style="2646" customWidth="1"/>
    <col min="526" max="526" width="10.6640625" style="2646" customWidth="1"/>
    <col min="527" max="527" width="1.109375" style="2646" customWidth="1"/>
    <col min="528" max="528" width="10" style="2646" customWidth="1"/>
    <col min="529" max="529" width="1.109375" style="2646" customWidth="1"/>
    <col min="530" max="530" width="9.109375" style="2646" customWidth="1"/>
    <col min="531" max="531" width="1.109375" style="2646" customWidth="1"/>
    <col min="532" max="532" width="7.6640625" style="2646" customWidth="1"/>
    <col min="533" max="533" width="1.109375" style="2646" customWidth="1"/>
    <col min="534" max="534" width="0.6640625" style="2646" customWidth="1"/>
    <col min="535" max="535" width="9.109375" style="2646" customWidth="1"/>
    <col min="536" max="536" width="1.109375" style="2646" customWidth="1"/>
    <col min="537" max="537" width="0.6640625" style="2646" customWidth="1"/>
    <col min="538" max="538" width="9.5546875" style="2646" bestFit="1" customWidth="1"/>
    <col min="539" max="540" width="0.6640625" style="2646" customWidth="1"/>
    <col min="541" max="541" width="9.6640625" style="2646" customWidth="1"/>
    <col min="542" max="542" width="1.109375" style="2646" customWidth="1"/>
    <col min="543" max="543" width="8.5546875" style="2646" customWidth="1"/>
    <col min="544" max="544" width="14.5546875" style="2646" customWidth="1"/>
    <col min="545" max="545" width="10" style="2646" customWidth="1"/>
    <col min="546" max="546" width="7.6640625" style="2646" bestFit="1" customWidth="1"/>
    <col min="547" max="547" width="9.6640625" style="2646" customWidth="1"/>
    <col min="548" max="764" width="8.6640625" style="2646"/>
    <col min="765" max="765" width="38.44140625" style="2646" customWidth="1"/>
    <col min="766" max="766" width="8.5546875" style="2646" customWidth="1"/>
    <col min="767" max="767" width="1.109375" style="2646" customWidth="1"/>
    <col min="768" max="768" width="8.6640625" style="2646" customWidth="1"/>
    <col min="769" max="769" width="1.109375" style="2646" customWidth="1"/>
    <col min="770" max="770" width="9.109375" style="2646" customWidth="1"/>
    <col min="771" max="771" width="1.109375" style="2646" customWidth="1"/>
    <col min="772" max="772" width="10" style="2646" customWidth="1"/>
    <col min="773" max="773" width="1.109375" style="2646" customWidth="1"/>
    <col min="774" max="774" width="9.109375" style="2646" customWidth="1"/>
    <col min="775" max="775" width="1.109375" style="2646" customWidth="1"/>
    <col min="776" max="776" width="11.109375" style="2646" customWidth="1"/>
    <col min="777" max="777" width="1.109375" style="2646" customWidth="1"/>
    <col min="778" max="778" width="9.109375" style="2646" customWidth="1"/>
    <col min="779" max="779" width="1.6640625" style="2646" customWidth="1"/>
    <col min="780" max="780" width="11" style="2646" customWidth="1"/>
    <col min="781" max="781" width="1.109375" style="2646" customWidth="1"/>
    <col min="782" max="782" width="10.6640625" style="2646" customWidth="1"/>
    <col min="783" max="783" width="1.109375" style="2646" customWidth="1"/>
    <col min="784" max="784" width="10" style="2646" customWidth="1"/>
    <col min="785" max="785" width="1.109375" style="2646" customWidth="1"/>
    <col min="786" max="786" width="9.109375" style="2646" customWidth="1"/>
    <col min="787" max="787" width="1.109375" style="2646" customWidth="1"/>
    <col min="788" max="788" width="7.6640625" style="2646" customWidth="1"/>
    <col min="789" max="789" width="1.109375" style="2646" customWidth="1"/>
    <col min="790" max="790" width="0.6640625" style="2646" customWidth="1"/>
    <col min="791" max="791" width="9.109375" style="2646" customWidth="1"/>
    <col min="792" max="792" width="1.109375" style="2646" customWidth="1"/>
    <col min="793" max="793" width="0.6640625" style="2646" customWidth="1"/>
    <col min="794" max="794" width="9.5546875" style="2646" bestFit="1" customWidth="1"/>
    <col min="795" max="796" width="0.6640625" style="2646" customWidth="1"/>
    <col min="797" max="797" width="9.6640625" style="2646" customWidth="1"/>
    <col min="798" max="798" width="1.109375" style="2646" customWidth="1"/>
    <col min="799" max="799" width="8.5546875" style="2646" customWidth="1"/>
    <col min="800" max="800" width="14.5546875" style="2646" customWidth="1"/>
    <col min="801" max="801" width="10" style="2646" customWidth="1"/>
    <col min="802" max="802" width="7.6640625" style="2646" bestFit="1" customWidth="1"/>
    <col min="803" max="803" width="9.6640625" style="2646" customWidth="1"/>
    <col min="804" max="1020" width="8.6640625" style="2646"/>
    <col min="1021" max="1021" width="38.44140625" style="2646" customWidth="1"/>
    <col min="1022" max="1022" width="8.5546875" style="2646" customWidth="1"/>
    <col min="1023" max="1023" width="1.109375" style="2646" customWidth="1"/>
    <col min="1024" max="1024" width="8.6640625" style="2646" customWidth="1"/>
    <col min="1025" max="1025" width="1.109375" style="2646" customWidth="1"/>
    <col min="1026" max="1026" width="9.109375" style="2646" customWidth="1"/>
    <col min="1027" max="1027" width="1.109375" style="2646" customWidth="1"/>
    <col min="1028" max="1028" width="10" style="2646" customWidth="1"/>
    <col min="1029" max="1029" width="1.109375" style="2646" customWidth="1"/>
    <col min="1030" max="1030" width="9.109375" style="2646" customWidth="1"/>
    <col min="1031" max="1031" width="1.109375" style="2646" customWidth="1"/>
    <col min="1032" max="1032" width="11.109375" style="2646" customWidth="1"/>
    <col min="1033" max="1033" width="1.109375" style="2646" customWidth="1"/>
    <col min="1034" max="1034" width="9.109375" style="2646" customWidth="1"/>
    <col min="1035" max="1035" width="1.6640625" style="2646" customWidth="1"/>
    <col min="1036" max="1036" width="11" style="2646" customWidth="1"/>
    <col min="1037" max="1037" width="1.109375" style="2646" customWidth="1"/>
    <col min="1038" max="1038" width="10.6640625" style="2646" customWidth="1"/>
    <col min="1039" max="1039" width="1.109375" style="2646" customWidth="1"/>
    <col min="1040" max="1040" width="10" style="2646" customWidth="1"/>
    <col min="1041" max="1041" width="1.109375" style="2646" customWidth="1"/>
    <col min="1042" max="1042" width="9.109375" style="2646" customWidth="1"/>
    <col min="1043" max="1043" width="1.109375" style="2646" customWidth="1"/>
    <col min="1044" max="1044" width="7.6640625" style="2646" customWidth="1"/>
    <col min="1045" max="1045" width="1.109375" style="2646" customWidth="1"/>
    <col min="1046" max="1046" width="0.6640625" style="2646" customWidth="1"/>
    <col min="1047" max="1047" width="9.109375" style="2646" customWidth="1"/>
    <col min="1048" max="1048" width="1.109375" style="2646" customWidth="1"/>
    <col min="1049" max="1049" width="0.6640625" style="2646" customWidth="1"/>
    <col min="1050" max="1050" width="9.5546875" style="2646" bestFit="1" customWidth="1"/>
    <col min="1051" max="1052" width="0.6640625" style="2646" customWidth="1"/>
    <col min="1053" max="1053" width="9.6640625" style="2646" customWidth="1"/>
    <col min="1054" max="1054" width="1.109375" style="2646" customWidth="1"/>
    <col min="1055" max="1055" width="8.5546875" style="2646" customWidth="1"/>
    <col min="1056" max="1056" width="14.5546875" style="2646" customWidth="1"/>
    <col min="1057" max="1057" width="10" style="2646" customWidth="1"/>
    <col min="1058" max="1058" width="7.6640625" style="2646" bestFit="1" customWidth="1"/>
    <col min="1059" max="1059" width="9.6640625" style="2646" customWidth="1"/>
    <col min="1060" max="1276" width="8.6640625" style="2646"/>
    <col min="1277" max="1277" width="38.44140625" style="2646" customWidth="1"/>
    <col min="1278" max="1278" width="8.5546875" style="2646" customWidth="1"/>
    <col min="1279" max="1279" width="1.109375" style="2646" customWidth="1"/>
    <col min="1280" max="1280" width="8.6640625" style="2646" customWidth="1"/>
    <col min="1281" max="1281" width="1.109375" style="2646" customWidth="1"/>
    <col min="1282" max="1282" width="9.109375" style="2646" customWidth="1"/>
    <col min="1283" max="1283" width="1.109375" style="2646" customWidth="1"/>
    <col min="1284" max="1284" width="10" style="2646" customWidth="1"/>
    <col min="1285" max="1285" width="1.109375" style="2646" customWidth="1"/>
    <col min="1286" max="1286" width="9.109375" style="2646" customWidth="1"/>
    <col min="1287" max="1287" width="1.109375" style="2646" customWidth="1"/>
    <col min="1288" max="1288" width="11.109375" style="2646" customWidth="1"/>
    <col min="1289" max="1289" width="1.109375" style="2646" customWidth="1"/>
    <col min="1290" max="1290" width="9.109375" style="2646" customWidth="1"/>
    <col min="1291" max="1291" width="1.6640625" style="2646" customWidth="1"/>
    <col min="1292" max="1292" width="11" style="2646" customWidth="1"/>
    <col min="1293" max="1293" width="1.109375" style="2646" customWidth="1"/>
    <col min="1294" max="1294" width="10.6640625" style="2646" customWidth="1"/>
    <col min="1295" max="1295" width="1.109375" style="2646" customWidth="1"/>
    <col min="1296" max="1296" width="10" style="2646" customWidth="1"/>
    <col min="1297" max="1297" width="1.109375" style="2646" customWidth="1"/>
    <col min="1298" max="1298" width="9.109375" style="2646" customWidth="1"/>
    <col min="1299" max="1299" width="1.109375" style="2646" customWidth="1"/>
    <col min="1300" max="1300" width="7.6640625" style="2646" customWidth="1"/>
    <col min="1301" max="1301" width="1.109375" style="2646" customWidth="1"/>
    <col min="1302" max="1302" width="0.6640625" style="2646" customWidth="1"/>
    <col min="1303" max="1303" width="9.109375" style="2646" customWidth="1"/>
    <col min="1304" max="1304" width="1.109375" style="2646" customWidth="1"/>
    <col min="1305" max="1305" width="0.6640625" style="2646" customWidth="1"/>
    <col min="1306" max="1306" width="9.5546875" style="2646" bestFit="1" customWidth="1"/>
    <col min="1307" max="1308" width="0.6640625" style="2646" customWidth="1"/>
    <col min="1309" max="1309" width="9.6640625" style="2646" customWidth="1"/>
    <col min="1310" max="1310" width="1.109375" style="2646" customWidth="1"/>
    <col min="1311" max="1311" width="8.5546875" style="2646" customWidth="1"/>
    <col min="1312" max="1312" width="14.5546875" style="2646" customWidth="1"/>
    <col min="1313" max="1313" width="10" style="2646" customWidth="1"/>
    <col min="1314" max="1314" width="7.6640625" style="2646" bestFit="1" customWidth="1"/>
    <col min="1315" max="1315" width="9.6640625" style="2646" customWidth="1"/>
    <col min="1316" max="1532" width="8.6640625" style="2646"/>
    <col min="1533" max="1533" width="38.44140625" style="2646" customWidth="1"/>
    <col min="1534" max="1534" width="8.5546875" style="2646" customWidth="1"/>
    <col min="1535" max="1535" width="1.109375" style="2646" customWidth="1"/>
    <col min="1536" max="1536" width="8.6640625" style="2646" customWidth="1"/>
    <col min="1537" max="1537" width="1.109375" style="2646" customWidth="1"/>
    <col min="1538" max="1538" width="9.109375" style="2646" customWidth="1"/>
    <col min="1539" max="1539" width="1.109375" style="2646" customWidth="1"/>
    <col min="1540" max="1540" width="10" style="2646" customWidth="1"/>
    <col min="1541" max="1541" width="1.109375" style="2646" customWidth="1"/>
    <col min="1542" max="1542" width="9.109375" style="2646" customWidth="1"/>
    <col min="1543" max="1543" width="1.109375" style="2646" customWidth="1"/>
    <col min="1544" max="1544" width="11.109375" style="2646" customWidth="1"/>
    <col min="1545" max="1545" width="1.109375" style="2646" customWidth="1"/>
    <col min="1546" max="1546" width="9.109375" style="2646" customWidth="1"/>
    <col min="1547" max="1547" width="1.6640625" style="2646" customWidth="1"/>
    <col min="1548" max="1548" width="11" style="2646" customWidth="1"/>
    <col min="1549" max="1549" width="1.109375" style="2646" customWidth="1"/>
    <col min="1550" max="1550" width="10.6640625" style="2646" customWidth="1"/>
    <col min="1551" max="1551" width="1.109375" style="2646" customWidth="1"/>
    <col min="1552" max="1552" width="10" style="2646" customWidth="1"/>
    <col min="1553" max="1553" width="1.109375" style="2646" customWidth="1"/>
    <col min="1554" max="1554" width="9.109375" style="2646" customWidth="1"/>
    <col min="1555" max="1555" width="1.109375" style="2646" customWidth="1"/>
    <col min="1556" max="1556" width="7.6640625" style="2646" customWidth="1"/>
    <col min="1557" max="1557" width="1.109375" style="2646" customWidth="1"/>
    <col min="1558" max="1558" width="0.6640625" style="2646" customWidth="1"/>
    <col min="1559" max="1559" width="9.109375" style="2646" customWidth="1"/>
    <col min="1560" max="1560" width="1.109375" style="2646" customWidth="1"/>
    <col min="1561" max="1561" width="0.6640625" style="2646" customWidth="1"/>
    <col min="1562" max="1562" width="9.5546875" style="2646" bestFit="1" customWidth="1"/>
    <col min="1563" max="1564" width="0.6640625" style="2646" customWidth="1"/>
    <col min="1565" max="1565" width="9.6640625" style="2646" customWidth="1"/>
    <col min="1566" max="1566" width="1.109375" style="2646" customWidth="1"/>
    <col min="1567" max="1567" width="8.5546875" style="2646" customWidth="1"/>
    <col min="1568" max="1568" width="14.5546875" style="2646" customWidth="1"/>
    <col min="1569" max="1569" width="10" style="2646" customWidth="1"/>
    <col min="1570" max="1570" width="7.6640625" style="2646" bestFit="1" customWidth="1"/>
    <col min="1571" max="1571" width="9.6640625" style="2646" customWidth="1"/>
    <col min="1572" max="1788" width="8.6640625" style="2646"/>
    <col min="1789" max="1789" width="38.44140625" style="2646" customWidth="1"/>
    <col min="1790" max="1790" width="8.5546875" style="2646" customWidth="1"/>
    <col min="1791" max="1791" width="1.109375" style="2646" customWidth="1"/>
    <col min="1792" max="1792" width="8.6640625" style="2646" customWidth="1"/>
    <col min="1793" max="1793" width="1.109375" style="2646" customWidth="1"/>
    <col min="1794" max="1794" width="9.109375" style="2646" customWidth="1"/>
    <col min="1795" max="1795" width="1.109375" style="2646" customWidth="1"/>
    <col min="1796" max="1796" width="10" style="2646" customWidth="1"/>
    <col min="1797" max="1797" width="1.109375" style="2646" customWidth="1"/>
    <col min="1798" max="1798" width="9.109375" style="2646" customWidth="1"/>
    <col min="1799" max="1799" width="1.109375" style="2646" customWidth="1"/>
    <col min="1800" max="1800" width="11.109375" style="2646" customWidth="1"/>
    <col min="1801" max="1801" width="1.109375" style="2646" customWidth="1"/>
    <col min="1802" max="1802" width="9.109375" style="2646" customWidth="1"/>
    <col min="1803" max="1803" width="1.6640625" style="2646" customWidth="1"/>
    <col min="1804" max="1804" width="11" style="2646" customWidth="1"/>
    <col min="1805" max="1805" width="1.109375" style="2646" customWidth="1"/>
    <col min="1806" max="1806" width="10.6640625" style="2646" customWidth="1"/>
    <col min="1807" max="1807" width="1.109375" style="2646" customWidth="1"/>
    <col min="1808" max="1808" width="10" style="2646" customWidth="1"/>
    <col min="1809" max="1809" width="1.109375" style="2646" customWidth="1"/>
    <col min="1810" max="1810" width="9.109375" style="2646" customWidth="1"/>
    <col min="1811" max="1811" width="1.109375" style="2646" customWidth="1"/>
    <col min="1812" max="1812" width="7.6640625" style="2646" customWidth="1"/>
    <col min="1813" max="1813" width="1.109375" style="2646" customWidth="1"/>
    <col min="1814" max="1814" width="0.6640625" style="2646" customWidth="1"/>
    <col min="1815" max="1815" width="9.109375" style="2646" customWidth="1"/>
    <col min="1816" max="1816" width="1.109375" style="2646" customWidth="1"/>
    <col min="1817" max="1817" width="0.6640625" style="2646" customWidth="1"/>
    <col min="1818" max="1818" width="9.5546875" style="2646" bestFit="1" customWidth="1"/>
    <col min="1819" max="1820" width="0.6640625" style="2646" customWidth="1"/>
    <col min="1821" max="1821" width="9.6640625" style="2646" customWidth="1"/>
    <col min="1822" max="1822" width="1.109375" style="2646" customWidth="1"/>
    <col min="1823" max="1823" width="8.5546875" style="2646" customWidth="1"/>
    <col min="1824" max="1824" width="14.5546875" style="2646" customWidth="1"/>
    <col min="1825" max="1825" width="10" style="2646" customWidth="1"/>
    <col min="1826" max="1826" width="7.6640625" style="2646" bestFit="1" customWidth="1"/>
    <col min="1827" max="1827" width="9.6640625" style="2646" customWidth="1"/>
    <col min="1828" max="2044" width="8.6640625" style="2646"/>
    <col min="2045" max="2045" width="38.44140625" style="2646" customWidth="1"/>
    <col min="2046" max="2046" width="8.5546875" style="2646" customWidth="1"/>
    <col min="2047" max="2047" width="1.109375" style="2646" customWidth="1"/>
    <col min="2048" max="2048" width="8.6640625" style="2646" customWidth="1"/>
    <col min="2049" max="2049" width="1.109375" style="2646" customWidth="1"/>
    <col min="2050" max="2050" width="9.109375" style="2646" customWidth="1"/>
    <col min="2051" max="2051" width="1.109375" style="2646" customWidth="1"/>
    <col min="2052" max="2052" width="10" style="2646" customWidth="1"/>
    <col min="2053" max="2053" width="1.109375" style="2646" customWidth="1"/>
    <col min="2054" max="2054" width="9.109375" style="2646" customWidth="1"/>
    <col min="2055" max="2055" width="1.109375" style="2646" customWidth="1"/>
    <col min="2056" max="2056" width="11.109375" style="2646" customWidth="1"/>
    <col min="2057" max="2057" width="1.109375" style="2646" customWidth="1"/>
    <col min="2058" max="2058" width="9.109375" style="2646" customWidth="1"/>
    <col min="2059" max="2059" width="1.6640625" style="2646" customWidth="1"/>
    <col min="2060" max="2060" width="11" style="2646" customWidth="1"/>
    <col min="2061" max="2061" width="1.109375" style="2646" customWidth="1"/>
    <col min="2062" max="2062" width="10.6640625" style="2646" customWidth="1"/>
    <col min="2063" max="2063" width="1.109375" style="2646" customWidth="1"/>
    <col min="2064" max="2064" width="10" style="2646" customWidth="1"/>
    <col min="2065" max="2065" width="1.109375" style="2646" customWidth="1"/>
    <col min="2066" max="2066" width="9.109375" style="2646" customWidth="1"/>
    <col min="2067" max="2067" width="1.109375" style="2646" customWidth="1"/>
    <col min="2068" max="2068" width="7.6640625" style="2646" customWidth="1"/>
    <col min="2069" max="2069" width="1.109375" style="2646" customWidth="1"/>
    <col min="2070" max="2070" width="0.6640625" style="2646" customWidth="1"/>
    <col min="2071" max="2071" width="9.109375" style="2646" customWidth="1"/>
    <col min="2072" max="2072" width="1.109375" style="2646" customWidth="1"/>
    <col min="2073" max="2073" width="0.6640625" style="2646" customWidth="1"/>
    <col min="2074" max="2074" width="9.5546875" style="2646" bestFit="1" customWidth="1"/>
    <col min="2075" max="2076" width="0.6640625" style="2646" customWidth="1"/>
    <col min="2077" max="2077" width="9.6640625" style="2646" customWidth="1"/>
    <col min="2078" max="2078" width="1.109375" style="2646" customWidth="1"/>
    <col min="2079" max="2079" width="8.5546875" style="2646" customWidth="1"/>
    <col min="2080" max="2080" width="14.5546875" style="2646" customWidth="1"/>
    <col min="2081" max="2081" width="10" style="2646" customWidth="1"/>
    <col min="2082" max="2082" width="7.6640625" style="2646" bestFit="1" customWidth="1"/>
    <col min="2083" max="2083" width="9.6640625" style="2646" customWidth="1"/>
    <col min="2084" max="2300" width="8.6640625" style="2646"/>
    <col min="2301" max="2301" width="38.44140625" style="2646" customWidth="1"/>
    <col min="2302" max="2302" width="8.5546875" style="2646" customWidth="1"/>
    <col min="2303" max="2303" width="1.109375" style="2646" customWidth="1"/>
    <col min="2304" max="2304" width="8.6640625" style="2646" customWidth="1"/>
    <col min="2305" max="2305" width="1.109375" style="2646" customWidth="1"/>
    <col min="2306" max="2306" width="9.109375" style="2646" customWidth="1"/>
    <col min="2307" max="2307" width="1.109375" style="2646" customWidth="1"/>
    <col min="2308" max="2308" width="10" style="2646" customWidth="1"/>
    <col min="2309" max="2309" width="1.109375" style="2646" customWidth="1"/>
    <col min="2310" max="2310" width="9.109375" style="2646" customWidth="1"/>
    <col min="2311" max="2311" width="1.109375" style="2646" customWidth="1"/>
    <col min="2312" max="2312" width="11.109375" style="2646" customWidth="1"/>
    <col min="2313" max="2313" width="1.109375" style="2646" customWidth="1"/>
    <col min="2314" max="2314" width="9.109375" style="2646" customWidth="1"/>
    <col min="2315" max="2315" width="1.6640625" style="2646" customWidth="1"/>
    <col min="2316" max="2316" width="11" style="2646" customWidth="1"/>
    <col min="2317" max="2317" width="1.109375" style="2646" customWidth="1"/>
    <col min="2318" max="2318" width="10.6640625" style="2646" customWidth="1"/>
    <col min="2319" max="2319" width="1.109375" style="2646" customWidth="1"/>
    <col min="2320" max="2320" width="10" style="2646" customWidth="1"/>
    <col min="2321" max="2321" width="1.109375" style="2646" customWidth="1"/>
    <col min="2322" max="2322" width="9.109375" style="2646" customWidth="1"/>
    <col min="2323" max="2323" width="1.109375" style="2646" customWidth="1"/>
    <col min="2324" max="2324" width="7.6640625" style="2646" customWidth="1"/>
    <col min="2325" max="2325" width="1.109375" style="2646" customWidth="1"/>
    <col min="2326" max="2326" width="0.6640625" style="2646" customWidth="1"/>
    <col min="2327" max="2327" width="9.109375" style="2646" customWidth="1"/>
    <col min="2328" max="2328" width="1.109375" style="2646" customWidth="1"/>
    <col min="2329" max="2329" width="0.6640625" style="2646" customWidth="1"/>
    <col min="2330" max="2330" width="9.5546875" style="2646" bestFit="1" customWidth="1"/>
    <col min="2331" max="2332" width="0.6640625" style="2646" customWidth="1"/>
    <col min="2333" max="2333" width="9.6640625" style="2646" customWidth="1"/>
    <col min="2334" max="2334" width="1.109375" style="2646" customWidth="1"/>
    <col min="2335" max="2335" width="8.5546875" style="2646" customWidth="1"/>
    <col min="2336" max="2336" width="14.5546875" style="2646" customWidth="1"/>
    <col min="2337" max="2337" width="10" style="2646" customWidth="1"/>
    <col min="2338" max="2338" width="7.6640625" style="2646" bestFit="1" customWidth="1"/>
    <col min="2339" max="2339" width="9.6640625" style="2646" customWidth="1"/>
    <col min="2340" max="2556" width="8.6640625" style="2646"/>
    <col min="2557" max="2557" width="38.44140625" style="2646" customWidth="1"/>
    <col min="2558" max="2558" width="8.5546875" style="2646" customWidth="1"/>
    <col min="2559" max="2559" width="1.109375" style="2646" customWidth="1"/>
    <col min="2560" max="2560" width="8.6640625" style="2646" customWidth="1"/>
    <col min="2561" max="2561" width="1.109375" style="2646" customWidth="1"/>
    <col min="2562" max="2562" width="9.109375" style="2646" customWidth="1"/>
    <col min="2563" max="2563" width="1.109375" style="2646" customWidth="1"/>
    <col min="2564" max="2564" width="10" style="2646" customWidth="1"/>
    <col min="2565" max="2565" width="1.109375" style="2646" customWidth="1"/>
    <col min="2566" max="2566" width="9.109375" style="2646" customWidth="1"/>
    <col min="2567" max="2567" width="1.109375" style="2646" customWidth="1"/>
    <col min="2568" max="2568" width="11.109375" style="2646" customWidth="1"/>
    <col min="2569" max="2569" width="1.109375" style="2646" customWidth="1"/>
    <col min="2570" max="2570" width="9.109375" style="2646" customWidth="1"/>
    <col min="2571" max="2571" width="1.6640625" style="2646" customWidth="1"/>
    <col min="2572" max="2572" width="11" style="2646" customWidth="1"/>
    <col min="2573" max="2573" width="1.109375" style="2646" customWidth="1"/>
    <col min="2574" max="2574" width="10.6640625" style="2646" customWidth="1"/>
    <col min="2575" max="2575" width="1.109375" style="2646" customWidth="1"/>
    <col min="2576" max="2576" width="10" style="2646" customWidth="1"/>
    <col min="2577" max="2577" width="1.109375" style="2646" customWidth="1"/>
    <col min="2578" max="2578" width="9.109375" style="2646" customWidth="1"/>
    <col min="2579" max="2579" width="1.109375" style="2646" customWidth="1"/>
    <col min="2580" max="2580" width="7.6640625" style="2646" customWidth="1"/>
    <col min="2581" max="2581" width="1.109375" style="2646" customWidth="1"/>
    <col min="2582" max="2582" width="0.6640625" style="2646" customWidth="1"/>
    <col min="2583" max="2583" width="9.109375" style="2646" customWidth="1"/>
    <col min="2584" max="2584" width="1.109375" style="2646" customWidth="1"/>
    <col min="2585" max="2585" width="0.6640625" style="2646" customWidth="1"/>
    <col min="2586" max="2586" width="9.5546875" style="2646" bestFit="1" customWidth="1"/>
    <col min="2587" max="2588" width="0.6640625" style="2646" customWidth="1"/>
    <col min="2589" max="2589" width="9.6640625" style="2646" customWidth="1"/>
    <col min="2590" max="2590" width="1.109375" style="2646" customWidth="1"/>
    <col min="2591" max="2591" width="8.5546875" style="2646" customWidth="1"/>
    <col min="2592" max="2592" width="14.5546875" style="2646" customWidth="1"/>
    <col min="2593" max="2593" width="10" style="2646" customWidth="1"/>
    <col min="2594" max="2594" width="7.6640625" style="2646" bestFit="1" customWidth="1"/>
    <col min="2595" max="2595" width="9.6640625" style="2646" customWidth="1"/>
    <col min="2596" max="2812" width="8.6640625" style="2646"/>
    <col min="2813" max="2813" width="38.44140625" style="2646" customWidth="1"/>
    <col min="2814" max="2814" width="8.5546875" style="2646" customWidth="1"/>
    <col min="2815" max="2815" width="1.109375" style="2646" customWidth="1"/>
    <col min="2816" max="2816" width="8.6640625" style="2646" customWidth="1"/>
    <col min="2817" max="2817" width="1.109375" style="2646" customWidth="1"/>
    <col min="2818" max="2818" width="9.109375" style="2646" customWidth="1"/>
    <col min="2819" max="2819" width="1.109375" style="2646" customWidth="1"/>
    <col min="2820" max="2820" width="10" style="2646" customWidth="1"/>
    <col min="2821" max="2821" width="1.109375" style="2646" customWidth="1"/>
    <col min="2822" max="2822" width="9.109375" style="2646" customWidth="1"/>
    <col min="2823" max="2823" width="1.109375" style="2646" customWidth="1"/>
    <col min="2824" max="2824" width="11.109375" style="2646" customWidth="1"/>
    <col min="2825" max="2825" width="1.109375" style="2646" customWidth="1"/>
    <col min="2826" max="2826" width="9.109375" style="2646" customWidth="1"/>
    <col min="2827" max="2827" width="1.6640625" style="2646" customWidth="1"/>
    <col min="2828" max="2828" width="11" style="2646" customWidth="1"/>
    <col min="2829" max="2829" width="1.109375" style="2646" customWidth="1"/>
    <col min="2830" max="2830" width="10.6640625" style="2646" customWidth="1"/>
    <col min="2831" max="2831" width="1.109375" style="2646" customWidth="1"/>
    <col min="2832" max="2832" width="10" style="2646" customWidth="1"/>
    <col min="2833" max="2833" width="1.109375" style="2646" customWidth="1"/>
    <col min="2834" max="2834" width="9.109375" style="2646" customWidth="1"/>
    <col min="2835" max="2835" width="1.109375" style="2646" customWidth="1"/>
    <col min="2836" max="2836" width="7.6640625" style="2646" customWidth="1"/>
    <col min="2837" max="2837" width="1.109375" style="2646" customWidth="1"/>
    <col min="2838" max="2838" width="0.6640625" style="2646" customWidth="1"/>
    <col min="2839" max="2839" width="9.109375" style="2646" customWidth="1"/>
    <col min="2840" max="2840" width="1.109375" style="2646" customWidth="1"/>
    <col min="2841" max="2841" width="0.6640625" style="2646" customWidth="1"/>
    <col min="2842" max="2842" width="9.5546875" style="2646" bestFit="1" customWidth="1"/>
    <col min="2843" max="2844" width="0.6640625" style="2646" customWidth="1"/>
    <col min="2845" max="2845" width="9.6640625" style="2646" customWidth="1"/>
    <col min="2846" max="2846" width="1.109375" style="2646" customWidth="1"/>
    <col min="2847" max="2847" width="8.5546875" style="2646" customWidth="1"/>
    <col min="2848" max="2848" width="14.5546875" style="2646" customWidth="1"/>
    <col min="2849" max="2849" width="10" style="2646" customWidth="1"/>
    <col min="2850" max="2850" width="7.6640625" style="2646" bestFit="1" customWidth="1"/>
    <col min="2851" max="2851" width="9.6640625" style="2646" customWidth="1"/>
    <col min="2852" max="3068" width="8.6640625" style="2646"/>
    <col min="3069" max="3069" width="38.44140625" style="2646" customWidth="1"/>
    <col min="3070" max="3070" width="8.5546875" style="2646" customWidth="1"/>
    <col min="3071" max="3071" width="1.109375" style="2646" customWidth="1"/>
    <col min="3072" max="3072" width="8.6640625" style="2646" customWidth="1"/>
    <col min="3073" max="3073" width="1.109375" style="2646" customWidth="1"/>
    <col min="3074" max="3074" width="9.109375" style="2646" customWidth="1"/>
    <col min="3075" max="3075" width="1.109375" style="2646" customWidth="1"/>
    <col min="3076" max="3076" width="10" style="2646" customWidth="1"/>
    <col min="3077" max="3077" width="1.109375" style="2646" customWidth="1"/>
    <col min="3078" max="3078" width="9.109375" style="2646" customWidth="1"/>
    <col min="3079" max="3079" width="1.109375" style="2646" customWidth="1"/>
    <col min="3080" max="3080" width="11.109375" style="2646" customWidth="1"/>
    <col min="3081" max="3081" width="1.109375" style="2646" customWidth="1"/>
    <col min="3082" max="3082" width="9.109375" style="2646" customWidth="1"/>
    <col min="3083" max="3083" width="1.6640625" style="2646" customWidth="1"/>
    <col min="3084" max="3084" width="11" style="2646" customWidth="1"/>
    <col min="3085" max="3085" width="1.109375" style="2646" customWidth="1"/>
    <col min="3086" max="3086" width="10.6640625" style="2646" customWidth="1"/>
    <col min="3087" max="3087" width="1.109375" style="2646" customWidth="1"/>
    <col min="3088" max="3088" width="10" style="2646" customWidth="1"/>
    <col min="3089" max="3089" width="1.109375" style="2646" customWidth="1"/>
    <col min="3090" max="3090" width="9.109375" style="2646" customWidth="1"/>
    <col min="3091" max="3091" width="1.109375" style="2646" customWidth="1"/>
    <col min="3092" max="3092" width="7.6640625" style="2646" customWidth="1"/>
    <col min="3093" max="3093" width="1.109375" style="2646" customWidth="1"/>
    <col min="3094" max="3094" width="0.6640625" style="2646" customWidth="1"/>
    <col min="3095" max="3095" width="9.109375" style="2646" customWidth="1"/>
    <col min="3096" max="3096" width="1.109375" style="2646" customWidth="1"/>
    <col min="3097" max="3097" width="0.6640625" style="2646" customWidth="1"/>
    <col min="3098" max="3098" width="9.5546875" style="2646" bestFit="1" customWidth="1"/>
    <col min="3099" max="3100" width="0.6640625" style="2646" customWidth="1"/>
    <col min="3101" max="3101" width="9.6640625" style="2646" customWidth="1"/>
    <col min="3102" max="3102" width="1.109375" style="2646" customWidth="1"/>
    <col min="3103" max="3103" width="8.5546875" style="2646" customWidth="1"/>
    <col min="3104" max="3104" width="14.5546875" style="2646" customWidth="1"/>
    <col min="3105" max="3105" width="10" style="2646" customWidth="1"/>
    <col min="3106" max="3106" width="7.6640625" style="2646" bestFit="1" customWidth="1"/>
    <col min="3107" max="3107" width="9.6640625" style="2646" customWidth="1"/>
    <col min="3108" max="3324" width="8.6640625" style="2646"/>
    <col min="3325" max="3325" width="38.44140625" style="2646" customWidth="1"/>
    <col min="3326" max="3326" width="8.5546875" style="2646" customWidth="1"/>
    <col min="3327" max="3327" width="1.109375" style="2646" customWidth="1"/>
    <col min="3328" max="3328" width="8.6640625" style="2646" customWidth="1"/>
    <col min="3329" max="3329" width="1.109375" style="2646" customWidth="1"/>
    <col min="3330" max="3330" width="9.109375" style="2646" customWidth="1"/>
    <col min="3331" max="3331" width="1.109375" style="2646" customWidth="1"/>
    <col min="3332" max="3332" width="10" style="2646" customWidth="1"/>
    <col min="3333" max="3333" width="1.109375" style="2646" customWidth="1"/>
    <col min="3334" max="3334" width="9.109375" style="2646" customWidth="1"/>
    <col min="3335" max="3335" width="1.109375" style="2646" customWidth="1"/>
    <col min="3336" max="3336" width="11.109375" style="2646" customWidth="1"/>
    <col min="3337" max="3337" width="1.109375" style="2646" customWidth="1"/>
    <col min="3338" max="3338" width="9.109375" style="2646" customWidth="1"/>
    <col min="3339" max="3339" width="1.6640625" style="2646" customWidth="1"/>
    <col min="3340" max="3340" width="11" style="2646" customWidth="1"/>
    <col min="3341" max="3341" width="1.109375" style="2646" customWidth="1"/>
    <col min="3342" max="3342" width="10.6640625" style="2646" customWidth="1"/>
    <col min="3343" max="3343" width="1.109375" style="2646" customWidth="1"/>
    <col min="3344" max="3344" width="10" style="2646" customWidth="1"/>
    <col min="3345" max="3345" width="1.109375" style="2646" customWidth="1"/>
    <col min="3346" max="3346" width="9.109375" style="2646" customWidth="1"/>
    <col min="3347" max="3347" width="1.109375" style="2646" customWidth="1"/>
    <col min="3348" max="3348" width="7.6640625" style="2646" customWidth="1"/>
    <col min="3349" max="3349" width="1.109375" style="2646" customWidth="1"/>
    <col min="3350" max="3350" width="0.6640625" style="2646" customWidth="1"/>
    <col min="3351" max="3351" width="9.109375" style="2646" customWidth="1"/>
    <col min="3352" max="3352" width="1.109375" style="2646" customWidth="1"/>
    <col min="3353" max="3353" width="0.6640625" style="2646" customWidth="1"/>
    <col min="3354" max="3354" width="9.5546875" style="2646" bestFit="1" customWidth="1"/>
    <col min="3355" max="3356" width="0.6640625" style="2646" customWidth="1"/>
    <col min="3357" max="3357" width="9.6640625" style="2646" customWidth="1"/>
    <col min="3358" max="3358" width="1.109375" style="2646" customWidth="1"/>
    <col min="3359" max="3359" width="8.5546875" style="2646" customWidth="1"/>
    <col min="3360" max="3360" width="14.5546875" style="2646" customWidth="1"/>
    <col min="3361" max="3361" width="10" style="2646" customWidth="1"/>
    <col min="3362" max="3362" width="7.6640625" style="2646" bestFit="1" customWidth="1"/>
    <col min="3363" max="3363" width="9.6640625" style="2646" customWidth="1"/>
    <col min="3364" max="3580" width="8.6640625" style="2646"/>
    <col min="3581" max="3581" width="38.44140625" style="2646" customWidth="1"/>
    <col min="3582" max="3582" width="8.5546875" style="2646" customWidth="1"/>
    <col min="3583" max="3583" width="1.109375" style="2646" customWidth="1"/>
    <col min="3584" max="3584" width="8.6640625" style="2646" customWidth="1"/>
    <col min="3585" max="3585" width="1.109375" style="2646" customWidth="1"/>
    <col min="3586" max="3586" width="9.109375" style="2646" customWidth="1"/>
    <col min="3587" max="3587" width="1.109375" style="2646" customWidth="1"/>
    <col min="3588" max="3588" width="10" style="2646" customWidth="1"/>
    <col min="3589" max="3589" width="1.109375" style="2646" customWidth="1"/>
    <col min="3590" max="3590" width="9.109375" style="2646" customWidth="1"/>
    <col min="3591" max="3591" width="1.109375" style="2646" customWidth="1"/>
    <col min="3592" max="3592" width="11.109375" style="2646" customWidth="1"/>
    <col min="3593" max="3593" width="1.109375" style="2646" customWidth="1"/>
    <col min="3594" max="3594" width="9.109375" style="2646" customWidth="1"/>
    <col min="3595" max="3595" width="1.6640625" style="2646" customWidth="1"/>
    <col min="3596" max="3596" width="11" style="2646" customWidth="1"/>
    <col min="3597" max="3597" width="1.109375" style="2646" customWidth="1"/>
    <col min="3598" max="3598" width="10.6640625" style="2646" customWidth="1"/>
    <col min="3599" max="3599" width="1.109375" style="2646" customWidth="1"/>
    <col min="3600" max="3600" width="10" style="2646" customWidth="1"/>
    <col min="3601" max="3601" width="1.109375" style="2646" customWidth="1"/>
    <col min="3602" max="3602" width="9.109375" style="2646" customWidth="1"/>
    <col min="3603" max="3603" width="1.109375" style="2646" customWidth="1"/>
    <col min="3604" max="3604" width="7.6640625" style="2646" customWidth="1"/>
    <col min="3605" max="3605" width="1.109375" style="2646" customWidth="1"/>
    <col min="3606" max="3606" width="0.6640625" style="2646" customWidth="1"/>
    <col min="3607" max="3607" width="9.109375" style="2646" customWidth="1"/>
    <col min="3608" max="3608" width="1.109375" style="2646" customWidth="1"/>
    <col min="3609" max="3609" width="0.6640625" style="2646" customWidth="1"/>
    <col min="3610" max="3610" width="9.5546875" style="2646" bestFit="1" customWidth="1"/>
    <col min="3611" max="3612" width="0.6640625" style="2646" customWidth="1"/>
    <col min="3613" max="3613" width="9.6640625" style="2646" customWidth="1"/>
    <col min="3614" max="3614" width="1.109375" style="2646" customWidth="1"/>
    <col min="3615" max="3615" width="8.5546875" style="2646" customWidth="1"/>
    <col min="3616" max="3616" width="14.5546875" style="2646" customWidth="1"/>
    <col min="3617" max="3617" width="10" style="2646" customWidth="1"/>
    <col min="3618" max="3618" width="7.6640625" style="2646" bestFit="1" customWidth="1"/>
    <col min="3619" max="3619" width="9.6640625" style="2646" customWidth="1"/>
    <col min="3620" max="3836" width="8.6640625" style="2646"/>
    <col min="3837" max="3837" width="38.44140625" style="2646" customWidth="1"/>
    <col min="3838" max="3838" width="8.5546875" style="2646" customWidth="1"/>
    <col min="3839" max="3839" width="1.109375" style="2646" customWidth="1"/>
    <col min="3840" max="3840" width="8.6640625" style="2646" customWidth="1"/>
    <col min="3841" max="3841" width="1.109375" style="2646" customWidth="1"/>
    <col min="3842" max="3842" width="9.109375" style="2646" customWidth="1"/>
    <col min="3843" max="3843" width="1.109375" style="2646" customWidth="1"/>
    <col min="3844" max="3844" width="10" style="2646" customWidth="1"/>
    <col min="3845" max="3845" width="1.109375" style="2646" customWidth="1"/>
    <col min="3846" max="3846" width="9.109375" style="2646" customWidth="1"/>
    <col min="3847" max="3847" width="1.109375" style="2646" customWidth="1"/>
    <col min="3848" max="3848" width="11.109375" style="2646" customWidth="1"/>
    <col min="3849" max="3849" width="1.109375" style="2646" customWidth="1"/>
    <col min="3850" max="3850" width="9.109375" style="2646" customWidth="1"/>
    <col min="3851" max="3851" width="1.6640625" style="2646" customWidth="1"/>
    <col min="3852" max="3852" width="11" style="2646" customWidth="1"/>
    <col min="3853" max="3853" width="1.109375" style="2646" customWidth="1"/>
    <col min="3854" max="3854" width="10.6640625" style="2646" customWidth="1"/>
    <col min="3855" max="3855" width="1.109375" style="2646" customWidth="1"/>
    <col min="3856" max="3856" width="10" style="2646" customWidth="1"/>
    <col min="3857" max="3857" width="1.109375" style="2646" customWidth="1"/>
    <col min="3858" max="3858" width="9.109375" style="2646" customWidth="1"/>
    <col min="3859" max="3859" width="1.109375" style="2646" customWidth="1"/>
    <col min="3860" max="3860" width="7.6640625" style="2646" customWidth="1"/>
    <col min="3861" max="3861" width="1.109375" style="2646" customWidth="1"/>
    <col min="3862" max="3862" width="0.6640625" style="2646" customWidth="1"/>
    <col min="3863" max="3863" width="9.109375" style="2646" customWidth="1"/>
    <col min="3864" max="3864" width="1.109375" style="2646" customWidth="1"/>
    <col min="3865" max="3865" width="0.6640625" style="2646" customWidth="1"/>
    <col min="3866" max="3866" width="9.5546875" style="2646" bestFit="1" customWidth="1"/>
    <col min="3867" max="3868" width="0.6640625" style="2646" customWidth="1"/>
    <col min="3869" max="3869" width="9.6640625" style="2646" customWidth="1"/>
    <col min="3870" max="3870" width="1.109375" style="2646" customWidth="1"/>
    <col min="3871" max="3871" width="8.5546875" style="2646" customWidth="1"/>
    <col min="3872" max="3872" width="14.5546875" style="2646" customWidth="1"/>
    <col min="3873" max="3873" width="10" style="2646" customWidth="1"/>
    <col min="3874" max="3874" width="7.6640625" style="2646" bestFit="1" customWidth="1"/>
    <col min="3875" max="3875" width="9.6640625" style="2646" customWidth="1"/>
    <col min="3876" max="4092" width="8.6640625" style="2646"/>
    <col min="4093" max="4093" width="38.44140625" style="2646" customWidth="1"/>
    <col min="4094" max="4094" width="8.5546875" style="2646" customWidth="1"/>
    <col min="4095" max="4095" width="1.109375" style="2646" customWidth="1"/>
    <col min="4096" max="4096" width="8.6640625" style="2646" customWidth="1"/>
    <col min="4097" max="4097" width="1.109375" style="2646" customWidth="1"/>
    <col min="4098" max="4098" width="9.109375" style="2646" customWidth="1"/>
    <col min="4099" max="4099" width="1.109375" style="2646" customWidth="1"/>
    <col min="4100" max="4100" width="10" style="2646" customWidth="1"/>
    <col min="4101" max="4101" width="1.109375" style="2646" customWidth="1"/>
    <col min="4102" max="4102" width="9.109375" style="2646" customWidth="1"/>
    <col min="4103" max="4103" width="1.109375" style="2646" customWidth="1"/>
    <col min="4104" max="4104" width="11.109375" style="2646" customWidth="1"/>
    <col min="4105" max="4105" width="1.109375" style="2646" customWidth="1"/>
    <col min="4106" max="4106" width="9.109375" style="2646" customWidth="1"/>
    <col min="4107" max="4107" width="1.6640625" style="2646" customWidth="1"/>
    <col min="4108" max="4108" width="11" style="2646" customWidth="1"/>
    <col min="4109" max="4109" width="1.109375" style="2646" customWidth="1"/>
    <col min="4110" max="4110" width="10.6640625" style="2646" customWidth="1"/>
    <col min="4111" max="4111" width="1.109375" style="2646" customWidth="1"/>
    <col min="4112" max="4112" width="10" style="2646" customWidth="1"/>
    <col min="4113" max="4113" width="1.109375" style="2646" customWidth="1"/>
    <col min="4114" max="4114" width="9.109375" style="2646" customWidth="1"/>
    <col min="4115" max="4115" width="1.109375" style="2646" customWidth="1"/>
    <col min="4116" max="4116" width="7.6640625" style="2646" customWidth="1"/>
    <col min="4117" max="4117" width="1.109375" style="2646" customWidth="1"/>
    <col min="4118" max="4118" width="0.6640625" style="2646" customWidth="1"/>
    <col min="4119" max="4119" width="9.109375" style="2646" customWidth="1"/>
    <col min="4120" max="4120" width="1.109375" style="2646" customWidth="1"/>
    <col min="4121" max="4121" width="0.6640625" style="2646" customWidth="1"/>
    <col min="4122" max="4122" width="9.5546875" style="2646" bestFit="1" customWidth="1"/>
    <col min="4123" max="4124" width="0.6640625" style="2646" customWidth="1"/>
    <col min="4125" max="4125" width="9.6640625" style="2646" customWidth="1"/>
    <col min="4126" max="4126" width="1.109375" style="2646" customWidth="1"/>
    <col min="4127" max="4127" width="8.5546875" style="2646" customWidth="1"/>
    <col min="4128" max="4128" width="14.5546875" style="2646" customWidth="1"/>
    <col min="4129" max="4129" width="10" style="2646" customWidth="1"/>
    <col min="4130" max="4130" width="7.6640625" style="2646" bestFit="1" customWidth="1"/>
    <col min="4131" max="4131" width="9.6640625" style="2646" customWidth="1"/>
    <col min="4132" max="4348" width="8.6640625" style="2646"/>
    <col min="4349" max="4349" width="38.44140625" style="2646" customWidth="1"/>
    <col min="4350" max="4350" width="8.5546875" style="2646" customWidth="1"/>
    <col min="4351" max="4351" width="1.109375" style="2646" customWidth="1"/>
    <col min="4352" max="4352" width="8.6640625" style="2646" customWidth="1"/>
    <col min="4353" max="4353" width="1.109375" style="2646" customWidth="1"/>
    <col min="4354" max="4354" width="9.109375" style="2646" customWidth="1"/>
    <col min="4355" max="4355" width="1.109375" style="2646" customWidth="1"/>
    <col min="4356" max="4356" width="10" style="2646" customWidth="1"/>
    <col min="4357" max="4357" width="1.109375" style="2646" customWidth="1"/>
    <col min="4358" max="4358" width="9.109375" style="2646" customWidth="1"/>
    <col min="4359" max="4359" width="1.109375" style="2646" customWidth="1"/>
    <col min="4360" max="4360" width="11.109375" style="2646" customWidth="1"/>
    <col min="4361" max="4361" width="1.109375" style="2646" customWidth="1"/>
    <col min="4362" max="4362" width="9.109375" style="2646" customWidth="1"/>
    <col min="4363" max="4363" width="1.6640625" style="2646" customWidth="1"/>
    <col min="4364" max="4364" width="11" style="2646" customWidth="1"/>
    <col min="4365" max="4365" width="1.109375" style="2646" customWidth="1"/>
    <col min="4366" max="4366" width="10.6640625" style="2646" customWidth="1"/>
    <col min="4367" max="4367" width="1.109375" style="2646" customWidth="1"/>
    <col min="4368" max="4368" width="10" style="2646" customWidth="1"/>
    <col min="4369" max="4369" width="1.109375" style="2646" customWidth="1"/>
    <col min="4370" max="4370" width="9.109375" style="2646" customWidth="1"/>
    <col min="4371" max="4371" width="1.109375" style="2646" customWidth="1"/>
    <col min="4372" max="4372" width="7.6640625" style="2646" customWidth="1"/>
    <col min="4373" max="4373" width="1.109375" style="2646" customWidth="1"/>
    <col min="4374" max="4374" width="0.6640625" style="2646" customWidth="1"/>
    <col min="4375" max="4375" width="9.109375" style="2646" customWidth="1"/>
    <col min="4376" max="4376" width="1.109375" style="2646" customWidth="1"/>
    <col min="4377" max="4377" width="0.6640625" style="2646" customWidth="1"/>
    <col min="4378" max="4378" width="9.5546875" style="2646" bestFit="1" customWidth="1"/>
    <col min="4379" max="4380" width="0.6640625" style="2646" customWidth="1"/>
    <col min="4381" max="4381" width="9.6640625" style="2646" customWidth="1"/>
    <col min="4382" max="4382" width="1.109375" style="2646" customWidth="1"/>
    <col min="4383" max="4383" width="8.5546875" style="2646" customWidth="1"/>
    <col min="4384" max="4384" width="14.5546875" style="2646" customWidth="1"/>
    <col min="4385" max="4385" width="10" style="2646" customWidth="1"/>
    <col min="4386" max="4386" width="7.6640625" style="2646" bestFit="1" customWidth="1"/>
    <col min="4387" max="4387" width="9.6640625" style="2646" customWidth="1"/>
    <col min="4388" max="4604" width="8.6640625" style="2646"/>
    <col min="4605" max="4605" width="38.44140625" style="2646" customWidth="1"/>
    <col min="4606" max="4606" width="8.5546875" style="2646" customWidth="1"/>
    <col min="4607" max="4607" width="1.109375" style="2646" customWidth="1"/>
    <col min="4608" max="4608" width="8.6640625" style="2646" customWidth="1"/>
    <col min="4609" max="4609" width="1.109375" style="2646" customWidth="1"/>
    <col min="4610" max="4610" width="9.109375" style="2646" customWidth="1"/>
    <col min="4611" max="4611" width="1.109375" style="2646" customWidth="1"/>
    <col min="4612" max="4612" width="10" style="2646" customWidth="1"/>
    <col min="4613" max="4613" width="1.109375" style="2646" customWidth="1"/>
    <col min="4614" max="4614" width="9.109375" style="2646" customWidth="1"/>
    <col min="4615" max="4615" width="1.109375" style="2646" customWidth="1"/>
    <col min="4616" max="4616" width="11.109375" style="2646" customWidth="1"/>
    <col min="4617" max="4617" width="1.109375" style="2646" customWidth="1"/>
    <col min="4618" max="4618" width="9.109375" style="2646" customWidth="1"/>
    <col min="4619" max="4619" width="1.6640625" style="2646" customWidth="1"/>
    <col min="4620" max="4620" width="11" style="2646" customWidth="1"/>
    <col min="4621" max="4621" width="1.109375" style="2646" customWidth="1"/>
    <col min="4622" max="4622" width="10.6640625" style="2646" customWidth="1"/>
    <col min="4623" max="4623" width="1.109375" style="2646" customWidth="1"/>
    <col min="4624" max="4624" width="10" style="2646" customWidth="1"/>
    <col min="4625" max="4625" width="1.109375" style="2646" customWidth="1"/>
    <col min="4626" max="4626" width="9.109375" style="2646" customWidth="1"/>
    <col min="4627" max="4627" width="1.109375" style="2646" customWidth="1"/>
    <col min="4628" max="4628" width="7.6640625" style="2646" customWidth="1"/>
    <col min="4629" max="4629" width="1.109375" style="2646" customWidth="1"/>
    <col min="4630" max="4630" width="0.6640625" style="2646" customWidth="1"/>
    <col min="4631" max="4631" width="9.109375" style="2646" customWidth="1"/>
    <col min="4632" max="4632" width="1.109375" style="2646" customWidth="1"/>
    <col min="4633" max="4633" width="0.6640625" style="2646" customWidth="1"/>
    <col min="4634" max="4634" width="9.5546875" style="2646" bestFit="1" customWidth="1"/>
    <col min="4635" max="4636" width="0.6640625" style="2646" customWidth="1"/>
    <col min="4637" max="4637" width="9.6640625" style="2646" customWidth="1"/>
    <col min="4638" max="4638" width="1.109375" style="2646" customWidth="1"/>
    <col min="4639" max="4639" width="8.5546875" style="2646" customWidth="1"/>
    <col min="4640" max="4640" width="14.5546875" style="2646" customWidth="1"/>
    <col min="4641" max="4641" width="10" style="2646" customWidth="1"/>
    <col min="4642" max="4642" width="7.6640625" style="2646" bestFit="1" customWidth="1"/>
    <col min="4643" max="4643" width="9.6640625" style="2646" customWidth="1"/>
    <col min="4644" max="4860" width="8.6640625" style="2646"/>
    <col min="4861" max="4861" width="38.44140625" style="2646" customWidth="1"/>
    <col min="4862" max="4862" width="8.5546875" style="2646" customWidth="1"/>
    <col min="4863" max="4863" width="1.109375" style="2646" customWidth="1"/>
    <col min="4864" max="4864" width="8.6640625" style="2646" customWidth="1"/>
    <col min="4865" max="4865" width="1.109375" style="2646" customWidth="1"/>
    <col min="4866" max="4866" width="9.109375" style="2646" customWidth="1"/>
    <col min="4867" max="4867" width="1.109375" style="2646" customWidth="1"/>
    <col min="4868" max="4868" width="10" style="2646" customWidth="1"/>
    <col min="4869" max="4869" width="1.109375" style="2646" customWidth="1"/>
    <col min="4870" max="4870" width="9.109375" style="2646" customWidth="1"/>
    <col min="4871" max="4871" width="1.109375" style="2646" customWidth="1"/>
    <col min="4872" max="4872" width="11.109375" style="2646" customWidth="1"/>
    <col min="4873" max="4873" width="1.109375" style="2646" customWidth="1"/>
    <col min="4874" max="4874" width="9.109375" style="2646" customWidth="1"/>
    <col min="4875" max="4875" width="1.6640625" style="2646" customWidth="1"/>
    <col min="4876" max="4876" width="11" style="2646" customWidth="1"/>
    <col min="4877" max="4877" width="1.109375" style="2646" customWidth="1"/>
    <col min="4878" max="4878" width="10.6640625" style="2646" customWidth="1"/>
    <col min="4879" max="4879" width="1.109375" style="2646" customWidth="1"/>
    <col min="4880" max="4880" width="10" style="2646" customWidth="1"/>
    <col min="4881" max="4881" width="1.109375" style="2646" customWidth="1"/>
    <col min="4882" max="4882" width="9.109375" style="2646" customWidth="1"/>
    <col min="4883" max="4883" width="1.109375" style="2646" customWidth="1"/>
    <col min="4884" max="4884" width="7.6640625" style="2646" customWidth="1"/>
    <col min="4885" max="4885" width="1.109375" style="2646" customWidth="1"/>
    <col min="4886" max="4886" width="0.6640625" style="2646" customWidth="1"/>
    <col min="4887" max="4887" width="9.109375" style="2646" customWidth="1"/>
    <col min="4888" max="4888" width="1.109375" style="2646" customWidth="1"/>
    <col min="4889" max="4889" width="0.6640625" style="2646" customWidth="1"/>
    <col min="4890" max="4890" width="9.5546875" style="2646" bestFit="1" customWidth="1"/>
    <col min="4891" max="4892" width="0.6640625" style="2646" customWidth="1"/>
    <col min="4893" max="4893" width="9.6640625" style="2646" customWidth="1"/>
    <col min="4894" max="4894" width="1.109375" style="2646" customWidth="1"/>
    <col min="4895" max="4895" width="8.5546875" style="2646" customWidth="1"/>
    <col min="4896" max="4896" width="14.5546875" style="2646" customWidth="1"/>
    <col min="4897" max="4897" width="10" style="2646" customWidth="1"/>
    <col min="4898" max="4898" width="7.6640625" style="2646" bestFit="1" customWidth="1"/>
    <col min="4899" max="4899" width="9.6640625" style="2646" customWidth="1"/>
    <col min="4900" max="5116" width="8.6640625" style="2646"/>
    <col min="5117" max="5117" width="38.44140625" style="2646" customWidth="1"/>
    <col min="5118" max="5118" width="8.5546875" style="2646" customWidth="1"/>
    <col min="5119" max="5119" width="1.109375" style="2646" customWidth="1"/>
    <col min="5120" max="5120" width="8.6640625" style="2646" customWidth="1"/>
    <col min="5121" max="5121" width="1.109375" style="2646" customWidth="1"/>
    <col min="5122" max="5122" width="9.109375" style="2646" customWidth="1"/>
    <col min="5123" max="5123" width="1.109375" style="2646" customWidth="1"/>
    <col min="5124" max="5124" width="10" style="2646" customWidth="1"/>
    <col min="5125" max="5125" width="1.109375" style="2646" customWidth="1"/>
    <col min="5126" max="5126" width="9.109375" style="2646" customWidth="1"/>
    <col min="5127" max="5127" width="1.109375" style="2646" customWidth="1"/>
    <col min="5128" max="5128" width="11.109375" style="2646" customWidth="1"/>
    <col min="5129" max="5129" width="1.109375" style="2646" customWidth="1"/>
    <col min="5130" max="5130" width="9.109375" style="2646" customWidth="1"/>
    <col min="5131" max="5131" width="1.6640625" style="2646" customWidth="1"/>
    <col min="5132" max="5132" width="11" style="2646" customWidth="1"/>
    <col min="5133" max="5133" width="1.109375" style="2646" customWidth="1"/>
    <col min="5134" max="5134" width="10.6640625" style="2646" customWidth="1"/>
    <col min="5135" max="5135" width="1.109375" style="2646" customWidth="1"/>
    <col min="5136" max="5136" width="10" style="2646" customWidth="1"/>
    <col min="5137" max="5137" width="1.109375" style="2646" customWidth="1"/>
    <col min="5138" max="5138" width="9.109375" style="2646" customWidth="1"/>
    <col min="5139" max="5139" width="1.109375" style="2646" customWidth="1"/>
    <col min="5140" max="5140" width="7.6640625" style="2646" customWidth="1"/>
    <col min="5141" max="5141" width="1.109375" style="2646" customWidth="1"/>
    <col min="5142" max="5142" width="0.6640625" style="2646" customWidth="1"/>
    <col min="5143" max="5143" width="9.109375" style="2646" customWidth="1"/>
    <col min="5144" max="5144" width="1.109375" style="2646" customWidth="1"/>
    <col min="5145" max="5145" width="0.6640625" style="2646" customWidth="1"/>
    <col min="5146" max="5146" width="9.5546875" style="2646" bestFit="1" customWidth="1"/>
    <col min="5147" max="5148" width="0.6640625" style="2646" customWidth="1"/>
    <col min="5149" max="5149" width="9.6640625" style="2646" customWidth="1"/>
    <col min="5150" max="5150" width="1.109375" style="2646" customWidth="1"/>
    <col min="5151" max="5151" width="8.5546875" style="2646" customWidth="1"/>
    <col min="5152" max="5152" width="14.5546875" style="2646" customWidth="1"/>
    <col min="5153" max="5153" width="10" style="2646" customWidth="1"/>
    <col min="5154" max="5154" width="7.6640625" style="2646" bestFit="1" customWidth="1"/>
    <col min="5155" max="5155" width="9.6640625" style="2646" customWidth="1"/>
    <col min="5156" max="5372" width="8.6640625" style="2646"/>
    <col min="5373" max="5373" width="38.44140625" style="2646" customWidth="1"/>
    <col min="5374" max="5374" width="8.5546875" style="2646" customWidth="1"/>
    <col min="5375" max="5375" width="1.109375" style="2646" customWidth="1"/>
    <col min="5376" max="5376" width="8.6640625" style="2646" customWidth="1"/>
    <col min="5377" max="5377" width="1.109375" style="2646" customWidth="1"/>
    <col min="5378" max="5378" width="9.109375" style="2646" customWidth="1"/>
    <col min="5379" max="5379" width="1.109375" style="2646" customWidth="1"/>
    <col min="5380" max="5380" width="10" style="2646" customWidth="1"/>
    <col min="5381" max="5381" width="1.109375" style="2646" customWidth="1"/>
    <col min="5382" max="5382" width="9.109375" style="2646" customWidth="1"/>
    <col min="5383" max="5383" width="1.109375" style="2646" customWidth="1"/>
    <col min="5384" max="5384" width="11.109375" style="2646" customWidth="1"/>
    <col min="5385" max="5385" width="1.109375" style="2646" customWidth="1"/>
    <col min="5386" max="5386" width="9.109375" style="2646" customWidth="1"/>
    <col min="5387" max="5387" width="1.6640625" style="2646" customWidth="1"/>
    <col min="5388" max="5388" width="11" style="2646" customWidth="1"/>
    <col min="5389" max="5389" width="1.109375" style="2646" customWidth="1"/>
    <col min="5390" max="5390" width="10.6640625" style="2646" customWidth="1"/>
    <col min="5391" max="5391" width="1.109375" style="2646" customWidth="1"/>
    <col min="5392" max="5392" width="10" style="2646" customWidth="1"/>
    <col min="5393" max="5393" width="1.109375" style="2646" customWidth="1"/>
    <col min="5394" max="5394" width="9.109375" style="2646" customWidth="1"/>
    <col min="5395" max="5395" width="1.109375" style="2646" customWidth="1"/>
    <col min="5396" max="5396" width="7.6640625" style="2646" customWidth="1"/>
    <col min="5397" max="5397" width="1.109375" style="2646" customWidth="1"/>
    <col min="5398" max="5398" width="0.6640625" style="2646" customWidth="1"/>
    <col min="5399" max="5399" width="9.109375" style="2646" customWidth="1"/>
    <col min="5400" max="5400" width="1.109375" style="2646" customWidth="1"/>
    <col min="5401" max="5401" width="0.6640625" style="2646" customWidth="1"/>
    <col min="5402" max="5402" width="9.5546875" style="2646" bestFit="1" customWidth="1"/>
    <col min="5403" max="5404" width="0.6640625" style="2646" customWidth="1"/>
    <col min="5405" max="5405" width="9.6640625" style="2646" customWidth="1"/>
    <col min="5406" max="5406" width="1.109375" style="2646" customWidth="1"/>
    <col min="5407" max="5407" width="8.5546875" style="2646" customWidth="1"/>
    <col min="5408" max="5408" width="14.5546875" style="2646" customWidth="1"/>
    <col min="5409" max="5409" width="10" style="2646" customWidth="1"/>
    <col min="5410" max="5410" width="7.6640625" style="2646" bestFit="1" customWidth="1"/>
    <col min="5411" max="5411" width="9.6640625" style="2646" customWidth="1"/>
    <col min="5412" max="5628" width="8.6640625" style="2646"/>
    <col min="5629" max="5629" width="38.44140625" style="2646" customWidth="1"/>
    <col min="5630" max="5630" width="8.5546875" style="2646" customWidth="1"/>
    <col min="5631" max="5631" width="1.109375" style="2646" customWidth="1"/>
    <col min="5632" max="5632" width="8.6640625" style="2646" customWidth="1"/>
    <col min="5633" max="5633" width="1.109375" style="2646" customWidth="1"/>
    <col min="5634" max="5634" width="9.109375" style="2646" customWidth="1"/>
    <col min="5635" max="5635" width="1.109375" style="2646" customWidth="1"/>
    <col min="5636" max="5636" width="10" style="2646" customWidth="1"/>
    <col min="5637" max="5637" width="1.109375" style="2646" customWidth="1"/>
    <col min="5638" max="5638" width="9.109375" style="2646" customWidth="1"/>
    <col min="5639" max="5639" width="1.109375" style="2646" customWidth="1"/>
    <col min="5640" max="5640" width="11.109375" style="2646" customWidth="1"/>
    <col min="5641" max="5641" width="1.109375" style="2646" customWidth="1"/>
    <col min="5642" max="5642" width="9.109375" style="2646" customWidth="1"/>
    <col min="5643" max="5643" width="1.6640625" style="2646" customWidth="1"/>
    <col min="5644" max="5644" width="11" style="2646" customWidth="1"/>
    <col min="5645" max="5645" width="1.109375" style="2646" customWidth="1"/>
    <col min="5646" max="5646" width="10.6640625" style="2646" customWidth="1"/>
    <col min="5647" max="5647" width="1.109375" style="2646" customWidth="1"/>
    <col min="5648" max="5648" width="10" style="2646" customWidth="1"/>
    <col min="5649" max="5649" width="1.109375" style="2646" customWidth="1"/>
    <col min="5650" max="5650" width="9.109375" style="2646" customWidth="1"/>
    <col min="5651" max="5651" width="1.109375" style="2646" customWidth="1"/>
    <col min="5652" max="5652" width="7.6640625" style="2646" customWidth="1"/>
    <col min="5653" max="5653" width="1.109375" style="2646" customWidth="1"/>
    <col min="5654" max="5654" width="0.6640625" style="2646" customWidth="1"/>
    <col min="5655" max="5655" width="9.109375" style="2646" customWidth="1"/>
    <col min="5656" max="5656" width="1.109375" style="2646" customWidth="1"/>
    <col min="5657" max="5657" width="0.6640625" style="2646" customWidth="1"/>
    <col min="5658" max="5658" width="9.5546875" style="2646" bestFit="1" customWidth="1"/>
    <col min="5659" max="5660" width="0.6640625" style="2646" customWidth="1"/>
    <col min="5661" max="5661" width="9.6640625" style="2646" customWidth="1"/>
    <col min="5662" max="5662" width="1.109375" style="2646" customWidth="1"/>
    <col min="5663" max="5663" width="8.5546875" style="2646" customWidth="1"/>
    <col min="5664" max="5664" width="14.5546875" style="2646" customWidth="1"/>
    <col min="5665" max="5665" width="10" style="2646" customWidth="1"/>
    <col min="5666" max="5666" width="7.6640625" style="2646" bestFit="1" customWidth="1"/>
    <col min="5667" max="5667" width="9.6640625" style="2646" customWidth="1"/>
    <col min="5668" max="5884" width="8.6640625" style="2646"/>
    <col min="5885" max="5885" width="38.44140625" style="2646" customWidth="1"/>
    <col min="5886" max="5886" width="8.5546875" style="2646" customWidth="1"/>
    <col min="5887" max="5887" width="1.109375" style="2646" customWidth="1"/>
    <col min="5888" max="5888" width="8.6640625" style="2646" customWidth="1"/>
    <col min="5889" max="5889" width="1.109375" style="2646" customWidth="1"/>
    <col min="5890" max="5890" width="9.109375" style="2646" customWidth="1"/>
    <col min="5891" max="5891" width="1.109375" style="2646" customWidth="1"/>
    <col min="5892" max="5892" width="10" style="2646" customWidth="1"/>
    <col min="5893" max="5893" width="1.109375" style="2646" customWidth="1"/>
    <col min="5894" max="5894" width="9.109375" style="2646" customWidth="1"/>
    <col min="5895" max="5895" width="1.109375" style="2646" customWidth="1"/>
    <col min="5896" max="5896" width="11.109375" style="2646" customWidth="1"/>
    <col min="5897" max="5897" width="1.109375" style="2646" customWidth="1"/>
    <col min="5898" max="5898" width="9.109375" style="2646" customWidth="1"/>
    <col min="5899" max="5899" width="1.6640625" style="2646" customWidth="1"/>
    <col min="5900" max="5900" width="11" style="2646" customWidth="1"/>
    <col min="5901" max="5901" width="1.109375" style="2646" customWidth="1"/>
    <col min="5902" max="5902" width="10.6640625" style="2646" customWidth="1"/>
    <col min="5903" max="5903" width="1.109375" style="2646" customWidth="1"/>
    <col min="5904" max="5904" width="10" style="2646" customWidth="1"/>
    <col min="5905" max="5905" width="1.109375" style="2646" customWidth="1"/>
    <col min="5906" max="5906" width="9.109375" style="2646" customWidth="1"/>
    <col min="5907" max="5907" width="1.109375" style="2646" customWidth="1"/>
    <col min="5908" max="5908" width="7.6640625" style="2646" customWidth="1"/>
    <col min="5909" max="5909" width="1.109375" style="2646" customWidth="1"/>
    <col min="5910" max="5910" width="0.6640625" style="2646" customWidth="1"/>
    <col min="5911" max="5911" width="9.109375" style="2646" customWidth="1"/>
    <col min="5912" max="5912" width="1.109375" style="2646" customWidth="1"/>
    <col min="5913" max="5913" width="0.6640625" style="2646" customWidth="1"/>
    <col min="5914" max="5914" width="9.5546875" style="2646" bestFit="1" customWidth="1"/>
    <col min="5915" max="5916" width="0.6640625" style="2646" customWidth="1"/>
    <col min="5917" max="5917" width="9.6640625" style="2646" customWidth="1"/>
    <col min="5918" max="5918" width="1.109375" style="2646" customWidth="1"/>
    <col min="5919" max="5919" width="8.5546875" style="2646" customWidth="1"/>
    <col min="5920" max="5920" width="14.5546875" style="2646" customWidth="1"/>
    <col min="5921" max="5921" width="10" style="2646" customWidth="1"/>
    <col min="5922" max="5922" width="7.6640625" style="2646" bestFit="1" customWidth="1"/>
    <col min="5923" max="5923" width="9.6640625" style="2646" customWidth="1"/>
    <col min="5924" max="6140" width="8.6640625" style="2646"/>
    <col min="6141" max="6141" width="38.44140625" style="2646" customWidth="1"/>
    <col min="6142" max="6142" width="8.5546875" style="2646" customWidth="1"/>
    <col min="6143" max="6143" width="1.109375" style="2646" customWidth="1"/>
    <col min="6144" max="6144" width="8.6640625" style="2646" customWidth="1"/>
    <col min="6145" max="6145" width="1.109375" style="2646" customWidth="1"/>
    <col min="6146" max="6146" width="9.109375" style="2646" customWidth="1"/>
    <col min="6147" max="6147" width="1.109375" style="2646" customWidth="1"/>
    <col min="6148" max="6148" width="10" style="2646" customWidth="1"/>
    <col min="6149" max="6149" width="1.109375" style="2646" customWidth="1"/>
    <col min="6150" max="6150" width="9.109375" style="2646" customWidth="1"/>
    <col min="6151" max="6151" width="1.109375" style="2646" customWidth="1"/>
    <col min="6152" max="6152" width="11.109375" style="2646" customWidth="1"/>
    <col min="6153" max="6153" width="1.109375" style="2646" customWidth="1"/>
    <col min="6154" max="6154" width="9.109375" style="2646" customWidth="1"/>
    <col min="6155" max="6155" width="1.6640625" style="2646" customWidth="1"/>
    <col min="6156" max="6156" width="11" style="2646" customWidth="1"/>
    <col min="6157" max="6157" width="1.109375" style="2646" customWidth="1"/>
    <col min="6158" max="6158" width="10.6640625" style="2646" customWidth="1"/>
    <col min="6159" max="6159" width="1.109375" style="2646" customWidth="1"/>
    <col min="6160" max="6160" width="10" style="2646" customWidth="1"/>
    <col min="6161" max="6161" width="1.109375" style="2646" customWidth="1"/>
    <col min="6162" max="6162" width="9.109375" style="2646" customWidth="1"/>
    <col min="6163" max="6163" width="1.109375" style="2646" customWidth="1"/>
    <col min="6164" max="6164" width="7.6640625" style="2646" customWidth="1"/>
    <col min="6165" max="6165" width="1.109375" style="2646" customWidth="1"/>
    <col min="6166" max="6166" width="0.6640625" style="2646" customWidth="1"/>
    <col min="6167" max="6167" width="9.109375" style="2646" customWidth="1"/>
    <col min="6168" max="6168" width="1.109375" style="2646" customWidth="1"/>
    <col min="6169" max="6169" width="0.6640625" style="2646" customWidth="1"/>
    <col min="6170" max="6170" width="9.5546875" style="2646" bestFit="1" customWidth="1"/>
    <col min="6171" max="6172" width="0.6640625" style="2646" customWidth="1"/>
    <col min="6173" max="6173" width="9.6640625" style="2646" customWidth="1"/>
    <col min="6174" max="6174" width="1.109375" style="2646" customWidth="1"/>
    <col min="6175" max="6175" width="8.5546875" style="2646" customWidth="1"/>
    <col min="6176" max="6176" width="14.5546875" style="2646" customWidth="1"/>
    <col min="6177" max="6177" width="10" style="2646" customWidth="1"/>
    <col min="6178" max="6178" width="7.6640625" style="2646" bestFit="1" customWidth="1"/>
    <col min="6179" max="6179" width="9.6640625" style="2646" customWidth="1"/>
    <col min="6180" max="6396" width="8.6640625" style="2646"/>
    <col min="6397" max="6397" width="38.44140625" style="2646" customWidth="1"/>
    <col min="6398" max="6398" width="8.5546875" style="2646" customWidth="1"/>
    <col min="6399" max="6399" width="1.109375" style="2646" customWidth="1"/>
    <col min="6400" max="6400" width="8.6640625" style="2646" customWidth="1"/>
    <col min="6401" max="6401" width="1.109375" style="2646" customWidth="1"/>
    <col min="6402" max="6402" width="9.109375" style="2646" customWidth="1"/>
    <col min="6403" max="6403" width="1.109375" style="2646" customWidth="1"/>
    <col min="6404" max="6404" width="10" style="2646" customWidth="1"/>
    <col min="6405" max="6405" width="1.109375" style="2646" customWidth="1"/>
    <col min="6406" max="6406" width="9.109375" style="2646" customWidth="1"/>
    <col min="6407" max="6407" width="1.109375" style="2646" customWidth="1"/>
    <col min="6408" max="6408" width="11.109375" style="2646" customWidth="1"/>
    <col min="6409" max="6409" width="1.109375" style="2646" customWidth="1"/>
    <col min="6410" max="6410" width="9.109375" style="2646" customWidth="1"/>
    <col min="6411" max="6411" width="1.6640625" style="2646" customWidth="1"/>
    <col min="6412" max="6412" width="11" style="2646" customWidth="1"/>
    <col min="6413" max="6413" width="1.109375" style="2646" customWidth="1"/>
    <col min="6414" max="6414" width="10.6640625" style="2646" customWidth="1"/>
    <col min="6415" max="6415" width="1.109375" style="2646" customWidth="1"/>
    <col min="6416" max="6416" width="10" style="2646" customWidth="1"/>
    <col min="6417" max="6417" width="1.109375" style="2646" customWidth="1"/>
    <col min="6418" max="6418" width="9.109375" style="2646" customWidth="1"/>
    <col min="6419" max="6419" width="1.109375" style="2646" customWidth="1"/>
    <col min="6420" max="6420" width="7.6640625" style="2646" customWidth="1"/>
    <col min="6421" max="6421" width="1.109375" style="2646" customWidth="1"/>
    <col min="6422" max="6422" width="0.6640625" style="2646" customWidth="1"/>
    <col min="6423" max="6423" width="9.109375" style="2646" customWidth="1"/>
    <col min="6424" max="6424" width="1.109375" style="2646" customWidth="1"/>
    <col min="6425" max="6425" width="0.6640625" style="2646" customWidth="1"/>
    <col min="6426" max="6426" width="9.5546875" style="2646" bestFit="1" customWidth="1"/>
    <col min="6427" max="6428" width="0.6640625" style="2646" customWidth="1"/>
    <col min="6429" max="6429" width="9.6640625" style="2646" customWidth="1"/>
    <col min="6430" max="6430" width="1.109375" style="2646" customWidth="1"/>
    <col min="6431" max="6431" width="8.5546875" style="2646" customWidth="1"/>
    <col min="6432" max="6432" width="14.5546875" style="2646" customWidth="1"/>
    <col min="6433" max="6433" width="10" style="2646" customWidth="1"/>
    <col min="6434" max="6434" width="7.6640625" style="2646" bestFit="1" customWidth="1"/>
    <col min="6435" max="6435" width="9.6640625" style="2646" customWidth="1"/>
    <col min="6436" max="6652" width="8.6640625" style="2646"/>
    <col min="6653" max="6653" width="38.44140625" style="2646" customWidth="1"/>
    <col min="6654" max="6654" width="8.5546875" style="2646" customWidth="1"/>
    <col min="6655" max="6655" width="1.109375" style="2646" customWidth="1"/>
    <col min="6656" max="6656" width="8.6640625" style="2646" customWidth="1"/>
    <col min="6657" max="6657" width="1.109375" style="2646" customWidth="1"/>
    <col min="6658" max="6658" width="9.109375" style="2646" customWidth="1"/>
    <col min="6659" max="6659" width="1.109375" style="2646" customWidth="1"/>
    <col min="6660" max="6660" width="10" style="2646" customWidth="1"/>
    <col min="6661" max="6661" width="1.109375" style="2646" customWidth="1"/>
    <col min="6662" max="6662" width="9.109375" style="2646" customWidth="1"/>
    <col min="6663" max="6663" width="1.109375" style="2646" customWidth="1"/>
    <col min="6664" max="6664" width="11.109375" style="2646" customWidth="1"/>
    <col min="6665" max="6665" width="1.109375" style="2646" customWidth="1"/>
    <col min="6666" max="6666" width="9.109375" style="2646" customWidth="1"/>
    <col min="6667" max="6667" width="1.6640625" style="2646" customWidth="1"/>
    <col min="6668" max="6668" width="11" style="2646" customWidth="1"/>
    <col min="6669" max="6669" width="1.109375" style="2646" customWidth="1"/>
    <col min="6670" max="6670" width="10.6640625" style="2646" customWidth="1"/>
    <col min="6671" max="6671" width="1.109375" style="2646" customWidth="1"/>
    <col min="6672" max="6672" width="10" style="2646" customWidth="1"/>
    <col min="6673" max="6673" width="1.109375" style="2646" customWidth="1"/>
    <col min="6674" max="6674" width="9.109375" style="2646" customWidth="1"/>
    <col min="6675" max="6675" width="1.109375" style="2646" customWidth="1"/>
    <col min="6676" max="6676" width="7.6640625" style="2646" customWidth="1"/>
    <col min="6677" max="6677" width="1.109375" style="2646" customWidth="1"/>
    <col min="6678" max="6678" width="0.6640625" style="2646" customWidth="1"/>
    <col min="6679" max="6679" width="9.109375" style="2646" customWidth="1"/>
    <col min="6680" max="6680" width="1.109375" style="2646" customWidth="1"/>
    <col min="6681" max="6681" width="0.6640625" style="2646" customWidth="1"/>
    <col min="6682" max="6682" width="9.5546875" style="2646" bestFit="1" customWidth="1"/>
    <col min="6683" max="6684" width="0.6640625" style="2646" customWidth="1"/>
    <col min="6685" max="6685" width="9.6640625" style="2646" customWidth="1"/>
    <col min="6686" max="6686" width="1.109375" style="2646" customWidth="1"/>
    <col min="6687" max="6687" width="8.5546875" style="2646" customWidth="1"/>
    <col min="6688" max="6688" width="14.5546875" style="2646" customWidth="1"/>
    <col min="6689" max="6689" width="10" style="2646" customWidth="1"/>
    <col min="6690" max="6690" width="7.6640625" style="2646" bestFit="1" customWidth="1"/>
    <col min="6691" max="6691" width="9.6640625" style="2646" customWidth="1"/>
    <col min="6692" max="6908" width="8.6640625" style="2646"/>
    <col min="6909" max="6909" width="38.44140625" style="2646" customWidth="1"/>
    <col min="6910" max="6910" width="8.5546875" style="2646" customWidth="1"/>
    <col min="6911" max="6911" width="1.109375" style="2646" customWidth="1"/>
    <col min="6912" max="6912" width="8.6640625" style="2646" customWidth="1"/>
    <col min="6913" max="6913" width="1.109375" style="2646" customWidth="1"/>
    <col min="6914" max="6914" width="9.109375" style="2646" customWidth="1"/>
    <col min="6915" max="6915" width="1.109375" style="2646" customWidth="1"/>
    <col min="6916" max="6916" width="10" style="2646" customWidth="1"/>
    <col min="6917" max="6917" width="1.109375" style="2646" customWidth="1"/>
    <col min="6918" max="6918" width="9.109375" style="2646" customWidth="1"/>
    <col min="6919" max="6919" width="1.109375" style="2646" customWidth="1"/>
    <col min="6920" max="6920" width="11.109375" style="2646" customWidth="1"/>
    <col min="6921" max="6921" width="1.109375" style="2646" customWidth="1"/>
    <col min="6922" max="6922" width="9.109375" style="2646" customWidth="1"/>
    <col min="6923" max="6923" width="1.6640625" style="2646" customWidth="1"/>
    <col min="6924" max="6924" width="11" style="2646" customWidth="1"/>
    <col min="6925" max="6925" width="1.109375" style="2646" customWidth="1"/>
    <col min="6926" max="6926" width="10.6640625" style="2646" customWidth="1"/>
    <col min="6927" max="6927" width="1.109375" style="2646" customWidth="1"/>
    <col min="6928" max="6928" width="10" style="2646" customWidth="1"/>
    <col min="6929" max="6929" width="1.109375" style="2646" customWidth="1"/>
    <col min="6930" max="6930" width="9.109375" style="2646" customWidth="1"/>
    <col min="6931" max="6931" width="1.109375" style="2646" customWidth="1"/>
    <col min="6932" max="6932" width="7.6640625" style="2646" customWidth="1"/>
    <col min="6933" max="6933" width="1.109375" style="2646" customWidth="1"/>
    <col min="6934" max="6934" width="0.6640625" style="2646" customWidth="1"/>
    <col min="6935" max="6935" width="9.109375" style="2646" customWidth="1"/>
    <col min="6936" max="6936" width="1.109375" style="2646" customWidth="1"/>
    <col min="6937" max="6937" width="0.6640625" style="2646" customWidth="1"/>
    <col min="6938" max="6938" width="9.5546875" style="2646" bestFit="1" customWidth="1"/>
    <col min="6939" max="6940" width="0.6640625" style="2646" customWidth="1"/>
    <col min="6941" max="6941" width="9.6640625" style="2646" customWidth="1"/>
    <col min="6942" max="6942" width="1.109375" style="2646" customWidth="1"/>
    <col min="6943" max="6943" width="8.5546875" style="2646" customWidth="1"/>
    <col min="6944" max="6944" width="14.5546875" style="2646" customWidth="1"/>
    <col min="6945" max="6945" width="10" style="2646" customWidth="1"/>
    <col min="6946" max="6946" width="7.6640625" style="2646" bestFit="1" customWidth="1"/>
    <col min="6947" max="6947" width="9.6640625" style="2646" customWidth="1"/>
    <col min="6948" max="7164" width="8.6640625" style="2646"/>
    <col min="7165" max="7165" width="38.44140625" style="2646" customWidth="1"/>
    <col min="7166" max="7166" width="8.5546875" style="2646" customWidth="1"/>
    <col min="7167" max="7167" width="1.109375" style="2646" customWidth="1"/>
    <col min="7168" max="7168" width="8.6640625" style="2646" customWidth="1"/>
    <col min="7169" max="7169" width="1.109375" style="2646" customWidth="1"/>
    <col min="7170" max="7170" width="9.109375" style="2646" customWidth="1"/>
    <col min="7171" max="7171" width="1.109375" style="2646" customWidth="1"/>
    <col min="7172" max="7172" width="10" style="2646" customWidth="1"/>
    <col min="7173" max="7173" width="1.109375" style="2646" customWidth="1"/>
    <col min="7174" max="7174" width="9.109375" style="2646" customWidth="1"/>
    <col min="7175" max="7175" width="1.109375" style="2646" customWidth="1"/>
    <col min="7176" max="7176" width="11.109375" style="2646" customWidth="1"/>
    <col min="7177" max="7177" width="1.109375" style="2646" customWidth="1"/>
    <col min="7178" max="7178" width="9.109375" style="2646" customWidth="1"/>
    <col min="7179" max="7179" width="1.6640625" style="2646" customWidth="1"/>
    <col min="7180" max="7180" width="11" style="2646" customWidth="1"/>
    <col min="7181" max="7181" width="1.109375" style="2646" customWidth="1"/>
    <col min="7182" max="7182" width="10.6640625" style="2646" customWidth="1"/>
    <col min="7183" max="7183" width="1.109375" style="2646" customWidth="1"/>
    <col min="7184" max="7184" width="10" style="2646" customWidth="1"/>
    <col min="7185" max="7185" width="1.109375" style="2646" customWidth="1"/>
    <col min="7186" max="7186" width="9.109375" style="2646" customWidth="1"/>
    <col min="7187" max="7187" width="1.109375" style="2646" customWidth="1"/>
    <col min="7188" max="7188" width="7.6640625" style="2646" customWidth="1"/>
    <col min="7189" max="7189" width="1.109375" style="2646" customWidth="1"/>
    <col min="7190" max="7190" width="0.6640625" style="2646" customWidth="1"/>
    <col min="7191" max="7191" width="9.109375" style="2646" customWidth="1"/>
    <col min="7192" max="7192" width="1.109375" style="2646" customWidth="1"/>
    <col min="7193" max="7193" width="0.6640625" style="2646" customWidth="1"/>
    <col min="7194" max="7194" width="9.5546875" style="2646" bestFit="1" customWidth="1"/>
    <col min="7195" max="7196" width="0.6640625" style="2646" customWidth="1"/>
    <col min="7197" max="7197" width="9.6640625" style="2646" customWidth="1"/>
    <col min="7198" max="7198" width="1.109375" style="2646" customWidth="1"/>
    <col min="7199" max="7199" width="8.5546875" style="2646" customWidth="1"/>
    <col min="7200" max="7200" width="14.5546875" style="2646" customWidth="1"/>
    <col min="7201" max="7201" width="10" style="2646" customWidth="1"/>
    <col min="7202" max="7202" width="7.6640625" style="2646" bestFit="1" customWidth="1"/>
    <col min="7203" max="7203" width="9.6640625" style="2646" customWidth="1"/>
    <col min="7204" max="7420" width="8.6640625" style="2646"/>
    <col min="7421" max="7421" width="38.44140625" style="2646" customWidth="1"/>
    <col min="7422" max="7422" width="8.5546875" style="2646" customWidth="1"/>
    <col min="7423" max="7423" width="1.109375" style="2646" customWidth="1"/>
    <col min="7424" max="7424" width="8.6640625" style="2646" customWidth="1"/>
    <col min="7425" max="7425" width="1.109375" style="2646" customWidth="1"/>
    <col min="7426" max="7426" width="9.109375" style="2646" customWidth="1"/>
    <col min="7427" max="7427" width="1.109375" style="2646" customWidth="1"/>
    <col min="7428" max="7428" width="10" style="2646" customWidth="1"/>
    <col min="7429" max="7429" width="1.109375" style="2646" customWidth="1"/>
    <col min="7430" max="7430" width="9.109375" style="2646" customWidth="1"/>
    <col min="7431" max="7431" width="1.109375" style="2646" customWidth="1"/>
    <col min="7432" max="7432" width="11.109375" style="2646" customWidth="1"/>
    <col min="7433" max="7433" width="1.109375" style="2646" customWidth="1"/>
    <col min="7434" max="7434" width="9.109375" style="2646" customWidth="1"/>
    <col min="7435" max="7435" width="1.6640625" style="2646" customWidth="1"/>
    <col min="7436" max="7436" width="11" style="2646" customWidth="1"/>
    <col min="7437" max="7437" width="1.109375" style="2646" customWidth="1"/>
    <col min="7438" max="7438" width="10.6640625" style="2646" customWidth="1"/>
    <col min="7439" max="7439" width="1.109375" style="2646" customWidth="1"/>
    <col min="7440" max="7440" width="10" style="2646" customWidth="1"/>
    <col min="7441" max="7441" width="1.109375" style="2646" customWidth="1"/>
    <col min="7442" max="7442" width="9.109375" style="2646" customWidth="1"/>
    <col min="7443" max="7443" width="1.109375" style="2646" customWidth="1"/>
    <col min="7444" max="7444" width="7.6640625" style="2646" customWidth="1"/>
    <col min="7445" max="7445" width="1.109375" style="2646" customWidth="1"/>
    <col min="7446" max="7446" width="0.6640625" style="2646" customWidth="1"/>
    <col min="7447" max="7447" width="9.109375" style="2646" customWidth="1"/>
    <col min="7448" max="7448" width="1.109375" style="2646" customWidth="1"/>
    <col min="7449" max="7449" width="0.6640625" style="2646" customWidth="1"/>
    <col min="7450" max="7450" width="9.5546875" style="2646" bestFit="1" customWidth="1"/>
    <col min="7451" max="7452" width="0.6640625" style="2646" customWidth="1"/>
    <col min="7453" max="7453" width="9.6640625" style="2646" customWidth="1"/>
    <col min="7454" max="7454" width="1.109375" style="2646" customWidth="1"/>
    <col min="7455" max="7455" width="8.5546875" style="2646" customWidth="1"/>
    <col min="7456" max="7456" width="14.5546875" style="2646" customWidth="1"/>
    <col min="7457" max="7457" width="10" style="2646" customWidth="1"/>
    <col min="7458" max="7458" width="7.6640625" style="2646" bestFit="1" customWidth="1"/>
    <col min="7459" max="7459" width="9.6640625" style="2646" customWidth="1"/>
    <col min="7460" max="7676" width="8.6640625" style="2646"/>
    <col min="7677" max="7677" width="38.44140625" style="2646" customWidth="1"/>
    <col min="7678" max="7678" width="8.5546875" style="2646" customWidth="1"/>
    <col min="7679" max="7679" width="1.109375" style="2646" customWidth="1"/>
    <col min="7680" max="7680" width="8.6640625" style="2646" customWidth="1"/>
    <col min="7681" max="7681" width="1.109375" style="2646" customWidth="1"/>
    <col min="7682" max="7682" width="9.109375" style="2646" customWidth="1"/>
    <col min="7683" max="7683" width="1.109375" style="2646" customWidth="1"/>
    <col min="7684" max="7684" width="10" style="2646" customWidth="1"/>
    <col min="7685" max="7685" width="1.109375" style="2646" customWidth="1"/>
    <col min="7686" max="7686" width="9.109375" style="2646" customWidth="1"/>
    <col min="7687" max="7687" width="1.109375" style="2646" customWidth="1"/>
    <col min="7688" max="7688" width="11.109375" style="2646" customWidth="1"/>
    <col min="7689" max="7689" width="1.109375" style="2646" customWidth="1"/>
    <col min="7690" max="7690" width="9.109375" style="2646" customWidth="1"/>
    <col min="7691" max="7691" width="1.6640625" style="2646" customWidth="1"/>
    <col min="7692" max="7692" width="11" style="2646" customWidth="1"/>
    <col min="7693" max="7693" width="1.109375" style="2646" customWidth="1"/>
    <col min="7694" max="7694" width="10.6640625" style="2646" customWidth="1"/>
    <col min="7695" max="7695" width="1.109375" style="2646" customWidth="1"/>
    <col min="7696" max="7696" width="10" style="2646" customWidth="1"/>
    <col min="7697" max="7697" width="1.109375" style="2646" customWidth="1"/>
    <col min="7698" max="7698" width="9.109375" style="2646" customWidth="1"/>
    <col min="7699" max="7699" width="1.109375" style="2646" customWidth="1"/>
    <col min="7700" max="7700" width="7.6640625" style="2646" customWidth="1"/>
    <col min="7701" max="7701" width="1.109375" style="2646" customWidth="1"/>
    <col min="7702" max="7702" width="0.6640625" style="2646" customWidth="1"/>
    <col min="7703" max="7703" width="9.109375" style="2646" customWidth="1"/>
    <col min="7704" max="7704" width="1.109375" style="2646" customWidth="1"/>
    <col min="7705" max="7705" width="0.6640625" style="2646" customWidth="1"/>
    <col min="7706" max="7706" width="9.5546875" style="2646" bestFit="1" customWidth="1"/>
    <col min="7707" max="7708" width="0.6640625" style="2646" customWidth="1"/>
    <col min="7709" max="7709" width="9.6640625" style="2646" customWidth="1"/>
    <col min="7710" max="7710" width="1.109375" style="2646" customWidth="1"/>
    <col min="7711" max="7711" width="8.5546875" style="2646" customWidth="1"/>
    <col min="7712" max="7712" width="14.5546875" style="2646" customWidth="1"/>
    <col min="7713" max="7713" width="10" style="2646" customWidth="1"/>
    <col min="7714" max="7714" width="7.6640625" style="2646" bestFit="1" customWidth="1"/>
    <col min="7715" max="7715" width="9.6640625" style="2646" customWidth="1"/>
    <col min="7716" max="7932" width="8.6640625" style="2646"/>
    <col min="7933" max="7933" width="38.44140625" style="2646" customWidth="1"/>
    <col min="7934" max="7934" width="8.5546875" style="2646" customWidth="1"/>
    <col min="7935" max="7935" width="1.109375" style="2646" customWidth="1"/>
    <col min="7936" max="7936" width="8.6640625" style="2646" customWidth="1"/>
    <col min="7937" max="7937" width="1.109375" style="2646" customWidth="1"/>
    <col min="7938" max="7938" width="9.109375" style="2646" customWidth="1"/>
    <col min="7939" max="7939" width="1.109375" style="2646" customWidth="1"/>
    <col min="7940" max="7940" width="10" style="2646" customWidth="1"/>
    <col min="7941" max="7941" width="1.109375" style="2646" customWidth="1"/>
    <col min="7942" max="7942" width="9.109375" style="2646" customWidth="1"/>
    <col min="7943" max="7943" width="1.109375" style="2646" customWidth="1"/>
    <col min="7944" max="7944" width="11.109375" style="2646" customWidth="1"/>
    <col min="7945" max="7945" width="1.109375" style="2646" customWidth="1"/>
    <col min="7946" max="7946" width="9.109375" style="2646" customWidth="1"/>
    <col min="7947" max="7947" width="1.6640625" style="2646" customWidth="1"/>
    <col min="7948" max="7948" width="11" style="2646" customWidth="1"/>
    <col min="7949" max="7949" width="1.109375" style="2646" customWidth="1"/>
    <col min="7950" max="7950" width="10.6640625" style="2646" customWidth="1"/>
    <col min="7951" max="7951" width="1.109375" style="2646" customWidth="1"/>
    <col min="7952" max="7952" width="10" style="2646" customWidth="1"/>
    <col min="7953" max="7953" width="1.109375" style="2646" customWidth="1"/>
    <col min="7954" max="7954" width="9.109375" style="2646" customWidth="1"/>
    <col min="7955" max="7955" width="1.109375" style="2646" customWidth="1"/>
    <col min="7956" max="7956" width="7.6640625" style="2646" customWidth="1"/>
    <col min="7957" max="7957" width="1.109375" style="2646" customWidth="1"/>
    <col min="7958" max="7958" width="0.6640625" style="2646" customWidth="1"/>
    <col min="7959" max="7959" width="9.109375" style="2646" customWidth="1"/>
    <col min="7960" max="7960" width="1.109375" style="2646" customWidth="1"/>
    <col min="7961" max="7961" width="0.6640625" style="2646" customWidth="1"/>
    <col min="7962" max="7962" width="9.5546875" style="2646" bestFit="1" customWidth="1"/>
    <col min="7963" max="7964" width="0.6640625" style="2646" customWidth="1"/>
    <col min="7965" max="7965" width="9.6640625" style="2646" customWidth="1"/>
    <col min="7966" max="7966" width="1.109375" style="2646" customWidth="1"/>
    <col min="7967" max="7967" width="8.5546875" style="2646" customWidth="1"/>
    <col min="7968" max="7968" width="14.5546875" style="2646" customWidth="1"/>
    <col min="7969" max="7969" width="10" style="2646" customWidth="1"/>
    <col min="7970" max="7970" width="7.6640625" style="2646" bestFit="1" customWidth="1"/>
    <col min="7971" max="7971" width="9.6640625" style="2646" customWidth="1"/>
    <col min="7972" max="8188" width="8.6640625" style="2646"/>
    <col min="8189" max="8189" width="38.44140625" style="2646" customWidth="1"/>
    <col min="8190" max="8190" width="8.5546875" style="2646" customWidth="1"/>
    <col min="8191" max="8191" width="1.109375" style="2646" customWidth="1"/>
    <col min="8192" max="8192" width="8.6640625" style="2646" customWidth="1"/>
    <col min="8193" max="8193" width="1.109375" style="2646" customWidth="1"/>
    <col min="8194" max="8194" width="9.109375" style="2646" customWidth="1"/>
    <col min="8195" max="8195" width="1.109375" style="2646" customWidth="1"/>
    <col min="8196" max="8196" width="10" style="2646" customWidth="1"/>
    <col min="8197" max="8197" width="1.109375" style="2646" customWidth="1"/>
    <col min="8198" max="8198" width="9.109375" style="2646" customWidth="1"/>
    <col min="8199" max="8199" width="1.109375" style="2646" customWidth="1"/>
    <col min="8200" max="8200" width="11.109375" style="2646" customWidth="1"/>
    <col min="8201" max="8201" width="1.109375" style="2646" customWidth="1"/>
    <col min="8202" max="8202" width="9.109375" style="2646" customWidth="1"/>
    <col min="8203" max="8203" width="1.6640625" style="2646" customWidth="1"/>
    <col min="8204" max="8204" width="11" style="2646" customWidth="1"/>
    <col min="8205" max="8205" width="1.109375" style="2646" customWidth="1"/>
    <col min="8206" max="8206" width="10.6640625" style="2646" customWidth="1"/>
    <col min="8207" max="8207" width="1.109375" style="2646" customWidth="1"/>
    <col min="8208" max="8208" width="10" style="2646" customWidth="1"/>
    <col min="8209" max="8209" width="1.109375" style="2646" customWidth="1"/>
    <col min="8210" max="8210" width="9.109375" style="2646" customWidth="1"/>
    <col min="8211" max="8211" width="1.109375" style="2646" customWidth="1"/>
    <col min="8212" max="8212" width="7.6640625" style="2646" customWidth="1"/>
    <col min="8213" max="8213" width="1.109375" style="2646" customWidth="1"/>
    <col min="8214" max="8214" width="0.6640625" style="2646" customWidth="1"/>
    <col min="8215" max="8215" width="9.109375" style="2646" customWidth="1"/>
    <col min="8216" max="8216" width="1.109375" style="2646" customWidth="1"/>
    <col min="8217" max="8217" width="0.6640625" style="2646" customWidth="1"/>
    <col min="8218" max="8218" width="9.5546875" style="2646" bestFit="1" customWidth="1"/>
    <col min="8219" max="8220" width="0.6640625" style="2646" customWidth="1"/>
    <col min="8221" max="8221" width="9.6640625" style="2646" customWidth="1"/>
    <col min="8222" max="8222" width="1.109375" style="2646" customWidth="1"/>
    <col min="8223" max="8223" width="8.5546875" style="2646" customWidth="1"/>
    <col min="8224" max="8224" width="14.5546875" style="2646" customWidth="1"/>
    <col min="8225" max="8225" width="10" style="2646" customWidth="1"/>
    <col min="8226" max="8226" width="7.6640625" style="2646" bestFit="1" customWidth="1"/>
    <col min="8227" max="8227" width="9.6640625" style="2646" customWidth="1"/>
    <col min="8228" max="8444" width="8.6640625" style="2646"/>
    <col min="8445" max="8445" width="38.44140625" style="2646" customWidth="1"/>
    <col min="8446" max="8446" width="8.5546875" style="2646" customWidth="1"/>
    <col min="8447" max="8447" width="1.109375" style="2646" customWidth="1"/>
    <col min="8448" max="8448" width="8.6640625" style="2646" customWidth="1"/>
    <col min="8449" max="8449" width="1.109375" style="2646" customWidth="1"/>
    <col min="8450" max="8450" width="9.109375" style="2646" customWidth="1"/>
    <col min="8451" max="8451" width="1.109375" style="2646" customWidth="1"/>
    <col min="8452" max="8452" width="10" style="2646" customWidth="1"/>
    <col min="8453" max="8453" width="1.109375" style="2646" customWidth="1"/>
    <col min="8454" max="8454" width="9.109375" style="2646" customWidth="1"/>
    <col min="8455" max="8455" width="1.109375" style="2646" customWidth="1"/>
    <col min="8456" max="8456" width="11.109375" style="2646" customWidth="1"/>
    <col min="8457" max="8457" width="1.109375" style="2646" customWidth="1"/>
    <col min="8458" max="8458" width="9.109375" style="2646" customWidth="1"/>
    <col min="8459" max="8459" width="1.6640625" style="2646" customWidth="1"/>
    <col min="8460" max="8460" width="11" style="2646" customWidth="1"/>
    <col min="8461" max="8461" width="1.109375" style="2646" customWidth="1"/>
    <col min="8462" max="8462" width="10.6640625" style="2646" customWidth="1"/>
    <col min="8463" max="8463" width="1.109375" style="2646" customWidth="1"/>
    <col min="8464" max="8464" width="10" style="2646" customWidth="1"/>
    <col min="8465" max="8465" width="1.109375" style="2646" customWidth="1"/>
    <col min="8466" max="8466" width="9.109375" style="2646" customWidth="1"/>
    <col min="8467" max="8467" width="1.109375" style="2646" customWidth="1"/>
    <col min="8468" max="8468" width="7.6640625" style="2646" customWidth="1"/>
    <col min="8469" max="8469" width="1.109375" style="2646" customWidth="1"/>
    <col min="8470" max="8470" width="0.6640625" style="2646" customWidth="1"/>
    <col min="8471" max="8471" width="9.109375" style="2646" customWidth="1"/>
    <col min="8472" max="8472" width="1.109375" style="2646" customWidth="1"/>
    <col min="8473" max="8473" width="0.6640625" style="2646" customWidth="1"/>
    <col min="8474" max="8474" width="9.5546875" style="2646" bestFit="1" customWidth="1"/>
    <col min="8475" max="8476" width="0.6640625" style="2646" customWidth="1"/>
    <col min="8477" max="8477" width="9.6640625" style="2646" customWidth="1"/>
    <col min="8478" max="8478" width="1.109375" style="2646" customWidth="1"/>
    <col min="8479" max="8479" width="8.5546875" style="2646" customWidth="1"/>
    <col min="8480" max="8480" width="14.5546875" style="2646" customWidth="1"/>
    <col min="8481" max="8481" width="10" style="2646" customWidth="1"/>
    <col min="8482" max="8482" width="7.6640625" style="2646" bestFit="1" customWidth="1"/>
    <col min="8483" max="8483" width="9.6640625" style="2646" customWidth="1"/>
    <col min="8484" max="8700" width="8.6640625" style="2646"/>
    <col min="8701" max="8701" width="38.44140625" style="2646" customWidth="1"/>
    <col min="8702" max="8702" width="8.5546875" style="2646" customWidth="1"/>
    <col min="8703" max="8703" width="1.109375" style="2646" customWidth="1"/>
    <col min="8704" max="8704" width="8.6640625" style="2646" customWidth="1"/>
    <col min="8705" max="8705" width="1.109375" style="2646" customWidth="1"/>
    <col min="8706" max="8706" width="9.109375" style="2646" customWidth="1"/>
    <col min="8707" max="8707" width="1.109375" style="2646" customWidth="1"/>
    <col min="8708" max="8708" width="10" style="2646" customWidth="1"/>
    <col min="8709" max="8709" width="1.109375" style="2646" customWidth="1"/>
    <col min="8710" max="8710" width="9.109375" style="2646" customWidth="1"/>
    <col min="8711" max="8711" width="1.109375" style="2646" customWidth="1"/>
    <col min="8712" max="8712" width="11.109375" style="2646" customWidth="1"/>
    <col min="8713" max="8713" width="1.109375" style="2646" customWidth="1"/>
    <col min="8714" max="8714" width="9.109375" style="2646" customWidth="1"/>
    <col min="8715" max="8715" width="1.6640625" style="2646" customWidth="1"/>
    <col min="8716" max="8716" width="11" style="2646" customWidth="1"/>
    <col min="8717" max="8717" width="1.109375" style="2646" customWidth="1"/>
    <col min="8718" max="8718" width="10.6640625" style="2646" customWidth="1"/>
    <col min="8719" max="8719" width="1.109375" style="2646" customWidth="1"/>
    <col min="8720" max="8720" width="10" style="2646" customWidth="1"/>
    <col min="8721" max="8721" width="1.109375" style="2646" customWidth="1"/>
    <col min="8722" max="8722" width="9.109375" style="2646" customWidth="1"/>
    <col min="8723" max="8723" width="1.109375" style="2646" customWidth="1"/>
    <col min="8724" max="8724" width="7.6640625" style="2646" customWidth="1"/>
    <col min="8725" max="8725" width="1.109375" style="2646" customWidth="1"/>
    <col min="8726" max="8726" width="0.6640625" style="2646" customWidth="1"/>
    <col min="8727" max="8727" width="9.109375" style="2646" customWidth="1"/>
    <col min="8728" max="8728" width="1.109375" style="2646" customWidth="1"/>
    <col min="8729" max="8729" width="0.6640625" style="2646" customWidth="1"/>
    <col min="8730" max="8730" width="9.5546875" style="2646" bestFit="1" customWidth="1"/>
    <col min="8731" max="8732" width="0.6640625" style="2646" customWidth="1"/>
    <col min="8733" max="8733" width="9.6640625" style="2646" customWidth="1"/>
    <col min="8734" max="8734" width="1.109375" style="2646" customWidth="1"/>
    <col min="8735" max="8735" width="8.5546875" style="2646" customWidth="1"/>
    <col min="8736" max="8736" width="14.5546875" style="2646" customWidth="1"/>
    <col min="8737" max="8737" width="10" style="2646" customWidth="1"/>
    <col min="8738" max="8738" width="7.6640625" style="2646" bestFit="1" customWidth="1"/>
    <col min="8739" max="8739" width="9.6640625" style="2646" customWidth="1"/>
    <col min="8740" max="8956" width="8.6640625" style="2646"/>
    <col min="8957" max="8957" width="38.44140625" style="2646" customWidth="1"/>
    <col min="8958" max="8958" width="8.5546875" style="2646" customWidth="1"/>
    <col min="8959" max="8959" width="1.109375" style="2646" customWidth="1"/>
    <col min="8960" max="8960" width="8.6640625" style="2646" customWidth="1"/>
    <col min="8961" max="8961" width="1.109375" style="2646" customWidth="1"/>
    <col min="8962" max="8962" width="9.109375" style="2646" customWidth="1"/>
    <col min="8963" max="8963" width="1.109375" style="2646" customWidth="1"/>
    <col min="8964" max="8964" width="10" style="2646" customWidth="1"/>
    <col min="8965" max="8965" width="1.109375" style="2646" customWidth="1"/>
    <col min="8966" max="8966" width="9.109375" style="2646" customWidth="1"/>
    <col min="8967" max="8967" width="1.109375" style="2646" customWidth="1"/>
    <col min="8968" max="8968" width="11.109375" style="2646" customWidth="1"/>
    <col min="8969" max="8969" width="1.109375" style="2646" customWidth="1"/>
    <col min="8970" max="8970" width="9.109375" style="2646" customWidth="1"/>
    <col min="8971" max="8971" width="1.6640625" style="2646" customWidth="1"/>
    <col min="8972" max="8972" width="11" style="2646" customWidth="1"/>
    <col min="8973" max="8973" width="1.109375" style="2646" customWidth="1"/>
    <col min="8974" max="8974" width="10.6640625" style="2646" customWidth="1"/>
    <col min="8975" max="8975" width="1.109375" style="2646" customWidth="1"/>
    <col min="8976" max="8976" width="10" style="2646" customWidth="1"/>
    <col min="8977" max="8977" width="1.109375" style="2646" customWidth="1"/>
    <col min="8978" max="8978" width="9.109375" style="2646" customWidth="1"/>
    <col min="8979" max="8979" width="1.109375" style="2646" customWidth="1"/>
    <col min="8980" max="8980" width="7.6640625" style="2646" customWidth="1"/>
    <col min="8981" max="8981" width="1.109375" style="2646" customWidth="1"/>
    <col min="8982" max="8982" width="0.6640625" style="2646" customWidth="1"/>
    <col min="8983" max="8983" width="9.109375" style="2646" customWidth="1"/>
    <col min="8984" max="8984" width="1.109375" style="2646" customWidth="1"/>
    <col min="8985" max="8985" width="0.6640625" style="2646" customWidth="1"/>
    <col min="8986" max="8986" width="9.5546875" style="2646" bestFit="1" customWidth="1"/>
    <col min="8987" max="8988" width="0.6640625" style="2646" customWidth="1"/>
    <col min="8989" max="8989" width="9.6640625" style="2646" customWidth="1"/>
    <col min="8990" max="8990" width="1.109375" style="2646" customWidth="1"/>
    <col min="8991" max="8991" width="8.5546875" style="2646" customWidth="1"/>
    <col min="8992" max="8992" width="14.5546875" style="2646" customWidth="1"/>
    <col min="8993" max="8993" width="10" style="2646" customWidth="1"/>
    <col min="8994" max="8994" width="7.6640625" style="2646" bestFit="1" customWidth="1"/>
    <col min="8995" max="8995" width="9.6640625" style="2646" customWidth="1"/>
    <col min="8996" max="9212" width="8.6640625" style="2646"/>
    <col min="9213" max="9213" width="38.44140625" style="2646" customWidth="1"/>
    <col min="9214" max="9214" width="8.5546875" style="2646" customWidth="1"/>
    <col min="9215" max="9215" width="1.109375" style="2646" customWidth="1"/>
    <col min="9216" max="9216" width="8.6640625" style="2646" customWidth="1"/>
    <col min="9217" max="9217" width="1.109375" style="2646" customWidth="1"/>
    <col min="9218" max="9218" width="9.109375" style="2646" customWidth="1"/>
    <col min="9219" max="9219" width="1.109375" style="2646" customWidth="1"/>
    <col min="9220" max="9220" width="10" style="2646" customWidth="1"/>
    <col min="9221" max="9221" width="1.109375" style="2646" customWidth="1"/>
    <col min="9222" max="9222" width="9.109375" style="2646" customWidth="1"/>
    <col min="9223" max="9223" width="1.109375" style="2646" customWidth="1"/>
    <col min="9224" max="9224" width="11.109375" style="2646" customWidth="1"/>
    <col min="9225" max="9225" width="1.109375" style="2646" customWidth="1"/>
    <col min="9226" max="9226" width="9.109375" style="2646" customWidth="1"/>
    <col min="9227" max="9227" width="1.6640625" style="2646" customWidth="1"/>
    <col min="9228" max="9228" width="11" style="2646" customWidth="1"/>
    <col min="9229" max="9229" width="1.109375" style="2646" customWidth="1"/>
    <col min="9230" max="9230" width="10.6640625" style="2646" customWidth="1"/>
    <col min="9231" max="9231" width="1.109375" style="2646" customWidth="1"/>
    <col min="9232" max="9232" width="10" style="2646" customWidth="1"/>
    <col min="9233" max="9233" width="1.109375" style="2646" customWidth="1"/>
    <col min="9234" max="9234" width="9.109375" style="2646" customWidth="1"/>
    <col min="9235" max="9235" width="1.109375" style="2646" customWidth="1"/>
    <col min="9236" max="9236" width="7.6640625" style="2646" customWidth="1"/>
    <col min="9237" max="9237" width="1.109375" style="2646" customWidth="1"/>
    <col min="9238" max="9238" width="0.6640625" style="2646" customWidth="1"/>
    <col min="9239" max="9239" width="9.109375" style="2646" customWidth="1"/>
    <col min="9240" max="9240" width="1.109375" style="2646" customWidth="1"/>
    <col min="9241" max="9241" width="0.6640625" style="2646" customWidth="1"/>
    <col min="9242" max="9242" width="9.5546875" style="2646" bestFit="1" customWidth="1"/>
    <col min="9243" max="9244" width="0.6640625" style="2646" customWidth="1"/>
    <col min="9245" max="9245" width="9.6640625" style="2646" customWidth="1"/>
    <col min="9246" max="9246" width="1.109375" style="2646" customWidth="1"/>
    <col min="9247" max="9247" width="8.5546875" style="2646" customWidth="1"/>
    <col min="9248" max="9248" width="14.5546875" style="2646" customWidth="1"/>
    <col min="9249" max="9249" width="10" style="2646" customWidth="1"/>
    <col min="9250" max="9250" width="7.6640625" style="2646" bestFit="1" customWidth="1"/>
    <col min="9251" max="9251" width="9.6640625" style="2646" customWidth="1"/>
    <col min="9252" max="9468" width="8.6640625" style="2646"/>
    <col min="9469" max="9469" width="38.44140625" style="2646" customWidth="1"/>
    <col min="9470" max="9470" width="8.5546875" style="2646" customWidth="1"/>
    <col min="9471" max="9471" width="1.109375" style="2646" customWidth="1"/>
    <col min="9472" max="9472" width="8.6640625" style="2646" customWidth="1"/>
    <col min="9473" max="9473" width="1.109375" style="2646" customWidth="1"/>
    <col min="9474" max="9474" width="9.109375" style="2646" customWidth="1"/>
    <col min="9475" max="9475" width="1.109375" style="2646" customWidth="1"/>
    <col min="9476" max="9476" width="10" style="2646" customWidth="1"/>
    <col min="9477" max="9477" width="1.109375" style="2646" customWidth="1"/>
    <col min="9478" max="9478" width="9.109375" style="2646" customWidth="1"/>
    <col min="9479" max="9479" width="1.109375" style="2646" customWidth="1"/>
    <col min="9480" max="9480" width="11.109375" style="2646" customWidth="1"/>
    <col min="9481" max="9481" width="1.109375" style="2646" customWidth="1"/>
    <col min="9482" max="9482" width="9.109375" style="2646" customWidth="1"/>
    <col min="9483" max="9483" width="1.6640625" style="2646" customWidth="1"/>
    <col min="9484" max="9484" width="11" style="2646" customWidth="1"/>
    <col min="9485" max="9485" width="1.109375" style="2646" customWidth="1"/>
    <col min="9486" max="9486" width="10.6640625" style="2646" customWidth="1"/>
    <col min="9487" max="9487" width="1.109375" style="2646" customWidth="1"/>
    <col min="9488" max="9488" width="10" style="2646" customWidth="1"/>
    <col min="9489" max="9489" width="1.109375" style="2646" customWidth="1"/>
    <col min="9490" max="9490" width="9.109375" style="2646" customWidth="1"/>
    <col min="9491" max="9491" width="1.109375" style="2646" customWidth="1"/>
    <col min="9492" max="9492" width="7.6640625" style="2646" customWidth="1"/>
    <col min="9493" max="9493" width="1.109375" style="2646" customWidth="1"/>
    <col min="9494" max="9494" width="0.6640625" style="2646" customWidth="1"/>
    <col min="9495" max="9495" width="9.109375" style="2646" customWidth="1"/>
    <col min="9496" max="9496" width="1.109375" style="2646" customWidth="1"/>
    <col min="9497" max="9497" width="0.6640625" style="2646" customWidth="1"/>
    <col min="9498" max="9498" width="9.5546875" style="2646" bestFit="1" customWidth="1"/>
    <col min="9499" max="9500" width="0.6640625" style="2646" customWidth="1"/>
    <col min="9501" max="9501" width="9.6640625" style="2646" customWidth="1"/>
    <col min="9502" max="9502" width="1.109375" style="2646" customWidth="1"/>
    <col min="9503" max="9503" width="8.5546875" style="2646" customWidth="1"/>
    <col min="9504" max="9504" width="14.5546875" style="2646" customWidth="1"/>
    <col min="9505" max="9505" width="10" style="2646" customWidth="1"/>
    <col min="9506" max="9506" width="7.6640625" style="2646" bestFit="1" customWidth="1"/>
    <col min="9507" max="9507" width="9.6640625" style="2646" customWidth="1"/>
    <col min="9508" max="9724" width="8.6640625" style="2646"/>
    <col min="9725" max="9725" width="38.44140625" style="2646" customWidth="1"/>
    <col min="9726" max="9726" width="8.5546875" style="2646" customWidth="1"/>
    <col min="9727" max="9727" width="1.109375" style="2646" customWidth="1"/>
    <col min="9728" max="9728" width="8.6640625" style="2646" customWidth="1"/>
    <col min="9729" max="9729" width="1.109375" style="2646" customWidth="1"/>
    <col min="9730" max="9730" width="9.109375" style="2646" customWidth="1"/>
    <col min="9731" max="9731" width="1.109375" style="2646" customWidth="1"/>
    <col min="9732" max="9732" width="10" style="2646" customWidth="1"/>
    <col min="9733" max="9733" width="1.109375" style="2646" customWidth="1"/>
    <col min="9734" max="9734" width="9.109375" style="2646" customWidth="1"/>
    <col min="9735" max="9735" width="1.109375" style="2646" customWidth="1"/>
    <col min="9736" max="9736" width="11.109375" style="2646" customWidth="1"/>
    <col min="9737" max="9737" width="1.109375" style="2646" customWidth="1"/>
    <col min="9738" max="9738" width="9.109375" style="2646" customWidth="1"/>
    <col min="9739" max="9739" width="1.6640625" style="2646" customWidth="1"/>
    <col min="9740" max="9740" width="11" style="2646" customWidth="1"/>
    <col min="9741" max="9741" width="1.109375" style="2646" customWidth="1"/>
    <col min="9742" max="9742" width="10.6640625" style="2646" customWidth="1"/>
    <col min="9743" max="9743" width="1.109375" style="2646" customWidth="1"/>
    <col min="9744" max="9744" width="10" style="2646" customWidth="1"/>
    <col min="9745" max="9745" width="1.109375" style="2646" customWidth="1"/>
    <col min="9746" max="9746" width="9.109375" style="2646" customWidth="1"/>
    <col min="9747" max="9747" width="1.109375" style="2646" customWidth="1"/>
    <col min="9748" max="9748" width="7.6640625" style="2646" customWidth="1"/>
    <col min="9749" max="9749" width="1.109375" style="2646" customWidth="1"/>
    <col min="9750" max="9750" width="0.6640625" style="2646" customWidth="1"/>
    <col min="9751" max="9751" width="9.109375" style="2646" customWidth="1"/>
    <col min="9752" max="9752" width="1.109375" style="2646" customWidth="1"/>
    <col min="9753" max="9753" width="0.6640625" style="2646" customWidth="1"/>
    <col min="9754" max="9754" width="9.5546875" style="2646" bestFit="1" customWidth="1"/>
    <col min="9755" max="9756" width="0.6640625" style="2646" customWidth="1"/>
    <col min="9757" max="9757" width="9.6640625" style="2646" customWidth="1"/>
    <col min="9758" max="9758" width="1.109375" style="2646" customWidth="1"/>
    <col min="9759" max="9759" width="8.5546875" style="2646" customWidth="1"/>
    <col min="9760" max="9760" width="14.5546875" style="2646" customWidth="1"/>
    <col min="9761" max="9761" width="10" style="2646" customWidth="1"/>
    <col min="9762" max="9762" width="7.6640625" style="2646" bestFit="1" customWidth="1"/>
    <col min="9763" max="9763" width="9.6640625" style="2646" customWidth="1"/>
    <col min="9764" max="9980" width="8.6640625" style="2646"/>
    <col min="9981" max="9981" width="38.44140625" style="2646" customWidth="1"/>
    <col min="9982" max="9982" width="8.5546875" style="2646" customWidth="1"/>
    <col min="9983" max="9983" width="1.109375" style="2646" customWidth="1"/>
    <col min="9984" max="9984" width="8.6640625" style="2646" customWidth="1"/>
    <col min="9985" max="9985" width="1.109375" style="2646" customWidth="1"/>
    <col min="9986" max="9986" width="9.109375" style="2646" customWidth="1"/>
    <col min="9987" max="9987" width="1.109375" style="2646" customWidth="1"/>
    <col min="9988" max="9988" width="10" style="2646" customWidth="1"/>
    <col min="9989" max="9989" width="1.109375" style="2646" customWidth="1"/>
    <col min="9990" max="9990" width="9.109375" style="2646" customWidth="1"/>
    <col min="9991" max="9991" width="1.109375" style="2646" customWidth="1"/>
    <col min="9992" max="9992" width="11.109375" style="2646" customWidth="1"/>
    <col min="9993" max="9993" width="1.109375" style="2646" customWidth="1"/>
    <col min="9994" max="9994" width="9.109375" style="2646" customWidth="1"/>
    <col min="9995" max="9995" width="1.6640625" style="2646" customWidth="1"/>
    <col min="9996" max="9996" width="11" style="2646" customWidth="1"/>
    <col min="9997" max="9997" width="1.109375" style="2646" customWidth="1"/>
    <col min="9998" max="9998" width="10.6640625" style="2646" customWidth="1"/>
    <col min="9999" max="9999" width="1.109375" style="2646" customWidth="1"/>
    <col min="10000" max="10000" width="10" style="2646" customWidth="1"/>
    <col min="10001" max="10001" width="1.109375" style="2646" customWidth="1"/>
    <col min="10002" max="10002" width="9.109375" style="2646" customWidth="1"/>
    <col min="10003" max="10003" width="1.109375" style="2646" customWidth="1"/>
    <col min="10004" max="10004" width="7.6640625" style="2646" customWidth="1"/>
    <col min="10005" max="10005" width="1.109375" style="2646" customWidth="1"/>
    <col min="10006" max="10006" width="0.6640625" style="2646" customWidth="1"/>
    <col min="10007" max="10007" width="9.109375" style="2646" customWidth="1"/>
    <col min="10008" max="10008" width="1.109375" style="2646" customWidth="1"/>
    <col min="10009" max="10009" width="0.6640625" style="2646" customWidth="1"/>
    <col min="10010" max="10010" width="9.5546875" style="2646" bestFit="1" customWidth="1"/>
    <col min="10011" max="10012" width="0.6640625" style="2646" customWidth="1"/>
    <col min="10013" max="10013" width="9.6640625" style="2646" customWidth="1"/>
    <col min="10014" max="10014" width="1.109375" style="2646" customWidth="1"/>
    <col min="10015" max="10015" width="8.5546875" style="2646" customWidth="1"/>
    <col min="10016" max="10016" width="14.5546875" style="2646" customWidth="1"/>
    <col min="10017" max="10017" width="10" style="2646" customWidth="1"/>
    <col min="10018" max="10018" width="7.6640625" style="2646" bestFit="1" customWidth="1"/>
    <col min="10019" max="10019" width="9.6640625" style="2646" customWidth="1"/>
    <col min="10020" max="10236" width="8.6640625" style="2646"/>
    <col min="10237" max="10237" width="38.44140625" style="2646" customWidth="1"/>
    <col min="10238" max="10238" width="8.5546875" style="2646" customWidth="1"/>
    <col min="10239" max="10239" width="1.109375" style="2646" customWidth="1"/>
    <col min="10240" max="10240" width="8.6640625" style="2646" customWidth="1"/>
    <col min="10241" max="10241" width="1.109375" style="2646" customWidth="1"/>
    <col min="10242" max="10242" width="9.109375" style="2646" customWidth="1"/>
    <col min="10243" max="10243" width="1.109375" style="2646" customWidth="1"/>
    <col min="10244" max="10244" width="10" style="2646" customWidth="1"/>
    <col min="10245" max="10245" width="1.109375" style="2646" customWidth="1"/>
    <col min="10246" max="10246" width="9.109375" style="2646" customWidth="1"/>
    <col min="10247" max="10247" width="1.109375" style="2646" customWidth="1"/>
    <col min="10248" max="10248" width="11.109375" style="2646" customWidth="1"/>
    <col min="10249" max="10249" width="1.109375" style="2646" customWidth="1"/>
    <col min="10250" max="10250" width="9.109375" style="2646" customWidth="1"/>
    <col min="10251" max="10251" width="1.6640625" style="2646" customWidth="1"/>
    <col min="10252" max="10252" width="11" style="2646" customWidth="1"/>
    <col min="10253" max="10253" width="1.109375" style="2646" customWidth="1"/>
    <col min="10254" max="10254" width="10.6640625" style="2646" customWidth="1"/>
    <col min="10255" max="10255" width="1.109375" style="2646" customWidth="1"/>
    <col min="10256" max="10256" width="10" style="2646" customWidth="1"/>
    <col min="10257" max="10257" width="1.109375" style="2646" customWidth="1"/>
    <col min="10258" max="10258" width="9.109375" style="2646" customWidth="1"/>
    <col min="10259" max="10259" width="1.109375" style="2646" customWidth="1"/>
    <col min="10260" max="10260" width="7.6640625" style="2646" customWidth="1"/>
    <col min="10261" max="10261" width="1.109375" style="2646" customWidth="1"/>
    <col min="10262" max="10262" width="0.6640625" style="2646" customWidth="1"/>
    <col min="10263" max="10263" width="9.109375" style="2646" customWidth="1"/>
    <col min="10264" max="10264" width="1.109375" style="2646" customWidth="1"/>
    <col min="10265" max="10265" width="0.6640625" style="2646" customWidth="1"/>
    <col min="10266" max="10266" width="9.5546875" style="2646" bestFit="1" customWidth="1"/>
    <col min="10267" max="10268" width="0.6640625" style="2646" customWidth="1"/>
    <col min="10269" max="10269" width="9.6640625" style="2646" customWidth="1"/>
    <col min="10270" max="10270" width="1.109375" style="2646" customWidth="1"/>
    <col min="10271" max="10271" width="8.5546875" style="2646" customWidth="1"/>
    <col min="10272" max="10272" width="14.5546875" style="2646" customWidth="1"/>
    <col min="10273" max="10273" width="10" style="2646" customWidth="1"/>
    <col min="10274" max="10274" width="7.6640625" style="2646" bestFit="1" customWidth="1"/>
    <col min="10275" max="10275" width="9.6640625" style="2646" customWidth="1"/>
    <col min="10276" max="10492" width="8.6640625" style="2646"/>
    <col min="10493" max="10493" width="38.44140625" style="2646" customWidth="1"/>
    <col min="10494" max="10494" width="8.5546875" style="2646" customWidth="1"/>
    <col min="10495" max="10495" width="1.109375" style="2646" customWidth="1"/>
    <col min="10496" max="10496" width="8.6640625" style="2646" customWidth="1"/>
    <col min="10497" max="10497" width="1.109375" style="2646" customWidth="1"/>
    <col min="10498" max="10498" width="9.109375" style="2646" customWidth="1"/>
    <col min="10499" max="10499" width="1.109375" style="2646" customWidth="1"/>
    <col min="10500" max="10500" width="10" style="2646" customWidth="1"/>
    <col min="10501" max="10501" width="1.109375" style="2646" customWidth="1"/>
    <col min="10502" max="10502" width="9.109375" style="2646" customWidth="1"/>
    <col min="10503" max="10503" width="1.109375" style="2646" customWidth="1"/>
    <col min="10504" max="10504" width="11.109375" style="2646" customWidth="1"/>
    <col min="10505" max="10505" width="1.109375" style="2646" customWidth="1"/>
    <col min="10506" max="10506" width="9.109375" style="2646" customWidth="1"/>
    <col min="10507" max="10507" width="1.6640625" style="2646" customWidth="1"/>
    <col min="10508" max="10508" width="11" style="2646" customWidth="1"/>
    <col min="10509" max="10509" width="1.109375" style="2646" customWidth="1"/>
    <col min="10510" max="10510" width="10.6640625" style="2646" customWidth="1"/>
    <col min="10511" max="10511" width="1.109375" style="2646" customWidth="1"/>
    <col min="10512" max="10512" width="10" style="2646" customWidth="1"/>
    <col min="10513" max="10513" width="1.109375" style="2646" customWidth="1"/>
    <col min="10514" max="10514" width="9.109375" style="2646" customWidth="1"/>
    <col min="10515" max="10515" width="1.109375" style="2646" customWidth="1"/>
    <col min="10516" max="10516" width="7.6640625" style="2646" customWidth="1"/>
    <col min="10517" max="10517" width="1.109375" style="2646" customWidth="1"/>
    <col min="10518" max="10518" width="0.6640625" style="2646" customWidth="1"/>
    <col min="10519" max="10519" width="9.109375" style="2646" customWidth="1"/>
    <col min="10520" max="10520" width="1.109375" style="2646" customWidth="1"/>
    <col min="10521" max="10521" width="0.6640625" style="2646" customWidth="1"/>
    <col min="10522" max="10522" width="9.5546875" style="2646" bestFit="1" customWidth="1"/>
    <col min="10523" max="10524" width="0.6640625" style="2646" customWidth="1"/>
    <col min="10525" max="10525" width="9.6640625" style="2646" customWidth="1"/>
    <col min="10526" max="10526" width="1.109375" style="2646" customWidth="1"/>
    <col min="10527" max="10527" width="8.5546875" style="2646" customWidth="1"/>
    <col min="10528" max="10528" width="14.5546875" style="2646" customWidth="1"/>
    <col min="10529" max="10529" width="10" style="2646" customWidth="1"/>
    <col min="10530" max="10530" width="7.6640625" style="2646" bestFit="1" customWidth="1"/>
    <col min="10531" max="10531" width="9.6640625" style="2646" customWidth="1"/>
    <col min="10532" max="10748" width="8.6640625" style="2646"/>
    <col min="10749" max="10749" width="38.44140625" style="2646" customWidth="1"/>
    <col min="10750" max="10750" width="8.5546875" style="2646" customWidth="1"/>
    <col min="10751" max="10751" width="1.109375" style="2646" customWidth="1"/>
    <col min="10752" max="10752" width="8.6640625" style="2646" customWidth="1"/>
    <col min="10753" max="10753" width="1.109375" style="2646" customWidth="1"/>
    <col min="10754" max="10754" width="9.109375" style="2646" customWidth="1"/>
    <col min="10755" max="10755" width="1.109375" style="2646" customWidth="1"/>
    <col min="10756" max="10756" width="10" style="2646" customWidth="1"/>
    <col min="10757" max="10757" width="1.109375" style="2646" customWidth="1"/>
    <col min="10758" max="10758" width="9.109375" style="2646" customWidth="1"/>
    <col min="10759" max="10759" width="1.109375" style="2646" customWidth="1"/>
    <col min="10760" max="10760" width="11.109375" style="2646" customWidth="1"/>
    <col min="10761" max="10761" width="1.109375" style="2646" customWidth="1"/>
    <col min="10762" max="10762" width="9.109375" style="2646" customWidth="1"/>
    <col min="10763" max="10763" width="1.6640625" style="2646" customWidth="1"/>
    <col min="10764" max="10764" width="11" style="2646" customWidth="1"/>
    <col min="10765" max="10765" width="1.109375" style="2646" customWidth="1"/>
    <col min="10766" max="10766" width="10.6640625" style="2646" customWidth="1"/>
    <col min="10767" max="10767" width="1.109375" style="2646" customWidth="1"/>
    <col min="10768" max="10768" width="10" style="2646" customWidth="1"/>
    <col min="10769" max="10769" width="1.109375" style="2646" customWidth="1"/>
    <col min="10770" max="10770" width="9.109375" style="2646" customWidth="1"/>
    <col min="10771" max="10771" width="1.109375" style="2646" customWidth="1"/>
    <col min="10772" max="10772" width="7.6640625" style="2646" customWidth="1"/>
    <col min="10773" max="10773" width="1.109375" style="2646" customWidth="1"/>
    <col min="10774" max="10774" width="0.6640625" style="2646" customWidth="1"/>
    <col min="10775" max="10775" width="9.109375" style="2646" customWidth="1"/>
    <col min="10776" max="10776" width="1.109375" style="2646" customWidth="1"/>
    <col min="10777" max="10777" width="0.6640625" style="2646" customWidth="1"/>
    <col min="10778" max="10778" width="9.5546875" style="2646" bestFit="1" customWidth="1"/>
    <col min="10779" max="10780" width="0.6640625" style="2646" customWidth="1"/>
    <col min="10781" max="10781" width="9.6640625" style="2646" customWidth="1"/>
    <col min="10782" max="10782" width="1.109375" style="2646" customWidth="1"/>
    <col min="10783" max="10783" width="8.5546875" style="2646" customWidth="1"/>
    <col min="10784" max="10784" width="14.5546875" style="2646" customWidth="1"/>
    <col min="10785" max="10785" width="10" style="2646" customWidth="1"/>
    <col min="10786" max="10786" width="7.6640625" style="2646" bestFit="1" customWidth="1"/>
    <col min="10787" max="10787" width="9.6640625" style="2646" customWidth="1"/>
    <col min="10788" max="11004" width="8.6640625" style="2646"/>
    <col min="11005" max="11005" width="38.44140625" style="2646" customWidth="1"/>
    <col min="11006" max="11006" width="8.5546875" style="2646" customWidth="1"/>
    <col min="11007" max="11007" width="1.109375" style="2646" customWidth="1"/>
    <col min="11008" max="11008" width="8.6640625" style="2646" customWidth="1"/>
    <col min="11009" max="11009" width="1.109375" style="2646" customWidth="1"/>
    <col min="11010" max="11010" width="9.109375" style="2646" customWidth="1"/>
    <col min="11011" max="11011" width="1.109375" style="2646" customWidth="1"/>
    <col min="11012" max="11012" width="10" style="2646" customWidth="1"/>
    <col min="11013" max="11013" width="1.109375" style="2646" customWidth="1"/>
    <col min="11014" max="11014" width="9.109375" style="2646" customWidth="1"/>
    <col min="11015" max="11015" width="1.109375" style="2646" customWidth="1"/>
    <col min="11016" max="11016" width="11.109375" style="2646" customWidth="1"/>
    <col min="11017" max="11017" width="1.109375" style="2646" customWidth="1"/>
    <col min="11018" max="11018" width="9.109375" style="2646" customWidth="1"/>
    <col min="11019" max="11019" width="1.6640625" style="2646" customWidth="1"/>
    <col min="11020" max="11020" width="11" style="2646" customWidth="1"/>
    <col min="11021" max="11021" width="1.109375" style="2646" customWidth="1"/>
    <col min="11022" max="11022" width="10.6640625" style="2646" customWidth="1"/>
    <col min="11023" max="11023" width="1.109375" style="2646" customWidth="1"/>
    <col min="11024" max="11024" width="10" style="2646" customWidth="1"/>
    <col min="11025" max="11025" width="1.109375" style="2646" customWidth="1"/>
    <col min="11026" max="11026" width="9.109375" style="2646" customWidth="1"/>
    <col min="11027" max="11027" width="1.109375" style="2646" customWidth="1"/>
    <col min="11028" max="11028" width="7.6640625" style="2646" customWidth="1"/>
    <col min="11029" max="11029" width="1.109375" style="2646" customWidth="1"/>
    <col min="11030" max="11030" width="0.6640625" style="2646" customWidth="1"/>
    <col min="11031" max="11031" width="9.109375" style="2646" customWidth="1"/>
    <col min="11032" max="11032" width="1.109375" style="2646" customWidth="1"/>
    <col min="11033" max="11033" width="0.6640625" style="2646" customWidth="1"/>
    <col min="11034" max="11034" width="9.5546875" style="2646" bestFit="1" customWidth="1"/>
    <col min="11035" max="11036" width="0.6640625" style="2646" customWidth="1"/>
    <col min="11037" max="11037" width="9.6640625" style="2646" customWidth="1"/>
    <col min="11038" max="11038" width="1.109375" style="2646" customWidth="1"/>
    <col min="11039" max="11039" width="8.5546875" style="2646" customWidth="1"/>
    <col min="11040" max="11040" width="14.5546875" style="2646" customWidth="1"/>
    <col min="11041" max="11041" width="10" style="2646" customWidth="1"/>
    <col min="11042" max="11042" width="7.6640625" style="2646" bestFit="1" customWidth="1"/>
    <col min="11043" max="11043" width="9.6640625" style="2646" customWidth="1"/>
    <col min="11044" max="11260" width="8.6640625" style="2646"/>
    <col min="11261" max="11261" width="38.44140625" style="2646" customWidth="1"/>
    <col min="11262" max="11262" width="8.5546875" style="2646" customWidth="1"/>
    <col min="11263" max="11263" width="1.109375" style="2646" customWidth="1"/>
    <col min="11264" max="11264" width="8.6640625" style="2646" customWidth="1"/>
    <col min="11265" max="11265" width="1.109375" style="2646" customWidth="1"/>
    <col min="11266" max="11266" width="9.109375" style="2646" customWidth="1"/>
    <col min="11267" max="11267" width="1.109375" style="2646" customWidth="1"/>
    <col min="11268" max="11268" width="10" style="2646" customWidth="1"/>
    <col min="11269" max="11269" width="1.109375" style="2646" customWidth="1"/>
    <col min="11270" max="11270" width="9.109375" style="2646" customWidth="1"/>
    <col min="11271" max="11271" width="1.109375" style="2646" customWidth="1"/>
    <col min="11272" max="11272" width="11.109375" style="2646" customWidth="1"/>
    <col min="11273" max="11273" width="1.109375" style="2646" customWidth="1"/>
    <col min="11274" max="11274" width="9.109375" style="2646" customWidth="1"/>
    <col min="11275" max="11275" width="1.6640625" style="2646" customWidth="1"/>
    <col min="11276" max="11276" width="11" style="2646" customWidth="1"/>
    <col min="11277" max="11277" width="1.109375" style="2646" customWidth="1"/>
    <col min="11278" max="11278" width="10.6640625" style="2646" customWidth="1"/>
    <col min="11279" max="11279" width="1.109375" style="2646" customWidth="1"/>
    <col min="11280" max="11280" width="10" style="2646" customWidth="1"/>
    <col min="11281" max="11281" width="1.109375" style="2646" customWidth="1"/>
    <col min="11282" max="11282" width="9.109375" style="2646" customWidth="1"/>
    <col min="11283" max="11283" width="1.109375" style="2646" customWidth="1"/>
    <col min="11284" max="11284" width="7.6640625" style="2646" customWidth="1"/>
    <col min="11285" max="11285" width="1.109375" style="2646" customWidth="1"/>
    <col min="11286" max="11286" width="0.6640625" style="2646" customWidth="1"/>
    <col min="11287" max="11287" width="9.109375" style="2646" customWidth="1"/>
    <col min="11288" max="11288" width="1.109375" style="2646" customWidth="1"/>
    <col min="11289" max="11289" width="0.6640625" style="2646" customWidth="1"/>
    <col min="11290" max="11290" width="9.5546875" style="2646" bestFit="1" customWidth="1"/>
    <col min="11291" max="11292" width="0.6640625" style="2646" customWidth="1"/>
    <col min="11293" max="11293" width="9.6640625" style="2646" customWidth="1"/>
    <col min="11294" max="11294" width="1.109375" style="2646" customWidth="1"/>
    <col min="11295" max="11295" width="8.5546875" style="2646" customWidth="1"/>
    <col min="11296" max="11296" width="14.5546875" style="2646" customWidth="1"/>
    <col min="11297" max="11297" width="10" style="2646" customWidth="1"/>
    <col min="11298" max="11298" width="7.6640625" style="2646" bestFit="1" customWidth="1"/>
    <col min="11299" max="11299" width="9.6640625" style="2646" customWidth="1"/>
    <col min="11300" max="11516" width="8.6640625" style="2646"/>
    <col min="11517" max="11517" width="38.44140625" style="2646" customWidth="1"/>
    <col min="11518" max="11518" width="8.5546875" style="2646" customWidth="1"/>
    <col min="11519" max="11519" width="1.109375" style="2646" customWidth="1"/>
    <col min="11520" max="11520" width="8.6640625" style="2646" customWidth="1"/>
    <col min="11521" max="11521" width="1.109375" style="2646" customWidth="1"/>
    <col min="11522" max="11522" width="9.109375" style="2646" customWidth="1"/>
    <col min="11523" max="11523" width="1.109375" style="2646" customWidth="1"/>
    <col min="11524" max="11524" width="10" style="2646" customWidth="1"/>
    <col min="11525" max="11525" width="1.109375" style="2646" customWidth="1"/>
    <col min="11526" max="11526" width="9.109375" style="2646" customWidth="1"/>
    <col min="11527" max="11527" width="1.109375" style="2646" customWidth="1"/>
    <col min="11528" max="11528" width="11.109375" style="2646" customWidth="1"/>
    <col min="11529" max="11529" width="1.109375" style="2646" customWidth="1"/>
    <col min="11530" max="11530" width="9.109375" style="2646" customWidth="1"/>
    <col min="11531" max="11531" width="1.6640625" style="2646" customWidth="1"/>
    <col min="11532" max="11532" width="11" style="2646" customWidth="1"/>
    <col min="11533" max="11533" width="1.109375" style="2646" customWidth="1"/>
    <col min="11534" max="11534" width="10.6640625" style="2646" customWidth="1"/>
    <col min="11535" max="11535" width="1.109375" style="2646" customWidth="1"/>
    <col min="11536" max="11536" width="10" style="2646" customWidth="1"/>
    <col min="11537" max="11537" width="1.109375" style="2646" customWidth="1"/>
    <col min="11538" max="11538" width="9.109375" style="2646" customWidth="1"/>
    <col min="11539" max="11539" width="1.109375" style="2646" customWidth="1"/>
    <col min="11540" max="11540" width="7.6640625" style="2646" customWidth="1"/>
    <col min="11541" max="11541" width="1.109375" style="2646" customWidth="1"/>
    <col min="11542" max="11542" width="0.6640625" style="2646" customWidth="1"/>
    <col min="11543" max="11543" width="9.109375" style="2646" customWidth="1"/>
    <col min="11544" max="11544" width="1.109375" style="2646" customWidth="1"/>
    <col min="11545" max="11545" width="0.6640625" style="2646" customWidth="1"/>
    <col min="11546" max="11546" width="9.5546875" style="2646" bestFit="1" customWidth="1"/>
    <col min="11547" max="11548" width="0.6640625" style="2646" customWidth="1"/>
    <col min="11549" max="11549" width="9.6640625" style="2646" customWidth="1"/>
    <col min="11550" max="11550" width="1.109375" style="2646" customWidth="1"/>
    <col min="11551" max="11551" width="8.5546875" style="2646" customWidth="1"/>
    <col min="11552" max="11552" width="14.5546875" style="2646" customWidth="1"/>
    <col min="11553" max="11553" width="10" style="2646" customWidth="1"/>
    <col min="11554" max="11554" width="7.6640625" style="2646" bestFit="1" customWidth="1"/>
    <col min="11555" max="11555" width="9.6640625" style="2646" customWidth="1"/>
    <col min="11556" max="11772" width="8.6640625" style="2646"/>
    <col min="11773" max="11773" width="38.44140625" style="2646" customWidth="1"/>
    <col min="11774" max="11774" width="8.5546875" style="2646" customWidth="1"/>
    <col min="11775" max="11775" width="1.109375" style="2646" customWidth="1"/>
    <col min="11776" max="11776" width="8.6640625" style="2646" customWidth="1"/>
    <col min="11777" max="11777" width="1.109375" style="2646" customWidth="1"/>
    <col min="11778" max="11778" width="9.109375" style="2646" customWidth="1"/>
    <col min="11779" max="11779" width="1.109375" style="2646" customWidth="1"/>
    <col min="11780" max="11780" width="10" style="2646" customWidth="1"/>
    <col min="11781" max="11781" width="1.109375" style="2646" customWidth="1"/>
    <col min="11782" max="11782" width="9.109375" style="2646" customWidth="1"/>
    <col min="11783" max="11783" width="1.109375" style="2646" customWidth="1"/>
    <col min="11784" max="11784" width="11.109375" style="2646" customWidth="1"/>
    <col min="11785" max="11785" width="1.109375" style="2646" customWidth="1"/>
    <col min="11786" max="11786" width="9.109375" style="2646" customWidth="1"/>
    <col min="11787" max="11787" width="1.6640625" style="2646" customWidth="1"/>
    <col min="11788" max="11788" width="11" style="2646" customWidth="1"/>
    <col min="11789" max="11789" width="1.109375" style="2646" customWidth="1"/>
    <col min="11790" max="11790" width="10.6640625" style="2646" customWidth="1"/>
    <col min="11791" max="11791" width="1.109375" style="2646" customWidth="1"/>
    <col min="11792" max="11792" width="10" style="2646" customWidth="1"/>
    <col min="11793" max="11793" width="1.109375" style="2646" customWidth="1"/>
    <col min="11794" max="11794" width="9.109375" style="2646" customWidth="1"/>
    <col min="11795" max="11795" width="1.109375" style="2646" customWidth="1"/>
    <col min="11796" max="11796" width="7.6640625" style="2646" customWidth="1"/>
    <col min="11797" max="11797" width="1.109375" style="2646" customWidth="1"/>
    <col min="11798" max="11798" width="0.6640625" style="2646" customWidth="1"/>
    <col min="11799" max="11799" width="9.109375" style="2646" customWidth="1"/>
    <col min="11800" max="11800" width="1.109375" style="2646" customWidth="1"/>
    <col min="11801" max="11801" width="0.6640625" style="2646" customWidth="1"/>
    <col min="11802" max="11802" width="9.5546875" style="2646" bestFit="1" customWidth="1"/>
    <col min="11803" max="11804" width="0.6640625" style="2646" customWidth="1"/>
    <col min="11805" max="11805" width="9.6640625" style="2646" customWidth="1"/>
    <col min="11806" max="11806" width="1.109375" style="2646" customWidth="1"/>
    <col min="11807" max="11807" width="8.5546875" style="2646" customWidth="1"/>
    <col min="11808" max="11808" width="14.5546875" style="2646" customWidth="1"/>
    <col min="11809" max="11809" width="10" style="2646" customWidth="1"/>
    <col min="11810" max="11810" width="7.6640625" style="2646" bestFit="1" customWidth="1"/>
    <col min="11811" max="11811" width="9.6640625" style="2646" customWidth="1"/>
    <col min="11812" max="12028" width="8.6640625" style="2646"/>
    <col min="12029" max="12029" width="38.44140625" style="2646" customWidth="1"/>
    <col min="12030" max="12030" width="8.5546875" style="2646" customWidth="1"/>
    <col min="12031" max="12031" width="1.109375" style="2646" customWidth="1"/>
    <col min="12032" max="12032" width="8.6640625" style="2646" customWidth="1"/>
    <col min="12033" max="12033" width="1.109375" style="2646" customWidth="1"/>
    <col min="12034" max="12034" width="9.109375" style="2646" customWidth="1"/>
    <col min="12035" max="12035" width="1.109375" style="2646" customWidth="1"/>
    <col min="12036" max="12036" width="10" style="2646" customWidth="1"/>
    <col min="12037" max="12037" width="1.109375" style="2646" customWidth="1"/>
    <col min="12038" max="12038" width="9.109375" style="2646" customWidth="1"/>
    <col min="12039" max="12039" width="1.109375" style="2646" customWidth="1"/>
    <col min="12040" max="12040" width="11.109375" style="2646" customWidth="1"/>
    <col min="12041" max="12041" width="1.109375" style="2646" customWidth="1"/>
    <col min="12042" max="12042" width="9.109375" style="2646" customWidth="1"/>
    <col min="12043" max="12043" width="1.6640625" style="2646" customWidth="1"/>
    <col min="12044" max="12044" width="11" style="2646" customWidth="1"/>
    <col min="12045" max="12045" width="1.109375" style="2646" customWidth="1"/>
    <col min="12046" max="12046" width="10.6640625" style="2646" customWidth="1"/>
    <col min="12047" max="12047" width="1.109375" style="2646" customWidth="1"/>
    <col min="12048" max="12048" width="10" style="2646" customWidth="1"/>
    <col min="12049" max="12049" width="1.109375" style="2646" customWidth="1"/>
    <col min="12050" max="12050" width="9.109375" style="2646" customWidth="1"/>
    <col min="12051" max="12051" width="1.109375" style="2646" customWidth="1"/>
    <col min="12052" max="12052" width="7.6640625" style="2646" customWidth="1"/>
    <col min="12053" max="12053" width="1.109375" style="2646" customWidth="1"/>
    <col min="12054" max="12054" width="0.6640625" style="2646" customWidth="1"/>
    <col min="12055" max="12055" width="9.109375" style="2646" customWidth="1"/>
    <col min="12056" max="12056" width="1.109375" style="2646" customWidth="1"/>
    <col min="12057" max="12057" width="0.6640625" style="2646" customWidth="1"/>
    <col min="12058" max="12058" width="9.5546875" style="2646" bestFit="1" customWidth="1"/>
    <col min="12059" max="12060" width="0.6640625" style="2646" customWidth="1"/>
    <col min="12061" max="12061" width="9.6640625" style="2646" customWidth="1"/>
    <col min="12062" max="12062" width="1.109375" style="2646" customWidth="1"/>
    <col min="12063" max="12063" width="8.5546875" style="2646" customWidth="1"/>
    <col min="12064" max="12064" width="14.5546875" style="2646" customWidth="1"/>
    <col min="12065" max="12065" width="10" style="2646" customWidth="1"/>
    <col min="12066" max="12066" width="7.6640625" style="2646" bestFit="1" customWidth="1"/>
    <col min="12067" max="12067" width="9.6640625" style="2646" customWidth="1"/>
    <col min="12068" max="12284" width="8.6640625" style="2646"/>
    <col min="12285" max="12285" width="38.44140625" style="2646" customWidth="1"/>
    <col min="12286" max="12286" width="8.5546875" style="2646" customWidth="1"/>
    <col min="12287" max="12287" width="1.109375" style="2646" customWidth="1"/>
    <col min="12288" max="12288" width="8.6640625" style="2646" customWidth="1"/>
    <col min="12289" max="12289" width="1.109375" style="2646" customWidth="1"/>
    <col min="12290" max="12290" width="9.109375" style="2646" customWidth="1"/>
    <col min="12291" max="12291" width="1.109375" style="2646" customWidth="1"/>
    <col min="12292" max="12292" width="10" style="2646" customWidth="1"/>
    <col min="12293" max="12293" width="1.109375" style="2646" customWidth="1"/>
    <col min="12294" max="12294" width="9.109375" style="2646" customWidth="1"/>
    <col min="12295" max="12295" width="1.109375" style="2646" customWidth="1"/>
    <col min="12296" max="12296" width="11.109375" style="2646" customWidth="1"/>
    <col min="12297" max="12297" width="1.109375" style="2646" customWidth="1"/>
    <col min="12298" max="12298" width="9.109375" style="2646" customWidth="1"/>
    <col min="12299" max="12299" width="1.6640625" style="2646" customWidth="1"/>
    <col min="12300" max="12300" width="11" style="2646" customWidth="1"/>
    <col min="12301" max="12301" width="1.109375" style="2646" customWidth="1"/>
    <col min="12302" max="12302" width="10.6640625" style="2646" customWidth="1"/>
    <col min="12303" max="12303" width="1.109375" style="2646" customWidth="1"/>
    <col min="12304" max="12304" width="10" style="2646" customWidth="1"/>
    <col min="12305" max="12305" width="1.109375" style="2646" customWidth="1"/>
    <col min="12306" max="12306" width="9.109375" style="2646" customWidth="1"/>
    <col min="12307" max="12307" width="1.109375" style="2646" customWidth="1"/>
    <col min="12308" max="12308" width="7.6640625" style="2646" customWidth="1"/>
    <col min="12309" max="12309" width="1.109375" style="2646" customWidth="1"/>
    <col min="12310" max="12310" width="0.6640625" style="2646" customWidth="1"/>
    <col min="12311" max="12311" width="9.109375" style="2646" customWidth="1"/>
    <col min="12312" max="12312" width="1.109375" style="2646" customWidth="1"/>
    <col min="12313" max="12313" width="0.6640625" style="2646" customWidth="1"/>
    <col min="12314" max="12314" width="9.5546875" style="2646" bestFit="1" customWidth="1"/>
    <col min="12315" max="12316" width="0.6640625" style="2646" customWidth="1"/>
    <col min="12317" max="12317" width="9.6640625" style="2646" customWidth="1"/>
    <col min="12318" max="12318" width="1.109375" style="2646" customWidth="1"/>
    <col min="12319" max="12319" width="8.5546875" style="2646" customWidth="1"/>
    <col min="12320" max="12320" width="14.5546875" style="2646" customWidth="1"/>
    <col min="12321" max="12321" width="10" style="2646" customWidth="1"/>
    <col min="12322" max="12322" width="7.6640625" style="2646" bestFit="1" customWidth="1"/>
    <col min="12323" max="12323" width="9.6640625" style="2646" customWidth="1"/>
    <col min="12324" max="12540" width="8.6640625" style="2646"/>
    <col min="12541" max="12541" width="38.44140625" style="2646" customWidth="1"/>
    <col min="12542" max="12542" width="8.5546875" style="2646" customWidth="1"/>
    <col min="12543" max="12543" width="1.109375" style="2646" customWidth="1"/>
    <col min="12544" max="12544" width="8.6640625" style="2646" customWidth="1"/>
    <col min="12545" max="12545" width="1.109375" style="2646" customWidth="1"/>
    <col min="12546" max="12546" width="9.109375" style="2646" customWidth="1"/>
    <col min="12547" max="12547" width="1.109375" style="2646" customWidth="1"/>
    <col min="12548" max="12548" width="10" style="2646" customWidth="1"/>
    <col min="12549" max="12549" width="1.109375" style="2646" customWidth="1"/>
    <col min="12550" max="12550" width="9.109375" style="2646" customWidth="1"/>
    <col min="12551" max="12551" width="1.109375" style="2646" customWidth="1"/>
    <col min="12552" max="12552" width="11.109375" style="2646" customWidth="1"/>
    <col min="12553" max="12553" width="1.109375" style="2646" customWidth="1"/>
    <col min="12554" max="12554" width="9.109375" style="2646" customWidth="1"/>
    <col min="12555" max="12555" width="1.6640625" style="2646" customWidth="1"/>
    <col min="12556" max="12556" width="11" style="2646" customWidth="1"/>
    <col min="12557" max="12557" width="1.109375" style="2646" customWidth="1"/>
    <col min="12558" max="12558" width="10.6640625" style="2646" customWidth="1"/>
    <col min="12559" max="12559" width="1.109375" style="2646" customWidth="1"/>
    <col min="12560" max="12560" width="10" style="2646" customWidth="1"/>
    <col min="12561" max="12561" width="1.109375" style="2646" customWidth="1"/>
    <col min="12562" max="12562" width="9.109375" style="2646" customWidth="1"/>
    <col min="12563" max="12563" width="1.109375" style="2646" customWidth="1"/>
    <col min="12564" max="12564" width="7.6640625" style="2646" customWidth="1"/>
    <col min="12565" max="12565" width="1.109375" style="2646" customWidth="1"/>
    <col min="12566" max="12566" width="0.6640625" style="2646" customWidth="1"/>
    <col min="12567" max="12567" width="9.109375" style="2646" customWidth="1"/>
    <col min="12568" max="12568" width="1.109375" style="2646" customWidth="1"/>
    <col min="12569" max="12569" width="0.6640625" style="2646" customWidth="1"/>
    <col min="12570" max="12570" width="9.5546875" style="2646" bestFit="1" customWidth="1"/>
    <col min="12571" max="12572" width="0.6640625" style="2646" customWidth="1"/>
    <col min="12573" max="12573" width="9.6640625" style="2646" customWidth="1"/>
    <col min="12574" max="12574" width="1.109375" style="2646" customWidth="1"/>
    <col min="12575" max="12575" width="8.5546875" style="2646" customWidth="1"/>
    <col min="12576" max="12576" width="14.5546875" style="2646" customWidth="1"/>
    <col min="12577" max="12577" width="10" style="2646" customWidth="1"/>
    <col min="12578" max="12578" width="7.6640625" style="2646" bestFit="1" customWidth="1"/>
    <col min="12579" max="12579" width="9.6640625" style="2646" customWidth="1"/>
    <col min="12580" max="12796" width="8.6640625" style="2646"/>
    <col min="12797" max="12797" width="38.44140625" style="2646" customWidth="1"/>
    <col min="12798" max="12798" width="8.5546875" style="2646" customWidth="1"/>
    <col min="12799" max="12799" width="1.109375" style="2646" customWidth="1"/>
    <col min="12800" max="12800" width="8.6640625" style="2646" customWidth="1"/>
    <col min="12801" max="12801" width="1.109375" style="2646" customWidth="1"/>
    <col min="12802" max="12802" width="9.109375" style="2646" customWidth="1"/>
    <col min="12803" max="12803" width="1.109375" style="2646" customWidth="1"/>
    <col min="12804" max="12804" width="10" style="2646" customWidth="1"/>
    <col min="12805" max="12805" width="1.109375" style="2646" customWidth="1"/>
    <col min="12806" max="12806" width="9.109375" style="2646" customWidth="1"/>
    <col min="12807" max="12807" width="1.109375" style="2646" customWidth="1"/>
    <col min="12808" max="12808" width="11.109375" style="2646" customWidth="1"/>
    <col min="12809" max="12809" width="1.109375" style="2646" customWidth="1"/>
    <col min="12810" max="12810" width="9.109375" style="2646" customWidth="1"/>
    <col min="12811" max="12811" width="1.6640625" style="2646" customWidth="1"/>
    <col min="12812" max="12812" width="11" style="2646" customWidth="1"/>
    <col min="12813" max="12813" width="1.109375" style="2646" customWidth="1"/>
    <col min="12814" max="12814" width="10.6640625" style="2646" customWidth="1"/>
    <col min="12815" max="12815" width="1.109375" style="2646" customWidth="1"/>
    <col min="12816" max="12816" width="10" style="2646" customWidth="1"/>
    <col min="12817" max="12817" width="1.109375" style="2646" customWidth="1"/>
    <col min="12818" max="12818" width="9.109375" style="2646" customWidth="1"/>
    <col min="12819" max="12819" width="1.109375" style="2646" customWidth="1"/>
    <col min="12820" max="12820" width="7.6640625" style="2646" customWidth="1"/>
    <col min="12821" max="12821" width="1.109375" style="2646" customWidth="1"/>
    <col min="12822" max="12822" width="0.6640625" style="2646" customWidth="1"/>
    <col min="12823" max="12823" width="9.109375" style="2646" customWidth="1"/>
    <col min="12824" max="12824" width="1.109375" style="2646" customWidth="1"/>
    <col min="12825" max="12825" width="0.6640625" style="2646" customWidth="1"/>
    <col min="12826" max="12826" width="9.5546875" style="2646" bestFit="1" customWidth="1"/>
    <col min="12827" max="12828" width="0.6640625" style="2646" customWidth="1"/>
    <col min="12829" max="12829" width="9.6640625" style="2646" customWidth="1"/>
    <col min="12830" max="12830" width="1.109375" style="2646" customWidth="1"/>
    <col min="12831" max="12831" width="8.5546875" style="2646" customWidth="1"/>
    <col min="12832" max="12832" width="14.5546875" style="2646" customWidth="1"/>
    <col min="12833" max="12833" width="10" style="2646" customWidth="1"/>
    <col min="12834" max="12834" width="7.6640625" style="2646" bestFit="1" customWidth="1"/>
    <col min="12835" max="12835" width="9.6640625" style="2646" customWidth="1"/>
    <col min="12836" max="13052" width="8.6640625" style="2646"/>
    <col min="13053" max="13053" width="38.44140625" style="2646" customWidth="1"/>
    <col min="13054" max="13054" width="8.5546875" style="2646" customWidth="1"/>
    <col min="13055" max="13055" width="1.109375" style="2646" customWidth="1"/>
    <col min="13056" max="13056" width="8.6640625" style="2646" customWidth="1"/>
    <col min="13057" max="13057" width="1.109375" style="2646" customWidth="1"/>
    <col min="13058" max="13058" width="9.109375" style="2646" customWidth="1"/>
    <col min="13059" max="13059" width="1.109375" style="2646" customWidth="1"/>
    <col min="13060" max="13060" width="10" style="2646" customWidth="1"/>
    <col min="13061" max="13061" width="1.109375" style="2646" customWidth="1"/>
    <col min="13062" max="13062" width="9.109375" style="2646" customWidth="1"/>
    <col min="13063" max="13063" width="1.109375" style="2646" customWidth="1"/>
    <col min="13064" max="13064" width="11.109375" style="2646" customWidth="1"/>
    <col min="13065" max="13065" width="1.109375" style="2646" customWidth="1"/>
    <col min="13066" max="13066" width="9.109375" style="2646" customWidth="1"/>
    <col min="13067" max="13067" width="1.6640625" style="2646" customWidth="1"/>
    <col min="13068" max="13068" width="11" style="2646" customWidth="1"/>
    <col min="13069" max="13069" width="1.109375" style="2646" customWidth="1"/>
    <col min="13070" max="13070" width="10.6640625" style="2646" customWidth="1"/>
    <col min="13071" max="13071" width="1.109375" style="2646" customWidth="1"/>
    <col min="13072" max="13072" width="10" style="2646" customWidth="1"/>
    <col min="13073" max="13073" width="1.109375" style="2646" customWidth="1"/>
    <col min="13074" max="13074" width="9.109375" style="2646" customWidth="1"/>
    <col min="13075" max="13075" width="1.109375" style="2646" customWidth="1"/>
    <col min="13076" max="13076" width="7.6640625" style="2646" customWidth="1"/>
    <col min="13077" max="13077" width="1.109375" style="2646" customWidth="1"/>
    <col min="13078" max="13078" width="0.6640625" style="2646" customWidth="1"/>
    <col min="13079" max="13079" width="9.109375" style="2646" customWidth="1"/>
    <col min="13080" max="13080" width="1.109375" style="2646" customWidth="1"/>
    <col min="13081" max="13081" width="0.6640625" style="2646" customWidth="1"/>
    <col min="13082" max="13082" width="9.5546875" style="2646" bestFit="1" customWidth="1"/>
    <col min="13083" max="13084" width="0.6640625" style="2646" customWidth="1"/>
    <col min="13085" max="13085" width="9.6640625" style="2646" customWidth="1"/>
    <col min="13086" max="13086" width="1.109375" style="2646" customWidth="1"/>
    <col min="13087" max="13087" width="8.5546875" style="2646" customWidth="1"/>
    <col min="13088" max="13088" width="14.5546875" style="2646" customWidth="1"/>
    <col min="13089" max="13089" width="10" style="2646" customWidth="1"/>
    <col min="13090" max="13090" width="7.6640625" style="2646" bestFit="1" customWidth="1"/>
    <col min="13091" max="13091" width="9.6640625" style="2646" customWidth="1"/>
    <col min="13092" max="13308" width="8.6640625" style="2646"/>
    <col min="13309" max="13309" width="38.44140625" style="2646" customWidth="1"/>
    <col min="13310" max="13310" width="8.5546875" style="2646" customWidth="1"/>
    <col min="13311" max="13311" width="1.109375" style="2646" customWidth="1"/>
    <col min="13312" max="13312" width="8.6640625" style="2646" customWidth="1"/>
    <col min="13313" max="13313" width="1.109375" style="2646" customWidth="1"/>
    <col min="13314" max="13314" width="9.109375" style="2646" customWidth="1"/>
    <col min="13315" max="13315" width="1.109375" style="2646" customWidth="1"/>
    <col min="13316" max="13316" width="10" style="2646" customWidth="1"/>
    <col min="13317" max="13317" width="1.109375" style="2646" customWidth="1"/>
    <col min="13318" max="13318" width="9.109375" style="2646" customWidth="1"/>
    <col min="13319" max="13319" width="1.109375" style="2646" customWidth="1"/>
    <col min="13320" max="13320" width="11.109375" style="2646" customWidth="1"/>
    <col min="13321" max="13321" width="1.109375" style="2646" customWidth="1"/>
    <col min="13322" max="13322" width="9.109375" style="2646" customWidth="1"/>
    <col min="13323" max="13323" width="1.6640625" style="2646" customWidth="1"/>
    <col min="13324" max="13324" width="11" style="2646" customWidth="1"/>
    <col min="13325" max="13325" width="1.109375" style="2646" customWidth="1"/>
    <col min="13326" max="13326" width="10.6640625" style="2646" customWidth="1"/>
    <col min="13327" max="13327" width="1.109375" style="2646" customWidth="1"/>
    <col min="13328" max="13328" width="10" style="2646" customWidth="1"/>
    <col min="13329" max="13329" width="1.109375" style="2646" customWidth="1"/>
    <col min="13330" max="13330" width="9.109375" style="2646" customWidth="1"/>
    <col min="13331" max="13331" width="1.109375" style="2646" customWidth="1"/>
    <col min="13332" max="13332" width="7.6640625" style="2646" customWidth="1"/>
    <col min="13333" max="13333" width="1.109375" style="2646" customWidth="1"/>
    <col min="13334" max="13334" width="0.6640625" style="2646" customWidth="1"/>
    <col min="13335" max="13335" width="9.109375" style="2646" customWidth="1"/>
    <col min="13336" max="13336" width="1.109375" style="2646" customWidth="1"/>
    <col min="13337" max="13337" width="0.6640625" style="2646" customWidth="1"/>
    <col min="13338" max="13338" width="9.5546875" style="2646" bestFit="1" customWidth="1"/>
    <col min="13339" max="13340" width="0.6640625" style="2646" customWidth="1"/>
    <col min="13341" max="13341" width="9.6640625" style="2646" customWidth="1"/>
    <col min="13342" max="13342" width="1.109375" style="2646" customWidth="1"/>
    <col min="13343" max="13343" width="8.5546875" style="2646" customWidth="1"/>
    <col min="13344" max="13344" width="14.5546875" style="2646" customWidth="1"/>
    <col min="13345" max="13345" width="10" style="2646" customWidth="1"/>
    <col min="13346" max="13346" width="7.6640625" style="2646" bestFit="1" customWidth="1"/>
    <col min="13347" max="13347" width="9.6640625" style="2646" customWidth="1"/>
    <col min="13348" max="13564" width="8.6640625" style="2646"/>
    <col min="13565" max="13565" width="38.44140625" style="2646" customWidth="1"/>
    <col min="13566" max="13566" width="8.5546875" style="2646" customWidth="1"/>
    <col min="13567" max="13567" width="1.109375" style="2646" customWidth="1"/>
    <col min="13568" max="13568" width="8.6640625" style="2646" customWidth="1"/>
    <col min="13569" max="13569" width="1.109375" style="2646" customWidth="1"/>
    <col min="13570" max="13570" width="9.109375" style="2646" customWidth="1"/>
    <col min="13571" max="13571" width="1.109375" style="2646" customWidth="1"/>
    <col min="13572" max="13572" width="10" style="2646" customWidth="1"/>
    <col min="13573" max="13573" width="1.109375" style="2646" customWidth="1"/>
    <col min="13574" max="13574" width="9.109375" style="2646" customWidth="1"/>
    <col min="13575" max="13575" width="1.109375" style="2646" customWidth="1"/>
    <col min="13576" max="13576" width="11.109375" style="2646" customWidth="1"/>
    <col min="13577" max="13577" width="1.109375" style="2646" customWidth="1"/>
    <col min="13578" max="13578" width="9.109375" style="2646" customWidth="1"/>
    <col min="13579" max="13579" width="1.6640625" style="2646" customWidth="1"/>
    <col min="13580" max="13580" width="11" style="2646" customWidth="1"/>
    <col min="13581" max="13581" width="1.109375" style="2646" customWidth="1"/>
    <col min="13582" max="13582" width="10.6640625" style="2646" customWidth="1"/>
    <col min="13583" max="13583" width="1.109375" style="2646" customWidth="1"/>
    <col min="13584" max="13584" width="10" style="2646" customWidth="1"/>
    <col min="13585" max="13585" width="1.109375" style="2646" customWidth="1"/>
    <col min="13586" max="13586" width="9.109375" style="2646" customWidth="1"/>
    <col min="13587" max="13587" width="1.109375" style="2646" customWidth="1"/>
    <col min="13588" max="13588" width="7.6640625" style="2646" customWidth="1"/>
    <col min="13589" max="13589" width="1.109375" style="2646" customWidth="1"/>
    <col min="13590" max="13590" width="0.6640625" style="2646" customWidth="1"/>
    <col min="13591" max="13591" width="9.109375" style="2646" customWidth="1"/>
    <col min="13592" max="13592" width="1.109375" style="2646" customWidth="1"/>
    <col min="13593" max="13593" width="0.6640625" style="2646" customWidth="1"/>
    <col min="13594" max="13594" width="9.5546875" style="2646" bestFit="1" customWidth="1"/>
    <col min="13595" max="13596" width="0.6640625" style="2646" customWidth="1"/>
    <col min="13597" max="13597" width="9.6640625" style="2646" customWidth="1"/>
    <col min="13598" max="13598" width="1.109375" style="2646" customWidth="1"/>
    <col min="13599" max="13599" width="8.5546875" style="2646" customWidth="1"/>
    <col min="13600" max="13600" width="14.5546875" style="2646" customWidth="1"/>
    <col min="13601" max="13601" width="10" style="2646" customWidth="1"/>
    <col min="13602" max="13602" width="7.6640625" style="2646" bestFit="1" customWidth="1"/>
    <col min="13603" max="13603" width="9.6640625" style="2646" customWidth="1"/>
    <col min="13604" max="13820" width="8.6640625" style="2646"/>
    <col min="13821" max="13821" width="38.44140625" style="2646" customWidth="1"/>
    <col min="13822" max="13822" width="8.5546875" style="2646" customWidth="1"/>
    <col min="13823" max="13823" width="1.109375" style="2646" customWidth="1"/>
    <col min="13824" max="13824" width="8.6640625" style="2646" customWidth="1"/>
    <col min="13825" max="13825" width="1.109375" style="2646" customWidth="1"/>
    <col min="13826" max="13826" width="9.109375" style="2646" customWidth="1"/>
    <col min="13827" max="13827" width="1.109375" style="2646" customWidth="1"/>
    <col min="13828" max="13828" width="10" style="2646" customWidth="1"/>
    <col min="13829" max="13829" width="1.109375" style="2646" customWidth="1"/>
    <col min="13830" max="13830" width="9.109375" style="2646" customWidth="1"/>
    <col min="13831" max="13831" width="1.109375" style="2646" customWidth="1"/>
    <col min="13832" max="13832" width="11.109375" style="2646" customWidth="1"/>
    <col min="13833" max="13833" width="1.109375" style="2646" customWidth="1"/>
    <col min="13834" max="13834" width="9.109375" style="2646" customWidth="1"/>
    <col min="13835" max="13835" width="1.6640625" style="2646" customWidth="1"/>
    <col min="13836" max="13836" width="11" style="2646" customWidth="1"/>
    <col min="13837" max="13837" width="1.109375" style="2646" customWidth="1"/>
    <col min="13838" max="13838" width="10.6640625" style="2646" customWidth="1"/>
    <col min="13839" max="13839" width="1.109375" style="2646" customWidth="1"/>
    <col min="13840" max="13840" width="10" style="2646" customWidth="1"/>
    <col min="13841" max="13841" width="1.109375" style="2646" customWidth="1"/>
    <col min="13842" max="13842" width="9.109375" style="2646" customWidth="1"/>
    <col min="13843" max="13843" width="1.109375" style="2646" customWidth="1"/>
    <col min="13844" max="13844" width="7.6640625" style="2646" customWidth="1"/>
    <col min="13845" max="13845" width="1.109375" style="2646" customWidth="1"/>
    <col min="13846" max="13846" width="0.6640625" style="2646" customWidth="1"/>
    <col min="13847" max="13847" width="9.109375" style="2646" customWidth="1"/>
    <col min="13848" max="13848" width="1.109375" style="2646" customWidth="1"/>
    <col min="13849" max="13849" width="0.6640625" style="2646" customWidth="1"/>
    <col min="13850" max="13850" width="9.5546875" style="2646" bestFit="1" customWidth="1"/>
    <col min="13851" max="13852" width="0.6640625" style="2646" customWidth="1"/>
    <col min="13853" max="13853" width="9.6640625" style="2646" customWidth="1"/>
    <col min="13854" max="13854" width="1.109375" style="2646" customWidth="1"/>
    <col min="13855" max="13855" width="8.5546875" style="2646" customWidth="1"/>
    <col min="13856" max="13856" width="14.5546875" style="2646" customWidth="1"/>
    <col min="13857" max="13857" width="10" style="2646" customWidth="1"/>
    <col min="13858" max="13858" width="7.6640625" style="2646" bestFit="1" customWidth="1"/>
    <col min="13859" max="13859" width="9.6640625" style="2646" customWidth="1"/>
    <col min="13860" max="14076" width="8.6640625" style="2646"/>
    <col min="14077" max="14077" width="38.44140625" style="2646" customWidth="1"/>
    <col min="14078" max="14078" width="8.5546875" style="2646" customWidth="1"/>
    <col min="14079" max="14079" width="1.109375" style="2646" customWidth="1"/>
    <col min="14080" max="14080" width="8.6640625" style="2646" customWidth="1"/>
    <col min="14081" max="14081" width="1.109375" style="2646" customWidth="1"/>
    <col min="14082" max="14082" width="9.109375" style="2646" customWidth="1"/>
    <col min="14083" max="14083" width="1.109375" style="2646" customWidth="1"/>
    <col min="14084" max="14084" width="10" style="2646" customWidth="1"/>
    <col min="14085" max="14085" width="1.109375" style="2646" customWidth="1"/>
    <col min="14086" max="14086" width="9.109375" style="2646" customWidth="1"/>
    <col min="14087" max="14087" width="1.109375" style="2646" customWidth="1"/>
    <col min="14088" max="14088" width="11.109375" style="2646" customWidth="1"/>
    <col min="14089" max="14089" width="1.109375" style="2646" customWidth="1"/>
    <col min="14090" max="14090" width="9.109375" style="2646" customWidth="1"/>
    <col min="14091" max="14091" width="1.6640625" style="2646" customWidth="1"/>
    <col min="14092" max="14092" width="11" style="2646" customWidth="1"/>
    <col min="14093" max="14093" width="1.109375" style="2646" customWidth="1"/>
    <col min="14094" max="14094" width="10.6640625" style="2646" customWidth="1"/>
    <col min="14095" max="14095" width="1.109375" style="2646" customWidth="1"/>
    <col min="14096" max="14096" width="10" style="2646" customWidth="1"/>
    <col min="14097" max="14097" width="1.109375" style="2646" customWidth="1"/>
    <col min="14098" max="14098" width="9.109375" style="2646" customWidth="1"/>
    <col min="14099" max="14099" width="1.109375" style="2646" customWidth="1"/>
    <col min="14100" max="14100" width="7.6640625" style="2646" customWidth="1"/>
    <col min="14101" max="14101" width="1.109375" style="2646" customWidth="1"/>
    <col min="14102" max="14102" width="0.6640625" style="2646" customWidth="1"/>
    <col min="14103" max="14103" width="9.109375" style="2646" customWidth="1"/>
    <col min="14104" max="14104" width="1.109375" style="2646" customWidth="1"/>
    <col min="14105" max="14105" width="0.6640625" style="2646" customWidth="1"/>
    <col min="14106" max="14106" width="9.5546875" style="2646" bestFit="1" customWidth="1"/>
    <col min="14107" max="14108" width="0.6640625" style="2646" customWidth="1"/>
    <col min="14109" max="14109" width="9.6640625" style="2646" customWidth="1"/>
    <col min="14110" max="14110" width="1.109375" style="2646" customWidth="1"/>
    <col min="14111" max="14111" width="8.5546875" style="2646" customWidth="1"/>
    <col min="14112" max="14112" width="14.5546875" style="2646" customWidth="1"/>
    <col min="14113" max="14113" width="10" style="2646" customWidth="1"/>
    <col min="14114" max="14114" width="7.6640625" style="2646" bestFit="1" customWidth="1"/>
    <col min="14115" max="14115" width="9.6640625" style="2646" customWidth="1"/>
    <col min="14116" max="14332" width="8.6640625" style="2646"/>
    <col min="14333" max="14333" width="38.44140625" style="2646" customWidth="1"/>
    <col min="14334" max="14334" width="8.5546875" style="2646" customWidth="1"/>
    <col min="14335" max="14335" width="1.109375" style="2646" customWidth="1"/>
    <col min="14336" max="14336" width="8.6640625" style="2646" customWidth="1"/>
    <col min="14337" max="14337" width="1.109375" style="2646" customWidth="1"/>
    <col min="14338" max="14338" width="9.109375" style="2646" customWidth="1"/>
    <col min="14339" max="14339" width="1.109375" style="2646" customWidth="1"/>
    <col min="14340" max="14340" width="10" style="2646" customWidth="1"/>
    <col min="14341" max="14341" width="1.109375" style="2646" customWidth="1"/>
    <col min="14342" max="14342" width="9.109375" style="2646" customWidth="1"/>
    <col min="14343" max="14343" width="1.109375" style="2646" customWidth="1"/>
    <col min="14344" max="14344" width="11.109375" style="2646" customWidth="1"/>
    <col min="14345" max="14345" width="1.109375" style="2646" customWidth="1"/>
    <col min="14346" max="14346" width="9.109375" style="2646" customWidth="1"/>
    <col min="14347" max="14347" width="1.6640625" style="2646" customWidth="1"/>
    <col min="14348" max="14348" width="11" style="2646" customWidth="1"/>
    <col min="14349" max="14349" width="1.109375" style="2646" customWidth="1"/>
    <col min="14350" max="14350" width="10.6640625" style="2646" customWidth="1"/>
    <col min="14351" max="14351" width="1.109375" style="2646" customWidth="1"/>
    <col min="14352" max="14352" width="10" style="2646" customWidth="1"/>
    <col min="14353" max="14353" width="1.109375" style="2646" customWidth="1"/>
    <col min="14354" max="14354" width="9.109375" style="2646" customWidth="1"/>
    <col min="14355" max="14355" width="1.109375" style="2646" customWidth="1"/>
    <col min="14356" max="14356" width="7.6640625" style="2646" customWidth="1"/>
    <col min="14357" max="14357" width="1.109375" style="2646" customWidth="1"/>
    <col min="14358" max="14358" width="0.6640625" style="2646" customWidth="1"/>
    <col min="14359" max="14359" width="9.109375" style="2646" customWidth="1"/>
    <col min="14360" max="14360" width="1.109375" style="2646" customWidth="1"/>
    <col min="14361" max="14361" width="0.6640625" style="2646" customWidth="1"/>
    <col min="14362" max="14362" width="9.5546875" style="2646" bestFit="1" customWidth="1"/>
    <col min="14363" max="14364" width="0.6640625" style="2646" customWidth="1"/>
    <col min="14365" max="14365" width="9.6640625" style="2646" customWidth="1"/>
    <col min="14366" max="14366" width="1.109375" style="2646" customWidth="1"/>
    <col min="14367" max="14367" width="8.5546875" style="2646" customWidth="1"/>
    <col min="14368" max="14368" width="14.5546875" style="2646" customWidth="1"/>
    <col min="14369" max="14369" width="10" style="2646" customWidth="1"/>
    <col min="14370" max="14370" width="7.6640625" style="2646" bestFit="1" customWidth="1"/>
    <col min="14371" max="14371" width="9.6640625" style="2646" customWidth="1"/>
    <col min="14372" max="14588" width="8.6640625" style="2646"/>
    <col min="14589" max="14589" width="38.44140625" style="2646" customWidth="1"/>
    <col min="14590" max="14590" width="8.5546875" style="2646" customWidth="1"/>
    <col min="14591" max="14591" width="1.109375" style="2646" customWidth="1"/>
    <col min="14592" max="14592" width="8.6640625" style="2646" customWidth="1"/>
    <col min="14593" max="14593" width="1.109375" style="2646" customWidth="1"/>
    <col min="14594" max="14594" width="9.109375" style="2646" customWidth="1"/>
    <col min="14595" max="14595" width="1.109375" style="2646" customWidth="1"/>
    <col min="14596" max="14596" width="10" style="2646" customWidth="1"/>
    <col min="14597" max="14597" width="1.109375" style="2646" customWidth="1"/>
    <col min="14598" max="14598" width="9.109375" style="2646" customWidth="1"/>
    <col min="14599" max="14599" width="1.109375" style="2646" customWidth="1"/>
    <col min="14600" max="14600" width="11.109375" style="2646" customWidth="1"/>
    <col min="14601" max="14601" width="1.109375" style="2646" customWidth="1"/>
    <col min="14602" max="14602" width="9.109375" style="2646" customWidth="1"/>
    <col min="14603" max="14603" width="1.6640625" style="2646" customWidth="1"/>
    <col min="14604" max="14604" width="11" style="2646" customWidth="1"/>
    <col min="14605" max="14605" width="1.109375" style="2646" customWidth="1"/>
    <col min="14606" max="14606" width="10.6640625" style="2646" customWidth="1"/>
    <col min="14607" max="14607" width="1.109375" style="2646" customWidth="1"/>
    <col min="14608" max="14608" width="10" style="2646" customWidth="1"/>
    <col min="14609" max="14609" width="1.109375" style="2646" customWidth="1"/>
    <col min="14610" max="14610" width="9.109375" style="2646" customWidth="1"/>
    <col min="14611" max="14611" width="1.109375" style="2646" customWidth="1"/>
    <col min="14612" max="14612" width="7.6640625" style="2646" customWidth="1"/>
    <col min="14613" max="14613" width="1.109375" style="2646" customWidth="1"/>
    <col min="14614" max="14614" width="0.6640625" style="2646" customWidth="1"/>
    <col min="14615" max="14615" width="9.109375" style="2646" customWidth="1"/>
    <col min="14616" max="14616" width="1.109375" style="2646" customWidth="1"/>
    <col min="14617" max="14617" width="0.6640625" style="2646" customWidth="1"/>
    <col min="14618" max="14618" width="9.5546875" style="2646" bestFit="1" customWidth="1"/>
    <col min="14619" max="14620" width="0.6640625" style="2646" customWidth="1"/>
    <col min="14621" max="14621" width="9.6640625" style="2646" customWidth="1"/>
    <col min="14622" max="14622" width="1.109375" style="2646" customWidth="1"/>
    <col min="14623" max="14623" width="8.5546875" style="2646" customWidth="1"/>
    <col min="14624" max="14624" width="14.5546875" style="2646" customWidth="1"/>
    <col min="14625" max="14625" width="10" style="2646" customWidth="1"/>
    <col min="14626" max="14626" width="7.6640625" style="2646" bestFit="1" customWidth="1"/>
    <col min="14627" max="14627" width="9.6640625" style="2646" customWidth="1"/>
    <col min="14628" max="14844" width="8.6640625" style="2646"/>
    <col min="14845" max="14845" width="38.44140625" style="2646" customWidth="1"/>
    <col min="14846" max="14846" width="8.5546875" style="2646" customWidth="1"/>
    <col min="14847" max="14847" width="1.109375" style="2646" customWidth="1"/>
    <col min="14848" max="14848" width="8.6640625" style="2646" customWidth="1"/>
    <col min="14849" max="14849" width="1.109375" style="2646" customWidth="1"/>
    <col min="14850" max="14850" width="9.109375" style="2646" customWidth="1"/>
    <col min="14851" max="14851" width="1.109375" style="2646" customWidth="1"/>
    <col min="14852" max="14852" width="10" style="2646" customWidth="1"/>
    <col min="14853" max="14853" width="1.109375" style="2646" customWidth="1"/>
    <col min="14854" max="14854" width="9.109375" style="2646" customWidth="1"/>
    <col min="14855" max="14855" width="1.109375" style="2646" customWidth="1"/>
    <col min="14856" max="14856" width="11.109375" style="2646" customWidth="1"/>
    <col min="14857" max="14857" width="1.109375" style="2646" customWidth="1"/>
    <col min="14858" max="14858" width="9.109375" style="2646" customWidth="1"/>
    <col min="14859" max="14859" width="1.6640625" style="2646" customWidth="1"/>
    <col min="14860" max="14860" width="11" style="2646" customWidth="1"/>
    <col min="14861" max="14861" width="1.109375" style="2646" customWidth="1"/>
    <col min="14862" max="14862" width="10.6640625" style="2646" customWidth="1"/>
    <col min="14863" max="14863" width="1.109375" style="2646" customWidth="1"/>
    <col min="14864" max="14864" width="10" style="2646" customWidth="1"/>
    <col min="14865" max="14865" width="1.109375" style="2646" customWidth="1"/>
    <col min="14866" max="14866" width="9.109375" style="2646" customWidth="1"/>
    <col min="14867" max="14867" width="1.109375" style="2646" customWidth="1"/>
    <col min="14868" max="14868" width="7.6640625" style="2646" customWidth="1"/>
    <col min="14869" max="14869" width="1.109375" style="2646" customWidth="1"/>
    <col min="14870" max="14870" width="0.6640625" style="2646" customWidth="1"/>
    <col min="14871" max="14871" width="9.109375" style="2646" customWidth="1"/>
    <col min="14872" max="14872" width="1.109375" style="2646" customWidth="1"/>
    <col min="14873" max="14873" width="0.6640625" style="2646" customWidth="1"/>
    <col min="14874" max="14874" width="9.5546875" style="2646" bestFit="1" customWidth="1"/>
    <col min="14875" max="14876" width="0.6640625" style="2646" customWidth="1"/>
    <col min="14877" max="14877" width="9.6640625" style="2646" customWidth="1"/>
    <col min="14878" max="14878" width="1.109375" style="2646" customWidth="1"/>
    <col min="14879" max="14879" width="8.5546875" style="2646" customWidth="1"/>
    <col min="14880" max="14880" width="14.5546875" style="2646" customWidth="1"/>
    <col min="14881" max="14881" width="10" style="2646" customWidth="1"/>
    <col min="14882" max="14882" width="7.6640625" style="2646" bestFit="1" customWidth="1"/>
    <col min="14883" max="14883" width="9.6640625" style="2646" customWidth="1"/>
    <col min="14884" max="15100" width="8.6640625" style="2646"/>
    <col min="15101" max="15101" width="38.44140625" style="2646" customWidth="1"/>
    <col min="15102" max="15102" width="8.5546875" style="2646" customWidth="1"/>
    <col min="15103" max="15103" width="1.109375" style="2646" customWidth="1"/>
    <col min="15104" max="15104" width="8.6640625" style="2646" customWidth="1"/>
    <col min="15105" max="15105" width="1.109375" style="2646" customWidth="1"/>
    <col min="15106" max="15106" width="9.109375" style="2646" customWidth="1"/>
    <col min="15107" max="15107" width="1.109375" style="2646" customWidth="1"/>
    <col min="15108" max="15108" width="10" style="2646" customWidth="1"/>
    <col min="15109" max="15109" width="1.109375" style="2646" customWidth="1"/>
    <col min="15110" max="15110" width="9.109375" style="2646" customWidth="1"/>
    <col min="15111" max="15111" width="1.109375" style="2646" customWidth="1"/>
    <col min="15112" max="15112" width="11.109375" style="2646" customWidth="1"/>
    <col min="15113" max="15113" width="1.109375" style="2646" customWidth="1"/>
    <col min="15114" max="15114" width="9.109375" style="2646" customWidth="1"/>
    <col min="15115" max="15115" width="1.6640625" style="2646" customWidth="1"/>
    <col min="15116" max="15116" width="11" style="2646" customWidth="1"/>
    <col min="15117" max="15117" width="1.109375" style="2646" customWidth="1"/>
    <col min="15118" max="15118" width="10.6640625" style="2646" customWidth="1"/>
    <col min="15119" max="15119" width="1.109375" style="2646" customWidth="1"/>
    <col min="15120" max="15120" width="10" style="2646" customWidth="1"/>
    <col min="15121" max="15121" width="1.109375" style="2646" customWidth="1"/>
    <col min="15122" max="15122" width="9.109375" style="2646" customWidth="1"/>
    <col min="15123" max="15123" width="1.109375" style="2646" customWidth="1"/>
    <col min="15124" max="15124" width="7.6640625" style="2646" customWidth="1"/>
    <col min="15125" max="15125" width="1.109375" style="2646" customWidth="1"/>
    <col min="15126" max="15126" width="0.6640625" style="2646" customWidth="1"/>
    <col min="15127" max="15127" width="9.109375" style="2646" customWidth="1"/>
    <col min="15128" max="15128" width="1.109375" style="2646" customWidth="1"/>
    <col min="15129" max="15129" width="0.6640625" style="2646" customWidth="1"/>
    <col min="15130" max="15130" width="9.5546875" style="2646" bestFit="1" customWidth="1"/>
    <col min="15131" max="15132" width="0.6640625" style="2646" customWidth="1"/>
    <col min="15133" max="15133" width="9.6640625" style="2646" customWidth="1"/>
    <col min="15134" max="15134" width="1.109375" style="2646" customWidth="1"/>
    <col min="15135" max="15135" width="8.5546875" style="2646" customWidth="1"/>
    <col min="15136" max="15136" width="14.5546875" style="2646" customWidth="1"/>
    <col min="15137" max="15137" width="10" style="2646" customWidth="1"/>
    <col min="15138" max="15138" width="7.6640625" style="2646" bestFit="1" customWidth="1"/>
    <col min="15139" max="15139" width="9.6640625" style="2646" customWidth="1"/>
    <col min="15140" max="15356" width="8.6640625" style="2646"/>
    <col min="15357" max="15357" width="38.44140625" style="2646" customWidth="1"/>
    <col min="15358" max="15358" width="8.5546875" style="2646" customWidth="1"/>
    <col min="15359" max="15359" width="1.109375" style="2646" customWidth="1"/>
    <col min="15360" max="15360" width="8.6640625" style="2646" customWidth="1"/>
    <col min="15361" max="15361" width="1.109375" style="2646" customWidth="1"/>
    <col min="15362" max="15362" width="9.109375" style="2646" customWidth="1"/>
    <col min="15363" max="15363" width="1.109375" style="2646" customWidth="1"/>
    <col min="15364" max="15364" width="10" style="2646" customWidth="1"/>
    <col min="15365" max="15365" width="1.109375" style="2646" customWidth="1"/>
    <col min="15366" max="15366" width="9.109375" style="2646" customWidth="1"/>
    <col min="15367" max="15367" width="1.109375" style="2646" customWidth="1"/>
    <col min="15368" max="15368" width="11.109375" style="2646" customWidth="1"/>
    <col min="15369" max="15369" width="1.109375" style="2646" customWidth="1"/>
    <col min="15370" max="15370" width="9.109375" style="2646" customWidth="1"/>
    <col min="15371" max="15371" width="1.6640625" style="2646" customWidth="1"/>
    <col min="15372" max="15372" width="11" style="2646" customWidth="1"/>
    <col min="15373" max="15373" width="1.109375" style="2646" customWidth="1"/>
    <col min="15374" max="15374" width="10.6640625" style="2646" customWidth="1"/>
    <col min="15375" max="15375" width="1.109375" style="2646" customWidth="1"/>
    <col min="15376" max="15376" width="10" style="2646" customWidth="1"/>
    <col min="15377" max="15377" width="1.109375" style="2646" customWidth="1"/>
    <col min="15378" max="15378" width="9.109375" style="2646" customWidth="1"/>
    <col min="15379" max="15379" width="1.109375" style="2646" customWidth="1"/>
    <col min="15380" max="15380" width="7.6640625" style="2646" customWidth="1"/>
    <col min="15381" max="15381" width="1.109375" style="2646" customWidth="1"/>
    <col min="15382" max="15382" width="0.6640625" style="2646" customWidth="1"/>
    <col min="15383" max="15383" width="9.109375" style="2646" customWidth="1"/>
    <col min="15384" max="15384" width="1.109375" style="2646" customWidth="1"/>
    <col min="15385" max="15385" width="0.6640625" style="2646" customWidth="1"/>
    <col min="15386" max="15386" width="9.5546875" style="2646" bestFit="1" customWidth="1"/>
    <col min="15387" max="15388" width="0.6640625" style="2646" customWidth="1"/>
    <col min="15389" max="15389" width="9.6640625" style="2646" customWidth="1"/>
    <col min="15390" max="15390" width="1.109375" style="2646" customWidth="1"/>
    <col min="15391" max="15391" width="8.5546875" style="2646" customWidth="1"/>
    <col min="15392" max="15392" width="14.5546875" style="2646" customWidth="1"/>
    <col min="15393" max="15393" width="10" style="2646" customWidth="1"/>
    <col min="15394" max="15394" width="7.6640625" style="2646" bestFit="1" customWidth="1"/>
    <col min="15395" max="15395" width="9.6640625" style="2646" customWidth="1"/>
    <col min="15396" max="15612" width="8.6640625" style="2646"/>
    <col min="15613" max="15613" width="38.44140625" style="2646" customWidth="1"/>
    <col min="15614" max="15614" width="8.5546875" style="2646" customWidth="1"/>
    <col min="15615" max="15615" width="1.109375" style="2646" customWidth="1"/>
    <col min="15616" max="15616" width="8.6640625" style="2646" customWidth="1"/>
    <col min="15617" max="15617" width="1.109375" style="2646" customWidth="1"/>
    <col min="15618" max="15618" width="9.109375" style="2646" customWidth="1"/>
    <col min="15619" max="15619" width="1.109375" style="2646" customWidth="1"/>
    <col min="15620" max="15620" width="10" style="2646" customWidth="1"/>
    <col min="15621" max="15621" width="1.109375" style="2646" customWidth="1"/>
    <col min="15622" max="15622" width="9.109375" style="2646" customWidth="1"/>
    <col min="15623" max="15623" width="1.109375" style="2646" customWidth="1"/>
    <col min="15624" max="15624" width="11.109375" style="2646" customWidth="1"/>
    <col min="15625" max="15625" width="1.109375" style="2646" customWidth="1"/>
    <col min="15626" max="15626" width="9.109375" style="2646" customWidth="1"/>
    <col min="15627" max="15627" width="1.6640625" style="2646" customWidth="1"/>
    <col min="15628" max="15628" width="11" style="2646" customWidth="1"/>
    <col min="15629" max="15629" width="1.109375" style="2646" customWidth="1"/>
    <col min="15630" max="15630" width="10.6640625" style="2646" customWidth="1"/>
    <col min="15631" max="15631" width="1.109375" style="2646" customWidth="1"/>
    <col min="15632" max="15632" width="10" style="2646" customWidth="1"/>
    <col min="15633" max="15633" width="1.109375" style="2646" customWidth="1"/>
    <col min="15634" max="15634" width="9.109375" style="2646" customWidth="1"/>
    <col min="15635" max="15635" width="1.109375" style="2646" customWidth="1"/>
    <col min="15636" max="15636" width="7.6640625" style="2646" customWidth="1"/>
    <col min="15637" max="15637" width="1.109375" style="2646" customWidth="1"/>
    <col min="15638" max="15638" width="0.6640625" style="2646" customWidth="1"/>
    <col min="15639" max="15639" width="9.109375" style="2646" customWidth="1"/>
    <col min="15640" max="15640" width="1.109375" style="2646" customWidth="1"/>
    <col min="15641" max="15641" width="0.6640625" style="2646" customWidth="1"/>
    <col min="15642" max="15642" width="9.5546875" style="2646" bestFit="1" customWidth="1"/>
    <col min="15643" max="15644" width="0.6640625" style="2646" customWidth="1"/>
    <col min="15645" max="15645" width="9.6640625" style="2646" customWidth="1"/>
    <col min="15646" max="15646" width="1.109375" style="2646" customWidth="1"/>
    <col min="15647" max="15647" width="8.5546875" style="2646" customWidth="1"/>
    <col min="15648" max="15648" width="14.5546875" style="2646" customWidth="1"/>
    <col min="15649" max="15649" width="10" style="2646" customWidth="1"/>
    <col min="15650" max="15650" width="7.6640625" style="2646" bestFit="1" customWidth="1"/>
    <col min="15651" max="15651" width="9.6640625" style="2646" customWidth="1"/>
    <col min="15652" max="15868" width="8.6640625" style="2646"/>
    <col min="15869" max="15869" width="38.44140625" style="2646" customWidth="1"/>
    <col min="15870" max="15870" width="8.5546875" style="2646" customWidth="1"/>
    <col min="15871" max="15871" width="1.109375" style="2646" customWidth="1"/>
    <col min="15872" max="15872" width="8.6640625" style="2646" customWidth="1"/>
    <col min="15873" max="15873" width="1.109375" style="2646" customWidth="1"/>
    <col min="15874" max="15874" width="9.109375" style="2646" customWidth="1"/>
    <col min="15875" max="15875" width="1.109375" style="2646" customWidth="1"/>
    <col min="15876" max="15876" width="10" style="2646" customWidth="1"/>
    <col min="15877" max="15877" width="1.109375" style="2646" customWidth="1"/>
    <col min="15878" max="15878" width="9.109375" style="2646" customWidth="1"/>
    <col min="15879" max="15879" width="1.109375" style="2646" customWidth="1"/>
    <col min="15880" max="15880" width="11.109375" style="2646" customWidth="1"/>
    <col min="15881" max="15881" width="1.109375" style="2646" customWidth="1"/>
    <col min="15882" max="15882" width="9.109375" style="2646" customWidth="1"/>
    <col min="15883" max="15883" width="1.6640625" style="2646" customWidth="1"/>
    <col min="15884" max="15884" width="11" style="2646" customWidth="1"/>
    <col min="15885" max="15885" width="1.109375" style="2646" customWidth="1"/>
    <col min="15886" max="15886" width="10.6640625" style="2646" customWidth="1"/>
    <col min="15887" max="15887" width="1.109375" style="2646" customWidth="1"/>
    <col min="15888" max="15888" width="10" style="2646" customWidth="1"/>
    <col min="15889" max="15889" width="1.109375" style="2646" customWidth="1"/>
    <col min="15890" max="15890" width="9.109375" style="2646" customWidth="1"/>
    <col min="15891" max="15891" width="1.109375" style="2646" customWidth="1"/>
    <col min="15892" max="15892" width="7.6640625" style="2646" customWidth="1"/>
    <col min="15893" max="15893" width="1.109375" style="2646" customWidth="1"/>
    <col min="15894" max="15894" width="0.6640625" style="2646" customWidth="1"/>
    <col min="15895" max="15895" width="9.109375" style="2646" customWidth="1"/>
    <col min="15896" max="15896" width="1.109375" style="2646" customWidth="1"/>
    <col min="15897" max="15897" width="0.6640625" style="2646" customWidth="1"/>
    <col min="15898" max="15898" width="9.5546875" style="2646" bestFit="1" customWidth="1"/>
    <col min="15899" max="15900" width="0.6640625" style="2646" customWidth="1"/>
    <col min="15901" max="15901" width="9.6640625" style="2646" customWidth="1"/>
    <col min="15902" max="15902" width="1.109375" style="2646" customWidth="1"/>
    <col min="15903" max="15903" width="8.5546875" style="2646" customWidth="1"/>
    <col min="15904" max="15904" width="14.5546875" style="2646" customWidth="1"/>
    <col min="15905" max="15905" width="10" style="2646" customWidth="1"/>
    <col min="15906" max="15906" width="7.6640625" style="2646" bestFit="1" customWidth="1"/>
    <col min="15907" max="15907" width="9.6640625" style="2646" customWidth="1"/>
    <col min="15908" max="16124" width="8.6640625" style="2646"/>
    <col min="16125" max="16125" width="38.44140625" style="2646" customWidth="1"/>
    <col min="16126" max="16126" width="8.5546875" style="2646" customWidth="1"/>
    <col min="16127" max="16127" width="1.109375" style="2646" customWidth="1"/>
    <col min="16128" max="16128" width="8.6640625" style="2646" customWidth="1"/>
    <col min="16129" max="16129" width="1.109375" style="2646" customWidth="1"/>
    <col min="16130" max="16130" width="9.109375" style="2646" customWidth="1"/>
    <col min="16131" max="16131" width="1.109375" style="2646" customWidth="1"/>
    <col min="16132" max="16132" width="10" style="2646" customWidth="1"/>
    <col min="16133" max="16133" width="1.109375" style="2646" customWidth="1"/>
    <col min="16134" max="16134" width="9.109375" style="2646" customWidth="1"/>
    <col min="16135" max="16135" width="1.109375" style="2646" customWidth="1"/>
    <col min="16136" max="16136" width="11.109375" style="2646" customWidth="1"/>
    <col min="16137" max="16137" width="1.109375" style="2646" customWidth="1"/>
    <col min="16138" max="16138" width="9.109375" style="2646" customWidth="1"/>
    <col min="16139" max="16139" width="1.6640625" style="2646" customWidth="1"/>
    <col min="16140" max="16140" width="11" style="2646" customWidth="1"/>
    <col min="16141" max="16141" width="1.109375" style="2646" customWidth="1"/>
    <col min="16142" max="16142" width="10.6640625" style="2646" customWidth="1"/>
    <col min="16143" max="16143" width="1.109375" style="2646" customWidth="1"/>
    <col min="16144" max="16144" width="10" style="2646" customWidth="1"/>
    <col min="16145" max="16145" width="1.109375" style="2646" customWidth="1"/>
    <col min="16146" max="16146" width="9.109375" style="2646" customWidth="1"/>
    <col min="16147" max="16147" width="1.109375" style="2646" customWidth="1"/>
    <col min="16148" max="16148" width="7.6640625" style="2646" customWidth="1"/>
    <col min="16149" max="16149" width="1.109375" style="2646" customWidth="1"/>
    <col min="16150" max="16150" width="0.6640625" style="2646" customWidth="1"/>
    <col min="16151" max="16151" width="9.109375" style="2646" customWidth="1"/>
    <col min="16152" max="16152" width="1.109375" style="2646" customWidth="1"/>
    <col min="16153" max="16153" width="0.6640625" style="2646" customWidth="1"/>
    <col min="16154" max="16154" width="9.5546875" style="2646" bestFit="1" customWidth="1"/>
    <col min="16155" max="16156" width="0.6640625" style="2646" customWidth="1"/>
    <col min="16157" max="16157" width="9.6640625" style="2646" customWidth="1"/>
    <col min="16158" max="16158" width="1.109375" style="2646" customWidth="1"/>
    <col min="16159" max="16159" width="8.5546875" style="2646" customWidth="1"/>
    <col min="16160" max="16160" width="14.5546875" style="2646" customWidth="1"/>
    <col min="16161" max="16161" width="10" style="2646" customWidth="1"/>
    <col min="16162" max="16162" width="7.6640625" style="2646" bestFit="1" customWidth="1"/>
    <col min="16163" max="16163" width="9.6640625" style="2646" customWidth="1"/>
    <col min="16164" max="16384" width="8.6640625" style="2646"/>
  </cols>
  <sheetData>
    <row r="1" spans="1:36" ht="15">
      <c r="A1" s="2234" t="s">
        <v>963</v>
      </c>
    </row>
    <row r="2" spans="1:36" ht="10.5" customHeight="1"/>
    <row r="3" spans="1:36" ht="18">
      <c r="A3" s="2649" t="s">
        <v>0</v>
      </c>
      <c r="AI3" s="2650" t="s">
        <v>1146</v>
      </c>
    </row>
    <row r="4" spans="1:36" ht="18">
      <c r="A4" s="2651" t="s">
        <v>184</v>
      </c>
    </row>
    <row r="5" spans="1:36" ht="18">
      <c r="A5" s="2651" t="s">
        <v>148</v>
      </c>
      <c r="AB5" s="3955"/>
      <c r="AC5" s="3956"/>
      <c r="AD5" s="3956"/>
      <c r="AE5" s="2652"/>
      <c r="AF5" s="2652"/>
      <c r="AG5" s="2652"/>
      <c r="AH5" s="2652"/>
      <c r="AI5" s="2652"/>
      <c r="AJ5" s="2653"/>
    </row>
    <row r="6" spans="1:36" ht="18">
      <c r="A6" s="2649" t="str">
        <f>'Cashflow Governmental'!A6</f>
        <v xml:space="preserve">FISCAL YEAR 2020-2021   </v>
      </c>
    </row>
    <row r="7" spans="1:36" ht="18">
      <c r="A7" s="2651" t="s">
        <v>1363</v>
      </c>
    </row>
    <row r="8" spans="1:36" ht="15.75">
      <c r="AA8" s="3957" t="s">
        <v>1558</v>
      </c>
      <c r="AB8" s="3957"/>
      <c r="AC8" s="3957"/>
      <c r="AD8" s="3957"/>
      <c r="AE8" s="3957"/>
      <c r="AF8" s="3957"/>
      <c r="AG8" s="3957"/>
      <c r="AH8" s="3957"/>
      <c r="AI8" s="3957"/>
    </row>
    <row r="9" spans="1:36" ht="15.75">
      <c r="B9" s="2654" t="str">
        <f>'Cashflow Governmental'!C13</f>
        <v>2020</v>
      </c>
      <c r="C9" s="2473"/>
      <c r="D9" s="2473"/>
      <c r="E9" s="2473"/>
      <c r="F9" s="2655"/>
      <c r="G9" s="2473"/>
      <c r="H9" s="2473"/>
      <c r="I9" s="2473"/>
      <c r="J9" s="2473"/>
      <c r="K9" s="2473"/>
      <c r="L9" s="2473"/>
      <c r="M9" s="2473"/>
      <c r="N9" s="2473"/>
      <c r="O9" s="2473"/>
      <c r="P9" s="2473"/>
      <c r="Q9" s="2473"/>
      <c r="R9" s="2473"/>
      <c r="S9" s="2473"/>
      <c r="T9" s="2654">
        <f>'Cashflow Governmental'!U13</f>
        <v>2021</v>
      </c>
      <c r="U9" s="2473"/>
      <c r="V9" s="2473"/>
      <c r="W9" s="2473"/>
      <c r="X9" s="2656"/>
      <c r="Y9" s="2473"/>
      <c r="Z9" s="2473"/>
      <c r="AA9" s="2473"/>
      <c r="AB9" s="2473"/>
      <c r="AC9" s="2473"/>
      <c r="AD9" s="2473"/>
      <c r="AE9" s="2657"/>
      <c r="AF9" s="2473"/>
      <c r="AG9" s="2658" t="s">
        <v>8</v>
      </c>
      <c r="AH9" s="2659"/>
      <c r="AI9" s="2660" t="s">
        <v>9</v>
      </c>
      <c r="AJ9" s="2653"/>
    </row>
    <row r="10" spans="1:36" ht="15.75">
      <c r="B10" s="2661" t="s">
        <v>124</v>
      </c>
      <c r="C10" s="2473"/>
      <c r="D10" s="2661" t="s">
        <v>125</v>
      </c>
      <c r="E10" s="2656"/>
      <c r="F10" s="2662" t="s">
        <v>126</v>
      </c>
      <c r="G10" s="2656"/>
      <c r="H10" s="2661" t="s">
        <v>127</v>
      </c>
      <c r="I10" s="2656"/>
      <c r="J10" s="2661" t="s">
        <v>128</v>
      </c>
      <c r="K10" s="2656"/>
      <c r="L10" s="2663" t="s">
        <v>143</v>
      </c>
      <c r="M10" s="2656"/>
      <c r="N10" s="2661" t="s">
        <v>144</v>
      </c>
      <c r="O10" s="2656"/>
      <c r="P10" s="2661" t="s">
        <v>131</v>
      </c>
      <c r="Q10" s="2656"/>
      <c r="R10" s="2661" t="s">
        <v>132</v>
      </c>
      <c r="S10" s="2473"/>
      <c r="T10" s="2661" t="s">
        <v>133</v>
      </c>
      <c r="U10" s="2656"/>
      <c r="V10" s="2661" t="s">
        <v>134</v>
      </c>
      <c r="W10" s="2656"/>
      <c r="X10" s="2661" t="s">
        <v>185</v>
      </c>
      <c r="Y10" s="2656"/>
      <c r="Z10" s="2656"/>
      <c r="AA10" s="2664">
        <f>'Cashflow Governmental'!AB14</f>
        <v>2021</v>
      </c>
      <c r="AB10" s="2656"/>
      <c r="AC10" s="2656"/>
      <c r="AD10" s="2664">
        <f>'Cashflow Governmental'!AE14</f>
        <v>2020</v>
      </c>
      <c r="AE10" s="2665"/>
      <c r="AF10" s="2665"/>
      <c r="AG10" s="2666" t="s">
        <v>12</v>
      </c>
      <c r="AH10" s="2667"/>
      <c r="AI10" s="2666" t="s">
        <v>13</v>
      </c>
      <c r="AJ10" s="2653"/>
    </row>
    <row r="11" spans="1:36" ht="3" customHeight="1">
      <c r="B11" s="2668"/>
      <c r="C11" s="1459"/>
      <c r="D11" s="2668"/>
      <c r="E11" s="2669"/>
      <c r="F11" s="2670"/>
      <c r="G11" s="2669"/>
      <c r="H11" s="2668"/>
      <c r="I11" s="2669"/>
      <c r="J11" s="2668"/>
      <c r="K11" s="2669"/>
      <c r="L11" s="2671"/>
      <c r="M11" s="2669"/>
      <c r="N11" s="2668"/>
      <c r="O11" s="2669"/>
      <c r="P11" s="2668"/>
      <c r="Q11" s="2669"/>
      <c r="R11" s="2668"/>
      <c r="S11" s="1459"/>
      <c r="T11" s="2672"/>
      <c r="U11" s="2669"/>
      <c r="V11" s="2668"/>
      <c r="W11" s="2669"/>
      <c r="X11" s="2668"/>
      <c r="Y11" s="2669"/>
      <c r="Z11" s="2669"/>
      <c r="AA11" s="2673"/>
      <c r="AB11" s="2669"/>
      <c r="AC11" s="2669"/>
      <c r="AD11" s="2673"/>
      <c r="AE11" s="2673"/>
      <c r="AF11" s="2674"/>
      <c r="AG11" s="2673"/>
      <c r="AH11" s="1456"/>
      <c r="AI11" s="1459"/>
    </row>
    <row r="12" spans="1:36" ht="15.75">
      <c r="A12" s="2675" t="s">
        <v>186</v>
      </c>
      <c r="B12" s="2453">
        <v>63.4</v>
      </c>
      <c r="C12" s="2453"/>
      <c r="D12" s="2676">
        <f>B77</f>
        <v>392.9</v>
      </c>
      <c r="E12" s="2453"/>
      <c r="F12" s="2676">
        <f>D77</f>
        <v>522.1</v>
      </c>
      <c r="G12" s="2453"/>
      <c r="H12" s="2676">
        <f>F77</f>
        <v>495.2</v>
      </c>
      <c r="I12" s="2453"/>
      <c r="J12" s="2676">
        <f>H77</f>
        <v>1603</v>
      </c>
      <c r="K12" s="2453"/>
      <c r="L12" s="2676">
        <f>J77</f>
        <v>2144.5</v>
      </c>
      <c r="M12" s="2453"/>
      <c r="N12" s="2676">
        <f>L77</f>
        <v>2337.3000000000002</v>
      </c>
      <c r="O12" s="2453"/>
      <c r="P12" s="2676">
        <f>N77</f>
        <v>3300.3</v>
      </c>
      <c r="Q12" s="2453"/>
      <c r="R12" s="2676">
        <f>P77</f>
        <v>4126.3</v>
      </c>
      <c r="S12" s="2453"/>
      <c r="T12" s="2676">
        <f>R77</f>
        <v>3473.8</v>
      </c>
      <c r="U12" s="2453"/>
      <c r="V12" s="2676"/>
      <c r="W12" s="2453"/>
      <c r="X12" s="2676"/>
      <c r="Y12" s="2677"/>
      <c r="Z12" s="2453"/>
      <c r="AA12" s="2453">
        <f>B12</f>
        <v>63.4</v>
      </c>
      <c r="AB12" s="2677"/>
      <c r="AC12" s="2453"/>
      <c r="AD12" s="3470">
        <v>64.8</v>
      </c>
      <c r="AE12" s="2678"/>
      <c r="AF12" s="2679"/>
      <c r="AG12" s="2680">
        <f>ROUND(SUM(AA12-AD12),1)</f>
        <v>-1.4</v>
      </c>
      <c r="AH12" s="2657"/>
      <c r="AI12" s="2681">
        <f>ROUND(SUM(AG12/AD12),3)</f>
        <v>-2.1999999999999999E-2</v>
      </c>
      <c r="AJ12" s="2653"/>
    </row>
    <row r="13" spans="1:36" ht="12.75" customHeight="1">
      <c r="A13" s="1459"/>
      <c r="B13" s="1459"/>
      <c r="C13" s="1459"/>
      <c r="D13" s="1459"/>
      <c r="E13" s="1459"/>
      <c r="F13" s="1980"/>
      <c r="G13" s="1459"/>
      <c r="H13" s="1459"/>
      <c r="I13" s="1459"/>
      <c r="J13" s="1459"/>
      <c r="K13" s="1459"/>
      <c r="L13" s="1459"/>
      <c r="M13" s="1459"/>
      <c r="N13" s="1459"/>
      <c r="O13" s="1459"/>
      <c r="P13" s="1459"/>
      <c r="Q13" s="1459"/>
      <c r="R13" s="1459"/>
      <c r="S13" s="1459"/>
      <c r="T13" s="1459"/>
      <c r="U13" s="1459"/>
      <c r="V13" s="1459"/>
      <c r="W13" s="1459"/>
      <c r="X13" s="1459"/>
      <c r="Y13" s="2682"/>
      <c r="Z13" s="1459"/>
      <c r="AA13" s="1980"/>
      <c r="AB13" s="2683"/>
      <c r="AC13" s="1980"/>
      <c r="AD13" s="2606"/>
      <c r="AE13" s="2673"/>
      <c r="AF13" s="2684"/>
      <c r="AG13" s="2685"/>
      <c r="AH13" s="1456"/>
      <c r="AI13" s="1459"/>
    </row>
    <row r="14" spans="1:36" ht="14.25" customHeight="1">
      <c r="A14" s="2473" t="s">
        <v>14</v>
      </c>
      <c r="B14" s="1459"/>
      <c r="C14" s="1459"/>
      <c r="D14" s="1459"/>
      <c r="E14" s="1459"/>
      <c r="F14" s="1980"/>
      <c r="G14" s="1459"/>
      <c r="H14" s="1459"/>
      <c r="I14" s="1459"/>
      <c r="J14" s="1459"/>
      <c r="K14" s="1459"/>
      <c r="L14" s="1459"/>
      <c r="M14" s="1459"/>
      <c r="N14" s="1459"/>
      <c r="O14" s="1459"/>
      <c r="P14" s="1459"/>
      <c r="Q14" s="1459"/>
      <c r="R14" s="1459"/>
      <c r="S14" s="1459"/>
      <c r="T14" s="1459"/>
      <c r="U14" s="1459"/>
      <c r="V14" s="1459"/>
      <c r="W14" s="1459"/>
      <c r="X14" s="1459"/>
      <c r="Y14" s="2682"/>
      <c r="Z14" s="1459"/>
      <c r="AA14" s="1980"/>
      <c r="AB14" s="2683"/>
      <c r="AC14" s="1980"/>
      <c r="AD14" s="2606"/>
      <c r="AE14" s="2673"/>
      <c r="AF14" s="2684"/>
      <c r="AG14" s="2685"/>
      <c r="AH14" s="1456"/>
      <c r="AI14" s="1459"/>
    </row>
    <row r="15" spans="1:36" ht="14.25" customHeight="1">
      <c r="A15" s="2462" t="s">
        <v>1078</v>
      </c>
      <c r="B15" s="1440"/>
      <c r="C15" s="1440"/>
      <c r="D15" s="1440"/>
      <c r="E15" s="2686"/>
      <c r="F15" s="1440"/>
      <c r="G15" s="2686"/>
      <c r="H15" s="1459"/>
      <c r="I15" s="1459"/>
      <c r="J15" s="1459"/>
      <c r="K15" s="1459"/>
      <c r="L15" s="1459"/>
      <c r="M15" s="1459"/>
      <c r="N15" s="1459"/>
      <c r="O15" s="1459"/>
      <c r="P15" s="1459"/>
      <c r="Q15" s="1459"/>
      <c r="R15" s="1459"/>
      <c r="S15" s="1459"/>
      <c r="T15" s="1459"/>
      <c r="U15" s="1459"/>
      <c r="V15" s="1459"/>
      <c r="W15" s="1459"/>
      <c r="X15" s="1459"/>
      <c r="Y15" s="2687"/>
      <c r="Z15" s="1459"/>
      <c r="AA15" s="1980"/>
      <c r="AB15" s="1979"/>
      <c r="AC15" s="1980"/>
      <c r="AD15" s="3101"/>
      <c r="AE15" s="2673"/>
      <c r="AF15" s="2684"/>
      <c r="AG15" s="2685"/>
      <c r="AH15" s="1456"/>
      <c r="AI15" s="1459"/>
    </row>
    <row r="16" spans="1:36" ht="14.25" customHeight="1">
      <c r="A16" s="2541" t="s">
        <v>1081</v>
      </c>
      <c r="B16" s="1365">
        <v>1033.0999999999999</v>
      </c>
      <c r="C16" s="1421"/>
      <c r="D16" s="1365">
        <v>1099.5999999999999</v>
      </c>
      <c r="E16" s="1421"/>
      <c r="F16" s="1365">
        <v>2184.1999999999998</v>
      </c>
      <c r="G16" s="1365"/>
      <c r="H16" s="1365">
        <v>5115.3999999999987</v>
      </c>
      <c r="I16" s="2606"/>
      <c r="J16" s="1365">
        <v>1361.5</v>
      </c>
      <c r="K16" s="2606"/>
      <c r="L16" s="1365">
        <v>2635.7</v>
      </c>
      <c r="M16" s="2606"/>
      <c r="N16" s="1365">
        <v>1265.7999999999993</v>
      </c>
      <c r="O16" s="2606"/>
      <c r="P16" s="1789">
        <v>1287.4000000000015</v>
      </c>
      <c r="Q16" s="2606"/>
      <c r="R16" s="1789">
        <v>2416.4000000000024</v>
      </c>
      <c r="S16" s="2606"/>
      <c r="T16" s="1789">
        <f>$AA16-$B16-$D16-$F16-$H16-$J16-$L16-$N16-$P16-$R16</f>
        <v>4726.4999999999991</v>
      </c>
      <c r="U16" s="2606"/>
      <c r="V16" s="1789"/>
      <c r="W16" s="2606"/>
      <c r="X16" s="1789"/>
      <c r="Y16" s="2687"/>
      <c r="Z16" s="1459"/>
      <c r="AA16" s="1789">
        <v>23125.599999999999</v>
      </c>
      <c r="AB16" s="1979"/>
      <c r="AC16" s="1980"/>
      <c r="AD16" s="1789">
        <v>23108.2</v>
      </c>
      <c r="AE16" s="2673"/>
      <c r="AF16" s="2684"/>
      <c r="AG16" s="2688">
        <f>ROUND(SUM(AA16-AD16),1)</f>
        <v>17.399999999999999</v>
      </c>
      <c r="AH16" s="1456"/>
      <c r="AI16" s="1650">
        <f>ROUND(IF(AD16=0,0,AG16/ABS(AD16)),3)</f>
        <v>1E-3</v>
      </c>
    </row>
    <row r="17" spans="1:35" ht="6" customHeight="1">
      <c r="A17" s="2541"/>
      <c r="B17" s="1365"/>
      <c r="C17" s="1421"/>
      <c r="D17" s="1365">
        <v>0</v>
      </c>
      <c r="E17" s="1421"/>
      <c r="F17" s="1365">
        <v>0</v>
      </c>
      <c r="G17" s="2469"/>
      <c r="H17" s="1365"/>
      <c r="I17" s="1459"/>
      <c r="J17" s="1365"/>
      <c r="K17" s="1459"/>
      <c r="L17" s="1365"/>
      <c r="M17" s="1459"/>
      <c r="N17" s="1365"/>
      <c r="O17" s="1459"/>
      <c r="P17" s="1789"/>
      <c r="Q17" s="1459"/>
      <c r="R17" s="1789"/>
      <c r="S17" s="1459"/>
      <c r="T17" s="1789"/>
      <c r="U17" s="1459"/>
      <c r="V17" s="1789"/>
      <c r="W17" s="1459"/>
      <c r="X17" s="1789"/>
      <c r="Y17" s="2689"/>
      <c r="Z17" s="1459"/>
      <c r="AA17" s="1789"/>
      <c r="AB17" s="1981"/>
      <c r="AC17" s="1980"/>
      <c r="AD17" s="1789"/>
      <c r="AE17" s="2673"/>
      <c r="AF17" s="2684"/>
      <c r="AG17" s="2688"/>
      <c r="AH17" s="1456"/>
      <c r="AI17" s="1650"/>
    </row>
    <row r="18" spans="1:35" ht="14.25" customHeight="1">
      <c r="A18" s="2541" t="s">
        <v>1140</v>
      </c>
      <c r="B18" s="1444"/>
      <c r="C18" s="1443"/>
      <c r="D18" s="1365"/>
      <c r="E18" s="1443"/>
      <c r="F18" s="1365"/>
      <c r="G18" s="1443"/>
      <c r="H18" s="1444"/>
      <c r="I18" s="1459"/>
      <c r="J18" s="1365"/>
      <c r="K18" s="1459"/>
      <c r="L18" s="1365"/>
      <c r="M18" s="1459"/>
      <c r="N18" s="1365"/>
      <c r="O18" s="1459"/>
      <c r="P18" s="1789"/>
      <c r="Q18" s="1459"/>
      <c r="R18" s="1789" t="s">
        <v>15</v>
      </c>
      <c r="S18" s="1459"/>
      <c r="T18" s="1789"/>
      <c r="U18" s="1459"/>
      <c r="V18" s="1789"/>
      <c r="W18" s="1459"/>
      <c r="X18" s="1789"/>
      <c r="Y18" s="2687"/>
      <c r="Z18" s="1459"/>
      <c r="AA18" s="1462"/>
      <c r="AB18" s="1979"/>
      <c r="AC18" s="1980"/>
      <c r="AD18" s="1462"/>
      <c r="AE18" s="2673"/>
      <c r="AF18" s="2684"/>
      <c r="AG18" s="2685"/>
      <c r="AH18" s="1456"/>
      <c r="AI18" s="1459"/>
    </row>
    <row r="19" spans="1:35" ht="14.25" customHeight="1">
      <c r="A19" s="2234" t="s">
        <v>1093</v>
      </c>
      <c r="B19" s="1365">
        <v>394.2</v>
      </c>
      <c r="C19" s="1421"/>
      <c r="D19" s="1365">
        <v>369.7</v>
      </c>
      <c r="E19" s="1421"/>
      <c r="F19" s="1365">
        <v>572</v>
      </c>
      <c r="G19" s="1443"/>
      <c r="H19" s="1365">
        <v>529.69999999999982</v>
      </c>
      <c r="I19" s="2606"/>
      <c r="J19" s="1365">
        <v>536.30000000000018</v>
      </c>
      <c r="K19" s="2606"/>
      <c r="L19" s="1365">
        <v>708.90000000000055</v>
      </c>
      <c r="M19" s="2606"/>
      <c r="N19" s="1365">
        <v>549.89999999999964</v>
      </c>
      <c r="O19" s="2606"/>
      <c r="P19" s="1789">
        <v>544.90000000000055</v>
      </c>
      <c r="Q19" s="2606"/>
      <c r="R19" s="1789">
        <v>706.69999999999982</v>
      </c>
      <c r="S19" s="2606"/>
      <c r="T19" s="1789">
        <f>$AA19-$B19-$D19-$F19-$H19-$J19-$L19-$N19-$P19-$R19</f>
        <v>597.80000000000018</v>
      </c>
      <c r="U19" s="2606"/>
      <c r="V19" s="1789"/>
      <c r="W19" s="2606"/>
      <c r="X19" s="1789"/>
      <c r="Y19" s="2687"/>
      <c r="Z19" s="1459"/>
      <c r="AA19" s="1789">
        <v>5510.1</v>
      </c>
      <c r="AB19" s="1979"/>
      <c r="AC19" s="1980"/>
      <c r="AD19" s="1789">
        <v>6293.8</v>
      </c>
      <c r="AE19" s="2673"/>
      <c r="AF19" s="2684"/>
      <c r="AG19" s="2688">
        <f>ROUND(SUM(AA19-AD19),1)</f>
        <v>-783.7</v>
      </c>
      <c r="AH19" s="1456"/>
      <c r="AI19" s="1426">
        <f>ROUND(IF(AD19=0,0,AG19/ABS(AD19)),3)</f>
        <v>-0.125</v>
      </c>
    </row>
    <row r="20" spans="1:35" ht="14.25" customHeight="1">
      <c r="A20" s="2473" t="s">
        <v>1092</v>
      </c>
      <c r="B20" s="1460">
        <f>ROUND(SUM(B19:B19),1)</f>
        <v>394.2</v>
      </c>
      <c r="C20" s="1461"/>
      <c r="D20" s="1460">
        <f>ROUND(SUM(D19:D19),1)</f>
        <v>369.7</v>
      </c>
      <c r="E20" s="1461"/>
      <c r="F20" s="1460">
        <f>ROUND(SUM(F19:F19),1)</f>
        <v>572</v>
      </c>
      <c r="G20" s="1461"/>
      <c r="H20" s="1460">
        <f>ROUND(SUM(H19:H19),1)</f>
        <v>529.70000000000005</v>
      </c>
      <c r="I20" s="1459"/>
      <c r="J20" s="1460">
        <f>ROUND(SUM(J19:J19),1)</f>
        <v>536.29999999999995</v>
      </c>
      <c r="K20" s="1459"/>
      <c r="L20" s="1460">
        <f>ROUND(SUM(L19:L19),1)</f>
        <v>708.9</v>
      </c>
      <c r="M20" s="1459"/>
      <c r="N20" s="1460">
        <f>ROUND(SUM(N19:N19),1)</f>
        <v>549.9</v>
      </c>
      <c r="O20" s="1459"/>
      <c r="P20" s="1460">
        <f>ROUND(SUM(P19:P19),1)</f>
        <v>544.9</v>
      </c>
      <c r="Q20" s="1459"/>
      <c r="R20" s="1460">
        <f>ROUND(SUM(R19:R19),1)</f>
        <v>706.7</v>
      </c>
      <c r="S20" s="1459"/>
      <c r="T20" s="1460">
        <f>ROUND(SUM(T19:T19),1)</f>
        <v>597.79999999999995</v>
      </c>
      <c r="U20" s="1459"/>
      <c r="V20" s="1460">
        <f>ROUND(SUM(V19:V19),1)</f>
        <v>0</v>
      </c>
      <c r="W20" s="1459"/>
      <c r="X20" s="1460">
        <f>ROUND(SUM(X19:X19),1)</f>
        <v>0</v>
      </c>
      <c r="Y20" s="2687"/>
      <c r="Z20" s="1459"/>
      <c r="AA20" s="1460">
        <f>ROUND(SUM(AA19:AA19),1)</f>
        <v>5510.1</v>
      </c>
      <c r="AB20" s="1979"/>
      <c r="AC20" s="1980"/>
      <c r="AD20" s="1460">
        <f>ROUND(SUM(AD19:AD19),1)</f>
        <v>6293.8</v>
      </c>
      <c r="AE20" s="2673"/>
      <c r="AF20" s="2684"/>
      <c r="AG20" s="2690">
        <f>ROUND(SUM(AA20-AD20),1)</f>
        <v>-783.7</v>
      </c>
      <c r="AH20" s="2657"/>
      <c r="AI20" s="1442">
        <f>ROUND(IF(AD20=0,0,AG20/ABS(AD20)),3)</f>
        <v>-0.125</v>
      </c>
    </row>
    <row r="21" spans="1:35" ht="14.25" customHeight="1">
      <c r="A21" s="2463" t="s">
        <v>1142</v>
      </c>
      <c r="B21" s="1444"/>
      <c r="C21" s="1461"/>
      <c r="D21" s="1444"/>
      <c r="E21" s="1461"/>
      <c r="F21" s="1444"/>
      <c r="G21" s="1461"/>
      <c r="H21" s="1444"/>
      <c r="I21" s="1459"/>
      <c r="J21" s="1444"/>
      <c r="K21" s="1459"/>
      <c r="L21" s="1444"/>
      <c r="M21" s="1459"/>
      <c r="N21" s="1444"/>
      <c r="O21" s="1459"/>
      <c r="P21" s="1444"/>
      <c r="Q21" s="1459"/>
      <c r="R21" s="1444"/>
      <c r="S21" s="1459"/>
      <c r="T21" s="1444"/>
      <c r="U21" s="1459"/>
      <c r="V21" s="1444"/>
      <c r="W21" s="1459"/>
      <c r="X21" s="1444"/>
      <c r="Y21" s="2687"/>
      <c r="Z21" s="1459"/>
      <c r="AA21" s="1462"/>
      <c r="AB21" s="1979"/>
      <c r="AC21" s="1980"/>
      <c r="AD21" s="1462"/>
      <c r="AE21" s="2673"/>
      <c r="AF21" s="2684"/>
      <c r="AG21" s="2685"/>
      <c r="AH21" s="1456"/>
      <c r="AI21" s="1459"/>
    </row>
    <row r="22" spans="1:35" ht="14.25" customHeight="1">
      <c r="A22" s="2234" t="s">
        <v>1110</v>
      </c>
      <c r="B22" s="1365">
        <v>57.2</v>
      </c>
      <c r="C22" s="1421"/>
      <c r="D22" s="1365">
        <v>48.399999999999991</v>
      </c>
      <c r="E22" s="1421"/>
      <c r="F22" s="1365">
        <v>37.900000000000006</v>
      </c>
      <c r="G22" s="1461"/>
      <c r="H22" s="1789">
        <v>53.000000000000014</v>
      </c>
      <c r="I22" s="2606"/>
      <c r="J22" s="1365">
        <v>56.399999999999991</v>
      </c>
      <c r="K22" s="2606"/>
      <c r="L22" s="1365">
        <v>70.300000000000011</v>
      </c>
      <c r="M22" s="2606"/>
      <c r="N22" s="1789">
        <v>65.800000000000011</v>
      </c>
      <c r="O22" s="2606"/>
      <c r="P22" s="1789">
        <v>78.899999999999977</v>
      </c>
      <c r="Q22" s="2606"/>
      <c r="R22" s="1789">
        <v>95.200000000000045</v>
      </c>
      <c r="S22" s="2606"/>
      <c r="T22" s="1789">
        <f t="shared" ref="T22:T23" si="0">$AA22-$B22-$D22-$F22-$H22-$J22-$L22-$N22-$P22-$R22</f>
        <v>110.89999999999998</v>
      </c>
      <c r="U22" s="2606"/>
      <c r="V22" s="1789"/>
      <c r="W22" s="2606"/>
      <c r="X22" s="1789"/>
      <c r="Y22" s="2687"/>
      <c r="Z22" s="1459"/>
      <c r="AA22" s="1789">
        <v>674</v>
      </c>
      <c r="AB22" s="1979"/>
      <c r="AC22" s="1980"/>
      <c r="AD22" s="1789">
        <v>856.7</v>
      </c>
      <c r="AE22" s="2673"/>
      <c r="AF22" s="2684"/>
      <c r="AG22" s="2688">
        <f>ROUND(SUM(AA22-AD22),1)</f>
        <v>-182.7</v>
      </c>
      <c r="AH22" s="1456"/>
      <c r="AI22" s="1426">
        <f>ROUND(IF(AD22=0,0,AG22/ABS(AD22)),3)</f>
        <v>-0.21299999999999999</v>
      </c>
    </row>
    <row r="23" spans="1:35" ht="14.25" customHeight="1">
      <c r="A23" s="2470" t="s">
        <v>1370</v>
      </c>
      <c r="B23" s="1365">
        <v>0.1</v>
      </c>
      <c r="C23" s="1443"/>
      <c r="D23" s="1365">
        <v>-0.1</v>
      </c>
      <c r="E23" s="1443"/>
      <c r="F23" s="1365">
        <v>0.1</v>
      </c>
      <c r="G23" s="1443"/>
      <c r="H23" s="1789">
        <v>0.1</v>
      </c>
      <c r="I23" s="2704"/>
      <c r="J23" s="1365">
        <v>9.9999999999999978E-2</v>
      </c>
      <c r="K23" s="2704"/>
      <c r="L23" s="1365">
        <v>0.10000000000000006</v>
      </c>
      <c r="M23" s="2704"/>
      <c r="N23" s="1789">
        <v>0.19999999999999998</v>
      </c>
      <c r="O23" s="2704"/>
      <c r="P23" s="1789">
        <v>9.999999999999995E-2</v>
      </c>
      <c r="Q23" s="2704"/>
      <c r="R23" s="1789">
        <v>0.4</v>
      </c>
      <c r="S23" s="2704"/>
      <c r="T23" s="1789">
        <f t="shared" si="0"/>
        <v>0.2999999999999996</v>
      </c>
      <c r="U23" s="2704"/>
      <c r="V23" s="1789"/>
      <c r="W23" s="2704"/>
      <c r="X23" s="1789"/>
      <c r="Y23" s="3555"/>
      <c r="Z23" s="2704"/>
      <c r="AA23" s="1789">
        <v>1.4</v>
      </c>
      <c r="AB23" s="3556"/>
      <c r="AC23" s="3557"/>
      <c r="AD23" s="1789">
        <v>1</v>
      </c>
      <c r="AE23" s="3558"/>
      <c r="AF23" s="3559"/>
      <c r="AG23" s="2688">
        <f>ROUND(SUM(AA23-AD23),1)</f>
        <v>0.4</v>
      </c>
      <c r="AH23" s="1456"/>
      <c r="AI23" s="1650">
        <f>ROUND(IF(AD23=0,1,AG23/ABS(AD23)),3)</f>
        <v>0.4</v>
      </c>
    </row>
    <row r="24" spans="1:35" ht="14.25" customHeight="1">
      <c r="A24" s="2473" t="s">
        <v>1105</v>
      </c>
      <c r="B24" s="1982">
        <f>ROUND(SUM(B22:B23),1)</f>
        <v>57.3</v>
      </c>
      <c r="C24" s="1461"/>
      <c r="D24" s="2042">
        <f>ROUND(SUM(D22:D23),1)</f>
        <v>48.3</v>
      </c>
      <c r="E24" s="1461"/>
      <c r="F24" s="2042">
        <f>ROUND(SUM(F22:F23),1)</f>
        <v>38</v>
      </c>
      <c r="G24" s="1461"/>
      <c r="H24" s="2042">
        <f>ROUND(SUM(H22:H23),1)</f>
        <v>53.1</v>
      </c>
      <c r="I24" s="1459"/>
      <c r="J24" s="2042">
        <f>ROUND(SUM(J22:J23),1)</f>
        <v>56.5</v>
      </c>
      <c r="K24" s="1459"/>
      <c r="L24" s="2042">
        <f>ROUND(SUM(L22:L23),1)</f>
        <v>70.400000000000006</v>
      </c>
      <c r="M24" s="1459"/>
      <c r="N24" s="2042">
        <f>ROUND(SUM(N22:N23),1)</f>
        <v>66</v>
      </c>
      <c r="O24" s="1459"/>
      <c r="P24" s="2042">
        <f>ROUND(SUM(P22:P23),1)</f>
        <v>79</v>
      </c>
      <c r="Q24" s="1459"/>
      <c r="R24" s="2042">
        <f>ROUND(SUM(R22:R23),1)</f>
        <v>95.6</v>
      </c>
      <c r="S24" s="1459"/>
      <c r="T24" s="2042">
        <f>ROUND(SUM(T22:T23),1)</f>
        <v>111.2</v>
      </c>
      <c r="U24" s="1459"/>
      <c r="V24" s="2042">
        <f>ROUND(SUM(V22:V23),1)</f>
        <v>0</v>
      </c>
      <c r="W24" s="1459"/>
      <c r="X24" s="2042">
        <f>ROUND(SUM(X22:X23),1)</f>
        <v>0</v>
      </c>
      <c r="Y24" s="2687"/>
      <c r="Z24" s="1459"/>
      <c r="AA24" s="1460">
        <f>SUM(AA22:AA23)</f>
        <v>675.4</v>
      </c>
      <c r="AB24" s="1979"/>
      <c r="AC24" s="1980"/>
      <c r="AD24" s="1460">
        <f>SUM(AD22:AD23)</f>
        <v>857.7</v>
      </c>
      <c r="AE24" s="2673"/>
      <c r="AF24" s="2684"/>
      <c r="AG24" s="2691">
        <f>ROUND(SUM(AA24-AD24),1)</f>
        <v>-182.3</v>
      </c>
      <c r="AH24" s="2657"/>
      <c r="AI24" s="1455">
        <f>ROUND(IF(AD24=0,0,AG24/ABS(AD24)),3)</f>
        <v>-0.21299999999999999</v>
      </c>
    </row>
    <row r="25" spans="1:35" ht="14.25" customHeight="1">
      <c r="A25" s="2473"/>
      <c r="B25" s="1982"/>
      <c r="C25" s="1461"/>
      <c r="D25" s="1444"/>
      <c r="E25" s="1461"/>
      <c r="F25" s="1444"/>
      <c r="G25" s="1444"/>
      <c r="H25" s="1444"/>
      <c r="I25" s="1456"/>
      <c r="J25" s="1444"/>
      <c r="K25" s="1456"/>
      <c r="L25" s="1444"/>
      <c r="M25" s="1456"/>
      <c r="N25" s="1444"/>
      <c r="O25" s="1456"/>
      <c r="P25" s="1444"/>
      <c r="Q25" s="1456"/>
      <c r="R25" s="1444"/>
      <c r="S25" s="1456"/>
      <c r="T25" s="1444"/>
      <c r="U25" s="1456"/>
      <c r="V25" s="1444"/>
      <c r="W25" s="1456"/>
      <c r="X25" s="1444"/>
      <c r="Y25" s="2687"/>
      <c r="Z25" s="1459"/>
      <c r="AA25" s="1982"/>
      <c r="AB25" s="1979"/>
      <c r="AC25" s="1980"/>
      <c r="AD25" s="3471"/>
      <c r="AE25" s="2673"/>
      <c r="AF25" s="2684"/>
      <c r="AG25" s="2685"/>
      <c r="AH25" s="1456"/>
      <c r="AI25" s="1456"/>
    </row>
    <row r="26" spans="1:35" ht="14.25" customHeight="1">
      <c r="A26" s="2473" t="s">
        <v>1106</v>
      </c>
      <c r="B26" s="2482">
        <f>ROUND(SUM(B16+B20+B24),1)</f>
        <v>1484.6</v>
      </c>
      <c r="C26" s="1443"/>
      <c r="D26" s="2482">
        <f>ROUND(SUM(D16+D20+D24),1)</f>
        <v>1517.6</v>
      </c>
      <c r="E26" s="1443"/>
      <c r="F26" s="2482">
        <f>ROUND(SUM(F16+F20+F24),1)</f>
        <v>2794.2</v>
      </c>
      <c r="G26" s="1443"/>
      <c r="H26" s="2482">
        <f>ROUND(SUM(H16+H20+H24),1)</f>
        <v>5698.2</v>
      </c>
      <c r="I26" s="1459"/>
      <c r="J26" s="1983">
        <f>ROUND(SUM(J16+J20+J24),1)</f>
        <v>1954.3</v>
      </c>
      <c r="K26" s="1459"/>
      <c r="L26" s="1983">
        <f>ROUND(SUM(L16+L20+L24),1)</f>
        <v>3415</v>
      </c>
      <c r="M26" s="1459"/>
      <c r="N26" s="1983">
        <f>ROUND(SUM(N16+N20+N24),1)</f>
        <v>1881.7</v>
      </c>
      <c r="O26" s="1459"/>
      <c r="P26" s="1983">
        <f>ROUND(SUM(P16+P20+P24),1)</f>
        <v>1911.3</v>
      </c>
      <c r="Q26" s="1459"/>
      <c r="R26" s="1983">
        <f>ROUND(SUM(R16+R20+R24),1)</f>
        <v>3218.7</v>
      </c>
      <c r="S26" s="1459"/>
      <c r="T26" s="1983">
        <f>ROUND(SUM(T16+T20+T24),1)</f>
        <v>5435.5</v>
      </c>
      <c r="U26" s="1459"/>
      <c r="V26" s="1983">
        <f>ROUND(SUM(V16+V20+V24),1)</f>
        <v>0</v>
      </c>
      <c r="W26" s="1459"/>
      <c r="X26" s="1983">
        <f>ROUND(SUM(X16+X20+X24),1)</f>
        <v>0</v>
      </c>
      <c r="Y26" s="2687"/>
      <c r="Z26" s="1459"/>
      <c r="AA26" s="1983">
        <f>ROUND(SUM(AA16+AA20+AA24),1)</f>
        <v>29311.1</v>
      </c>
      <c r="AB26" s="1979"/>
      <c r="AC26" s="1980"/>
      <c r="AD26" s="1983">
        <f>ROUND(SUM(AD16+AD20+AD24),1)</f>
        <v>30259.7</v>
      </c>
      <c r="AE26" s="2673"/>
      <c r="AF26" s="2684"/>
      <c r="AG26" s="1983">
        <f>ROUND(SUM(AG16+AG20+AG24),1)</f>
        <v>-948.6</v>
      </c>
      <c r="AH26" s="2657"/>
      <c r="AI26" s="1457">
        <f>ROUND(IF(AD26=0,0,AG26/ABS(AD26)),3)</f>
        <v>-3.1E-2</v>
      </c>
    </row>
    <row r="27" spans="1:35" ht="14.25" customHeight="1">
      <c r="A27" s="2462"/>
      <c r="B27" s="1443"/>
      <c r="C27" s="1443"/>
      <c r="D27" s="1443"/>
      <c r="E27" s="1443"/>
      <c r="F27" s="1443"/>
      <c r="G27" s="1443"/>
      <c r="H27" s="1443"/>
      <c r="I27" s="1459"/>
      <c r="J27" s="2006"/>
      <c r="K27" s="1459"/>
      <c r="L27" s="2006"/>
      <c r="M27" s="1459"/>
      <c r="N27" s="2006"/>
      <c r="O27" s="1459"/>
      <c r="P27" s="2006"/>
      <c r="Q27" s="1459"/>
      <c r="R27" s="2006"/>
      <c r="S27" s="1459"/>
      <c r="T27" s="2006"/>
      <c r="U27" s="1459"/>
      <c r="V27" s="2006"/>
      <c r="W27" s="1459"/>
      <c r="X27" s="2006"/>
      <c r="Y27" s="2687"/>
      <c r="Z27" s="1459"/>
      <c r="AA27" s="1443"/>
      <c r="AB27" s="1979"/>
      <c r="AC27" s="1980"/>
      <c r="AD27" s="2000"/>
      <c r="AE27" s="2673"/>
      <c r="AF27" s="2684"/>
      <c r="AG27" s="2685"/>
      <c r="AH27" s="1456"/>
      <c r="AI27" s="1459"/>
    </row>
    <row r="28" spans="1:35" ht="14.25" customHeight="1">
      <c r="A28" s="2462" t="s">
        <v>1014</v>
      </c>
      <c r="B28" s="1984"/>
      <c r="C28" s="1998"/>
      <c r="D28" s="1998"/>
      <c r="E28" s="1998"/>
      <c r="F28" s="1998"/>
      <c r="G28" s="1998"/>
      <c r="H28" s="1998"/>
      <c r="I28" s="1978"/>
      <c r="J28" s="1978"/>
      <c r="K28" s="1978"/>
      <c r="L28" s="1978"/>
      <c r="M28" s="1978"/>
      <c r="N28" s="1978"/>
      <c r="O28" s="1978"/>
      <c r="P28" s="1978"/>
      <c r="Q28" s="1978"/>
      <c r="R28" s="1978"/>
      <c r="S28" s="1978"/>
      <c r="T28" s="1978"/>
      <c r="U28" s="1978"/>
      <c r="V28" s="1978"/>
      <c r="W28" s="1978"/>
      <c r="X28" s="1978"/>
      <c r="Y28" s="1985"/>
      <c r="Z28" s="1978"/>
      <c r="AA28" s="1984"/>
      <c r="AB28" s="1985"/>
      <c r="AC28" s="1978"/>
      <c r="AD28" s="1984"/>
      <c r="AE28" s="2692"/>
      <c r="AF28" s="2693"/>
      <c r="AG28" s="2688"/>
      <c r="AH28" s="1456"/>
      <c r="AI28" s="1458"/>
    </row>
    <row r="29" spans="1:35" ht="14.25" customHeight="1">
      <c r="A29" s="2485" t="s">
        <v>1134</v>
      </c>
      <c r="B29" s="1984"/>
      <c r="C29" s="1998"/>
      <c r="D29" s="1998"/>
      <c r="E29" s="1998"/>
      <c r="F29" s="1998"/>
      <c r="G29" s="1998"/>
      <c r="H29" s="1998"/>
      <c r="I29" s="1978"/>
      <c r="J29" s="1978"/>
      <c r="K29" s="1978"/>
      <c r="L29" s="1978"/>
      <c r="M29" s="1978"/>
      <c r="N29" s="1978"/>
      <c r="O29" s="1978"/>
      <c r="P29" s="1978"/>
      <c r="Q29" s="1978"/>
      <c r="R29" s="1978"/>
      <c r="S29" s="1978"/>
      <c r="T29" s="1978"/>
      <c r="U29" s="1978"/>
      <c r="V29" s="1978"/>
      <c r="W29" s="1978"/>
      <c r="X29" s="1978"/>
      <c r="Y29" s="1986"/>
      <c r="Z29" s="1978"/>
      <c r="AA29" s="1984"/>
      <c r="AB29" s="1986"/>
      <c r="AC29" s="1978"/>
      <c r="AD29" s="1984"/>
      <c r="AE29" s="2692"/>
      <c r="AF29" s="2693"/>
      <c r="AG29" s="2688"/>
      <c r="AH29" s="1456"/>
      <c r="AI29" s="1458"/>
    </row>
    <row r="30" spans="1:35" ht="14.25" customHeight="1">
      <c r="A30" s="2485" t="s">
        <v>1018</v>
      </c>
      <c r="B30" s="1365">
        <v>0</v>
      </c>
      <c r="C30" s="1998"/>
      <c r="D30" s="1365">
        <v>0</v>
      </c>
      <c r="E30" s="1998"/>
      <c r="F30" s="1365">
        <v>0</v>
      </c>
      <c r="G30" s="1998"/>
      <c r="H30" s="1365">
        <v>0</v>
      </c>
      <c r="I30" s="2606"/>
      <c r="J30" s="1365">
        <v>0</v>
      </c>
      <c r="K30" s="2606"/>
      <c r="L30" s="1365">
        <v>0</v>
      </c>
      <c r="M30" s="2606"/>
      <c r="N30" s="1365">
        <v>0</v>
      </c>
      <c r="O30" s="2606"/>
      <c r="P30" s="1789">
        <v>0</v>
      </c>
      <c r="Q30" s="2606"/>
      <c r="R30" s="1789">
        <v>0</v>
      </c>
      <c r="S30" s="2606"/>
      <c r="T30" s="1789">
        <f t="shared" ref="T30:T46" si="1">$AA30-$B30-$D30-$F30-$H30-$J30-$L30-$N30-$P30-$R30</f>
        <v>0</v>
      </c>
      <c r="U30" s="2606"/>
      <c r="V30" s="1789"/>
      <c r="W30" s="2606"/>
      <c r="X30" s="1789"/>
      <c r="Y30" s="2687"/>
      <c r="Z30" s="1459"/>
      <c r="AA30" s="1789">
        <v>0</v>
      </c>
      <c r="AB30" s="1979"/>
      <c r="AC30" s="1980"/>
      <c r="AD30" s="1789">
        <v>0</v>
      </c>
      <c r="AE30" s="2692"/>
      <c r="AF30" s="2693"/>
      <c r="AG30" s="2688">
        <f>ROUND(SUM(AA30-AD30),1)</f>
        <v>0</v>
      </c>
      <c r="AH30" s="1456"/>
      <c r="AI30" s="1426">
        <f>ROUND(IF(AD30=0,0,AG30/ABS(AD30)),3)</f>
        <v>0</v>
      </c>
    </row>
    <row r="31" spans="1:35" ht="14.25" customHeight="1">
      <c r="A31" s="2485" t="s">
        <v>1139</v>
      </c>
      <c r="B31" s="1365" t="s">
        <v>15</v>
      </c>
      <c r="C31" s="1998"/>
      <c r="D31" s="1365"/>
      <c r="E31" s="1998"/>
      <c r="F31" s="1365"/>
      <c r="G31" s="1998"/>
      <c r="H31" s="1365"/>
      <c r="I31" s="2606"/>
      <c r="J31" s="1365"/>
      <c r="K31" s="2606"/>
      <c r="L31" s="1365"/>
      <c r="M31" s="2606"/>
      <c r="N31" s="1365"/>
      <c r="O31" s="2606"/>
      <c r="P31" s="1789"/>
      <c r="Q31" s="2606"/>
      <c r="R31" s="1789"/>
      <c r="S31" s="2606"/>
      <c r="T31" s="1789"/>
      <c r="U31" s="2606"/>
      <c r="V31" s="1789"/>
      <c r="W31" s="2606"/>
      <c r="X31" s="1789"/>
      <c r="Y31" s="2687"/>
      <c r="Z31" s="1459"/>
      <c r="AA31" s="1789"/>
      <c r="AB31" s="1979"/>
      <c r="AC31" s="1980"/>
      <c r="AD31" s="1789"/>
      <c r="AE31" s="2692"/>
      <c r="AF31" s="2693"/>
      <c r="AG31" s="2688"/>
      <c r="AH31" s="1456"/>
      <c r="AI31" s="1458"/>
    </row>
    <row r="32" spans="1:35" ht="14.25" customHeight="1">
      <c r="A32" s="2485" t="s">
        <v>1021</v>
      </c>
      <c r="B32" s="1365">
        <v>0</v>
      </c>
      <c r="C32" s="1998"/>
      <c r="D32" s="1365">
        <v>0</v>
      </c>
      <c r="E32" s="1998"/>
      <c r="F32" s="1365">
        <v>0</v>
      </c>
      <c r="G32" s="1998"/>
      <c r="H32" s="1365">
        <v>0</v>
      </c>
      <c r="I32" s="2606"/>
      <c r="J32" s="1365">
        <v>0</v>
      </c>
      <c r="K32" s="2606"/>
      <c r="L32" s="1365">
        <v>0</v>
      </c>
      <c r="M32" s="2606"/>
      <c r="N32" s="1365">
        <v>0</v>
      </c>
      <c r="O32" s="2606"/>
      <c r="P32" s="1789">
        <v>0</v>
      </c>
      <c r="Q32" s="2606"/>
      <c r="R32" s="1789">
        <v>0</v>
      </c>
      <c r="S32" s="2606"/>
      <c r="T32" s="1789">
        <f t="shared" si="1"/>
        <v>0</v>
      </c>
      <c r="U32" s="2606"/>
      <c r="V32" s="1789"/>
      <c r="W32" s="2606"/>
      <c r="X32" s="1789"/>
      <c r="Y32" s="2687"/>
      <c r="Z32" s="1459"/>
      <c r="AA32" s="1789">
        <v>0</v>
      </c>
      <c r="AB32" s="1979"/>
      <c r="AC32" s="1980"/>
      <c r="AD32" s="1789">
        <v>0</v>
      </c>
      <c r="AE32" s="2692"/>
      <c r="AF32" s="2693"/>
      <c r="AG32" s="2688">
        <f t="shared" ref="AG32:AG42" si="2">ROUND(SUM(AA32-AD32),1)</f>
        <v>0</v>
      </c>
      <c r="AH32" s="1456"/>
      <c r="AI32" s="1426">
        <f t="shared" ref="AI32:AI42" si="3">ROUND(IF(AD32=0,0,AG32/ABS(AD32)),3)</f>
        <v>0</v>
      </c>
    </row>
    <row r="33" spans="1:36" ht="14.25" customHeight="1">
      <c r="A33" s="2485" t="s">
        <v>1022</v>
      </c>
      <c r="B33" s="1365">
        <v>0</v>
      </c>
      <c r="C33" s="1998"/>
      <c r="D33" s="1365">
        <v>0</v>
      </c>
      <c r="E33" s="1998"/>
      <c r="F33" s="1365">
        <v>0</v>
      </c>
      <c r="G33" s="1998"/>
      <c r="H33" s="1365">
        <v>0</v>
      </c>
      <c r="I33" s="2606"/>
      <c r="J33" s="1365">
        <v>0</v>
      </c>
      <c r="K33" s="2606"/>
      <c r="L33" s="1365">
        <v>0</v>
      </c>
      <c r="M33" s="2606"/>
      <c r="N33" s="1365">
        <v>0</v>
      </c>
      <c r="O33" s="2606"/>
      <c r="P33" s="1789">
        <v>0</v>
      </c>
      <c r="Q33" s="2606"/>
      <c r="R33" s="1789">
        <v>0</v>
      </c>
      <c r="S33" s="2606"/>
      <c r="T33" s="1789">
        <f t="shared" si="1"/>
        <v>0</v>
      </c>
      <c r="U33" s="2606"/>
      <c r="V33" s="1789"/>
      <c r="W33" s="2606"/>
      <c r="X33" s="1789"/>
      <c r="Y33" s="2687"/>
      <c r="Z33" s="1459"/>
      <c r="AA33" s="1789">
        <v>0</v>
      </c>
      <c r="AB33" s="1979"/>
      <c r="AC33" s="1980"/>
      <c r="AD33" s="1789">
        <v>0</v>
      </c>
      <c r="AE33" s="2692"/>
      <c r="AF33" s="2693"/>
      <c r="AG33" s="2688">
        <f t="shared" si="2"/>
        <v>0</v>
      </c>
      <c r="AH33" s="1456"/>
      <c r="AI33" s="1426">
        <f t="shared" si="3"/>
        <v>0</v>
      </c>
    </row>
    <row r="34" spans="1:36" ht="14.25" customHeight="1">
      <c r="A34" s="2485" t="s">
        <v>1023</v>
      </c>
      <c r="B34" s="1365">
        <v>0</v>
      </c>
      <c r="C34" s="1998"/>
      <c r="D34" s="1365">
        <v>0</v>
      </c>
      <c r="E34" s="1998"/>
      <c r="F34" s="1365">
        <v>0</v>
      </c>
      <c r="G34" s="1998"/>
      <c r="H34" s="1365">
        <v>0</v>
      </c>
      <c r="I34" s="2606"/>
      <c r="J34" s="1365">
        <v>0</v>
      </c>
      <c r="K34" s="2606"/>
      <c r="L34" s="1365">
        <v>0</v>
      </c>
      <c r="M34" s="2606"/>
      <c r="N34" s="1365">
        <v>0</v>
      </c>
      <c r="O34" s="2606"/>
      <c r="P34" s="1789">
        <v>0</v>
      </c>
      <c r="Q34" s="2606"/>
      <c r="R34" s="1789">
        <v>0</v>
      </c>
      <c r="S34" s="2606"/>
      <c r="T34" s="1789">
        <f t="shared" si="1"/>
        <v>0</v>
      </c>
      <c r="U34" s="2606"/>
      <c r="V34" s="1789"/>
      <c r="W34" s="2606"/>
      <c r="X34" s="1789"/>
      <c r="Y34" s="2687"/>
      <c r="Z34" s="1459"/>
      <c r="AA34" s="1789">
        <v>0</v>
      </c>
      <c r="AB34" s="1979"/>
      <c r="AC34" s="1980"/>
      <c r="AD34" s="1789">
        <v>0</v>
      </c>
      <c r="AE34" s="2692"/>
      <c r="AF34" s="2693"/>
      <c r="AG34" s="2688">
        <f t="shared" si="2"/>
        <v>0</v>
      </c>
      <c r="AH34" s="1456"/>
      <c r="AI34" s="1426">
        <f t="shared" si="3"/>
        <v>0</v>
      </c>
    </row>
    <row r="35" spans="1:36" ht="14.25" customHeight="1">
      <c r="A35" s="2485" t="s">
        <v>1024</v>
      </c>
      <c r="B35" s="1365">
        <v>0</v>
      </c>
      <c r="C35" s="1998"/>
      <c r="D35" s="1365">
        <v>0</v>
      </c>
      <c r="E35" s="1998"/>
      <c r="F35" s="1365">
        <v>0</v>
      </c>
      <c r="G35" s="1998"/>
      <c r="H35" s="1365">
        <v>0</v>
      </c>
      <c r="I35" s="2606"/>
      <c r="J35" s="1365">
        <v>0</v>
      </c>
      <c r="K35" s="2606"/>
      <c r="L35" s="1365">
        <v>0</v>
      </c>
      <c r="M35" s="2606"/>
      <c r="N35" s="1365">
        <v>0</v>
      </c>
      <c r="O35" s="2606"/>
      <c r="P35" s="1789">
        <v>0</v>
      </c>
      <c r="Q35" s="2606"/>
      <c r="R35" s="1789">
        <v>0</v>
      </c>
      <c r="S35" s="2606"/>
      <c r="T35" s="1789">
        <f t="shared" si="1"/>
        <v>0</v>
      </c>
      <c r="U35" s="2606"/>
      <c r="V35" s="1789"/>
      <c r="W35" s="2606"/>
      <c r="X35" s="1789"/>
      <c r="Y35" s="2687"/>
      <c r="Z35" s="1459"/>
      <c r="AA35" s="1789">
        <v>0</v>
      </c>
      <c r="AB35" s="1979"/>
      <c r="AC35" s="1980"/>
      <c r="AD35" s="1789">
        <v>0</v>
      </c>
      <c r="AE35" s="2692"/>
      <c r="AF35" s="2693"/>
      <c r="AG35" s="2688">
        <f t="shared" si="2"/>
        <v>0</v>
      </c>
      <c r="AH35" s="1456"/>
      <c r="AI35" s="1426">
        <f t="shared" si="3"/>
        <v>0</v>
      </c>
    </row>
    <row r="36" spans="1:36" ht="14.25" customHeight="1">
      <c r="A36" s="2485" t="s">
        <v>1025</v>
      </c>
      <c r="B36" s="1365">
        <v>0</v>
      </c>
      <c r="C36" s="1998"/>
      <c r="D36" s="1365">
        <v>0</v>
      </c>
      <c r="E36" s="1998"/>
      <c r="F36" s="1365">
        <v>0</v>
      </c>
      <c r="G36" s="1998"/>
      <c r="H36" s="1365">
        <v>0</v>
      </c>
      <c r="I36" s="2606"/>
      <c r="J36" s="1365">
        <v>0</v>
      </c>
      <c r="K36" s="2606"/>
      <c r="L36" s="1365">
        <v>0</v>
      </c>
      <c r="M36" s="2606"/>
      <c r="N36" s="1365">
        <v>0</v>
      </c>
      <c r="O36" s="2606"/>
      <c r="P36" s="1789">
        <v>0</v>
      </c>
      <c r="Q36" s="2606"/>
      <c r="R36" s="1789">
        <v>0</v>
      </c>
      <c r="S36" s="2606"/>
      <c r="T36" s="1789">
        <f t="shared" si="1"/>
        <v>0</v>
      </c>
      <c r="U36" s="2606"/>
      <c r="V36" s="1789"/>
      <c r="W36" s="2606"/>
      <c r="X36" s="1789"/>
      <c r="Y36" s="2687"/>
      <c r="Z36" s="1459"/>
      <c r="AA36" s="1789">
        <v>0</v>
      </c>
      <c r="AB36" s="1979"/>
      <c r="AC36" s="1980"/>
      <c r="AD36" s="1789">
        <v>0</v>
      </c>
      <c r="AE36" s="2692"/>
      <c r="AF36" s="2693"/>
      <c r="AG36" s="2688">
        <f t="shared" si="2"/>
        <v>0</v>
      </c>
      <c r="AH36" s="1456"/>
      <c r="AI36" s="1426">
        <f t="shared" si="3"/>
        <v>0</v>
      </c>
    </row>
    <row r="37" spans="1:36" ht="14.25" customHeight="1">
      <c r="A37" s="2485" t="s">
        <v>1026</v>
      </c>
      <c r="B37" s="1365">
        <v>0</v>
      </c>
      <c r="C37" s="1998"/>
      <c r="D37" s="1365">
        <v>0</v>
      </c>
      <c r="E37" s="1998"/>
      <c r="F37" s="1365">
        <v>0</v>
      </c>
      <c r="G37" s="1998"/>
      <c r="H37" s="1365">
        <v>0</v>
      </c>
      <c r="I37" s="2606"/>
      <c r="J37" s="1365">
        <v>0</v>
      </c>
      <c r="K37" s="2606"/>
      <c r="L37" s="1365">
        <v>0</v>
      </c>
      <c r="M37" s="2606"/>
      <c r="N37" s="1365">
        <v>0</v>
      </c>
      <c r="O37" s="2606"/>
      <c r="P37" s="1789">
        <v>0</v>
      </c>
      <c r="Q37" s="2606"/>
      <c r="R37" s="1789">
        <v>0</v>
      </c>
      <c r="S37" s="2606"/>
      <c r="T37" s="1789">
        <f t="shared" si="1"/>
        <v>0</v>
      </c>
      <c r="U37" s="2606"/>
      <c r="V37" s="1789"/>
      <c r="W37" s="2606"/>
      <c r="X37" s="1789"/>
      <c r="Y37" s="2687"/>
      <c r="Z37" s="1459"/>
      <c r="AA37" s="1789">
        <v>0</v>
      </c>
      <c r="AB37" s="1979"/>
      <c r="AC37" s="1980"/>
      <c r="AD37" s="1789">
        <v>0</v>
      </c>
      <c r="AE37" s="2692"/>
      <c r="AF37" s="2693"/>
      <c r="AG37" s="2688">
        <f t="shared" si="2"/>
        <v>0</v>
      </c>
      <c r="AH37" s="1456"/>
      <c r="AI37" s="1426">
        <f t="shared" si="3"/>
        <v>0</v>
      </c>
    </row>
    <row r="38" spans="1:36" ht="14.25" customHeight="1">
      <c r="A38" s="2485" t="s">
        <v>1016</v>
      </c>
      <c r="B38" s="1365">
        <v>0.1</v>
      </c>
      <c r="C38" s="1998"/>
      <c r="D38" s="1365">
        <v>0.1</v>
      </c>
      <c r="E38" s="1998"/>
      <c r="F38" s="1365">
        <v>0</v>
      </c>
      <c r="G38" s="1998"/>
      <c r="H38" s="1365">
        <v>0</v>
      </c>
      <c r="I38" s="2606"/>
      <c r="J38" s="1365">
        <v>0</v>
      </c>
      <c r="K38" s="2606"/>
      <c r="L38" s="1365">
        <v>0</v>
      </c>
      <c r="M38" s="2606"/>
      <c r="N38" s="1365">
        <v>0</v>
      </c>
      <c r="O38" s="2606"/>
      <c r="P38" s="1789">
        <v>9.9999999999999978E-2</v>
      </c>
      <c r="Q38" s="2606"/>
      <c r="R38" s="1789">
        <v>0</v>
      </c>
      <c r="S38" s="2606"/>
      <c r="T38" s="1789">
        <f t="shared" si="1"/>
        <v>0</v>
      </c>
      <c r="U38" s="2606"/>
      <c r="V38" s="1789"/>
      <c r="W38" s="2606"/>
      <c r="X38" s="1789"/>
      <c r="Y38" s="2687"/>
      <c r="Z38" s="1459"/>
      <c r="AA38" s="1789">
        <v>0.3</v>
      </c>
      <c r="AB38" s="1979"/>
      <c r="AC38" s="1980"/>
      <c r="AD38" s="1789">
        <v>1.5</v>
      </c>
      <c r="AE38" s="2692"/>
      <c r="AF38" s="2693"/>
      <c r="AG38" s="2688">
        <f t="shared" si="2"/>
        <v>-1.2</v>
      </c>
      <c r="AH38" s="1456"/>
      <c r="AI38" s="1426">
        <f>ROUND(IF(AD38=0,1,AG38/ABS(AD38)),3)</f>
        <v>-0.8</v>
      </c>
    </row>
    <row r="39" spans="1:36" ht="14.25" customHeight="1">
      <c r="A39" s="2485" t="s">
        <v>1137</v>
      </c>
      <c r="B39" s="1365"/>
      <c r="C39" s="1998"/>
      <c r="D39" s="1365"/>
      <c r="E39" s="1998"/>
      <c r="F39" s="1365"/>
      <c r="G39" s="1998"/>
      <c r="H39" s="1365"/>
      <c r="I39" s="2606"/>
      <c r="J39" s="1365"/>
      <c r="K39" s="2606"/>
      <c r="L39" s="1365"/>
      <c r="M39" s="2606"/>
      <c r="N39" s="1365"/>
      <c r="O39" s="2606"/>
      <c r="P39" s="1789"/>
      <c r="Q39" s="2606"/>
      <c r="R39" s="1789" t="s">
        <v>15</v>
      </c>
      <c r="S39" s="2606"/>
      <c r="T39" s="1789"/>
      <c r="U39" s="2606"/>
      <c r="V39" s="1789"/>
      <c r="W39" s="2606"/>
      <c r="X39" s="1789"/>
      <c r="Y39" s="2694"/>
      <c r="Z39" s="1459"/>
      <c r="AA39" s="1789" t="s">
        <v>15</v>
      </c>
      <c r="AB39" s="2158"/>
      <c r="AC39" s="3557" t="s">
        <v>15</v>
      </c>
      <c r="AD39" s="1789" t="s">
        <v>15</v>
      </c>
      <c r="AE39" s="2692"/>
      <c r="AF39" s="3896" t="s">
        <v>15</v>
      </c>
      <c r="AG39" s="3897" t="s">
        <v>15</v>
      </c>
      <c r="AH39" s="1456"/>
      <c r="AI39" s="1426" t="s">
        <v>15</v>
      </c>
    </row>
    <row r="40" spans="1:36" ht="14.25" customHeight="1">
      <c r="A40" s="2485" t="s">
        <v>1061</v>
      </c>
      <c r="B40" s="1365">
        <v>0</v>
      </c>
      <c r="C40" s="1998"/>
      <c r="D40" s="1365">
        <v>0</v>
      </c>
      <c r="E40" s="1998"/>
      <c r="F40" s="1365">
        <v>0</v>
      </c>
      <c r="G40" s="1998"/>
      <c r="H40" s="1365">
        <v>0</v>
      </c>
      <c r="I40" s="2606"/>
      <c r="J40" s="1365">
        <v>0</v>
      </c>
      <c r="K40" s="2606"/>
      <c r="L40" s="1365">
        <v>0</v>
      </c>
      <c r="M40" s="2606" t="s">
        <v>15</v>
      </c>
      <c r="N40" s="1365">
        <v>0</v>
      </c>
      <c r="O40" s="2606"/>
      <c r="P40" s="1789">
        <v>0</v>
      </c>
      <c r="Q40" s="2606"/>
      <c r="R40" s="1789">
        <v>0.4</v>
      </c>
      <c r="S40" s="2606"/>
      <c r="T40" s="1789">
        <f t="shared" si="1"/>
        <v>0</v>
      </c>
      <c r="U40" s="2606"/>
      <c r="V40" s="1789"/>
      <c r="W40" s="2606"/>
      <c r="X40" s="1789"/>
      <c r="Y40" s="2694"/>
      <c r="Z40" s="1459"/>
      <c r="AA40" s="1789">
        <v>0.4</v>
      </c>
      <c r="AB40" s="2158"/>
      <c r="AC40" s="1980"/>
      <c r="AD40" s="1789">
        <v>0</v>
      </c>
      <c r="AE40" s="2692"/>
      <c r="AF40" s="2693"/>
      <c r="AG40" s="2688">
        <f>ROUND(SUM(AA40-AD40),1)</f>
        <v>0.4</v>
      </c>
      <c r="AH40" s="1456"/>
      <c r="AI40" s="1426">
        <f>ROUND(IF(AD40=0,1,AG40/ABS(AD40)),3)</f>
        <v>1</v>
      </c>
    </row>
    <row r="41" spans="1:36" ht="14.25" customHeight="1">
      <c r="A41" s="2485" t="s">
        <v>1034</v>
      </c>
      <c r="B41" s="1365">
        <v>0</v>
      </c>
      <c r="C41" s="1998"/>
      <c r="D41" s="1365">
        <v>0.3</v>
      </c>
      <c r="E41" s="1998"/>
      <c r="F41" s="1365">
        <v>0.10000000000000003</v>
      </c>
      <c r="G41" s="1998"/>
      <c r="H41" s="1365">
        <v>9.9999999999999978E-2</v>
      </c>
      <c r="I41" s="2606"/>
      <c r="J41" s="1365">
        <v>0</v>
      </c>
      <c r="K41" s="2606"/>
      <c r="L41" s="1365">
        <v>0</v>
      </c>
      <c r="M41" s="2606"/>
      <c r="N41" s="1365">
        <v>0</v>
      </c>
      <c r="O41" s="2606"/>
      <c r="P41" s="1789">
        <v>1.9</v>
      </c>
      <c r="Q41" s="2606"/>
      <c r="R41" s="1789">
        <v>0</v>
      </c>
      <c r="S41" s="2606"/>
      <c r="T41" s="1789">
        <f t="shared" si="1"/>
        <v>0.70000000000000018</v>
      </c>
      <c r="U41" s="2606"/>
      <c r="V41" s="1789"/>
      <c r="W41" s="2606"/>
      <c r="X41" s="1789"/>
      <c r="Y41" s="2687"/>
      <c r="Z41" s="1459"/>
      <c r="AA41" s="1789">
        <v>3.1</v>
      </c>
      <c r="AB41" s="1979"/>
      <c r="AC41" s="1980"/>
      <c r="AD41" s="1789">
        <v>1.8</v>
      </c>
      <c r="AE41" s="2692"/>
      <c r="AF41" s="2693"/>
      <c r="AG41" s="2688">
        <f t="shared" si="2"/>
        <v>1.3</v>
      </c>
      <c r="AH41" s="1456"/>
      <c r="AI41" s="1426">
        <f>ROUND(IF(AD41=0,0,AG41/ABS(AD41)),3)</f>
        <v>0.72199999999999998</v>
      </c>
    </row>
    <row r="42" spans="1:36" ht="14.25" customHeight="1">
      <c r="A42" s="2485" t="s">
        <v>1035</v>
      </c>
      <c r="B42" s="1365">
        <v>0</v>
      </c>
      <c r="C42" s="1998"/>
      <c r="D42" s="1365">
        <v>0</v>
      </c>
      <c r="E42" s="1998"/>
      <c r="F42" s="1365">
        <v>0</v>
      </c>
      <c r="G42" s="1998"/>
      <c r="H42" s="1365">
        <v>0</v>
      </c>
      <c r="I42" s="2606"/>
      <c r="J42" s="1365">
        <v>0</v>
      </c>
      <c r="K42" s="2606"/>
      <c r="L42" s="1365">
        <v>0</v>
      </c>
      <c r="M42" s="2606"/>
      <c r="N42" s="1365">
        <v>0</v>
      </c>
      <c r="O42" s="2606"/>
      <c r="P42" s="1789">
        <v>0</v>
      </c>
      <c r="Q42" s="2606"/>
      <c r="R42" s="1789">
        <v>0</v>
      </c>
      <c r="S42" s="2606"/>
      <c r="T42" s="1789">
        <f t="shared" si="1"/>
        <v>0</v>
      </c>
      <c r="U42" s="2606"/>
      <c r="V42" s="1789"/>
      <c r="W42" s="2606"/>
      <c r="X42" s="1789"/>
      <c r="Y42" s="2687"/>
      <c r="Z42" s="1459"/>
      <c r="AA42" s="1789">
        <v>0</v>
      </c>
      <c r="AB42" s="1979"/>
      <c r="AC42" s="1980"/>
      <c r="AD42" s="1789">
        <v>0</v>
      </c>
      <c r="AE42" s="2692"/>
      <c r="AF42" s="2693"/>
      <c r="AG42" s="2688">
        <f t="shared" si="2"/>
        <v>0</v>
      </c>
      <c r="AH42" s="1456"/>
      <c r="AI42" s="1426">
        <f t="shared" si="3"/>
        <v>0</v>
      </c>
    </row>
    <row r="43" spans="1:36" ht="14.25" customHeight="1">
      <c r="A43" s="2485" t="s">
        <v>1138</v>
      </c>
      <c r="B43" s="1365" t="s">
        <v>15</v>
      </c>
      <c r="C43" s="1998"/>
      <c r="D43" s="1365"/>
      <c r="E43" s="1998"/>
      <c r="F43" s="1365"/>
      <c r="G43" s="1998"/>
      <c r="H43" s="1365"/>
      <c r="I43" s="2606"/>
      <c r="J43" s="1365"/>
      <c r="K43" s="2606"/>
      <c r="L43" s="1365"/>
      <c r="M43" s="2606"/>
      <c r="N43" s="1365"/>
      <c r="O43" s="2606"/>
      <c r="P43" s="1789"/>
      <c r="Q43" s="2606"/>
      <c r="R43" s="1789"/>
      <c r="S43" s="2606"/>
      <c r="T43" s="1789"/>
      <c r="U43" s="2606"/>
      <c r="V43" s="1789"/>
      <c r="W43" s="2606"/>
      <c r="X43" s="1789"/>
      <c r="Y43" s="2687"/>
      <c r="Z43" s="1459"/>
      <c r="AA43" s="1789"/>
      <c r="AB43" s="1979"/>
      <c r="AC43" s="1980"/>
      <c r="AD43" s="1789"/>
      <c r="AE43" s="2692"/>
      <c r="AF43" s="2693"/>
      <c r="AG43" s="2688"/>
      <c r="AH43" s="1456"/>
      <c r="AI43" s="1458"/>
    </row>
    <row r="44" spans="1:36" ht="14.25" customHeight="1">
      <c r="A44" s="2485" t="s">
        <v>1205</v>
      </c>
      <c r="B44" s="1365">
        <v>47.2</v>
      </c>
      <c r="C44" s="1998"/>
      <c r="D44" s="1365">
        <v>13.399999999999999</v>
      </c>
      <c r="E44" s="1998"/>
      <c r="F44" s="1365">
        <v>42.6</v>
      </c>
      <c r="G44" s="1998"/>
      <c r="H44" s="1365">
        <v>45.800000000000004</v>
      </c>
      <c r="I44" s="2606"/>
      <c r="J44" s="1365">
        <v>46.199999999999996</v>
      </c>
      <c r="K44" s="2606"/>
      <c r="L44" s="1365">
        <v>36.199999999999982</v>
      </c>
      <c r="M44" s="2606"/>
      <c r="N44" s="1365">
        <v>20.900000000000034</v>
      </c>
      <c r="O44" s="2606"/>
      <c r="P44" s="1789">
        <v>20.000000000000007</v>
      </c>
      <c r="Q44" s="2606"/>
      <c r="R44" s="1789">
        <v>50.20000000000001</v>
      </c>
      <c r="S44" s="2606"/>
      <c r="T44" s="1789">
        <f t="shared" si="1"/>
        <v>17.800000000000018</v>
      </c>
      <c r="U44" s="2606"/>
      <c r="V44" s="1789"/>
      <c r="W44" s="2606"/>
      <c r="X44" s="1789"/>
      <c r="Y44" s="2687"/>
      <c r="Z44" s="1459"/>
      <c r="AA44" s="1789">
        <v>340.3</v>
      </c>
      <c r="AB44" s="1979"/>
      <c r="AC44" s="1980"/>
      <c r="AD44" s="1789">
        <v>408.3</v>
      </c>
      <c r="AE44" s="2692"/>
      <c r="AF44" s="2693"/>
      <c r="AG44" s="2688">
        <f>ROUND(SUM(AA44-AD44),1)</f>
        <v>-68</v>
      </c>
      <c r="AH44" s="1456"/>
      <c r="AI44" s="1465">
        <f>ROUND(IF(AD44=0,0,AG44/ABS(AD44)),3)</f>
        <v>-0.16700000000000001</v>
      </c>
    </row>
    <row r="45" spans="1:36" ht="14.25" customHeight="1">
      <c r="A45" s="2485" t="s">
        <v>1044</v>
      </c>
      <c r="B45" s="1365">
        <v>0</v>
      </c>
      <c r="C45" s="1998"/>
      <c r="D45" s="1365">
        <v>0</v>
      </c>
      <c r="E45" s="1998"/>
      <c r="F45" s="1365">
        <v>0</v>
      </c>
      <c r="G45" s="1998"/>
      <c r="H45" s="1365">
        <v>0</v>
      </c>
      <c r="I45" s="2606"/>
      <c r="J45" s="1365">
        <v>0</v>
      </c>
      <c r="K45" s="2606"/>
      <c r="L45" s="1365">
        <v>0</v>
      </c>
      <c r="M45" s="2606"/>
      <c r="N45" s="1365">
        <v>0</v>
      </c>
      <c r="O45" s="2606"/>
      <c r="P45" s="1789">
        <v>0</v>
      </c>
      <c r="Q45" s="2606"/>
      <c r="R45" s="1789">
        <v>0</v>
      </c>
      <c r="S45" s="2606"/>
      <c r="T45" s="1789">
        <f t="shared" si="1"/>
        <v>0</v>
      </c>
      <c r="U45" s="2606"/>
      <c r="V45" s="1789"/>
      <c r="W45" s="2606"/>
      <c r="X45" s="1789"/>
      <c r="Y45" s="2694"/>
      <c r="Z45" s="1459"/>
      <c r="AA45" s="1789">
        <v>0</v>
      </c>
      <c r="AB45" s="2158"/>
      <c r="AC45" s="1980"/>
      <c r="AD45" s="1789">
        <v>0.1</v>
      </c>
      <c r="AE45" s="2692"/>
      <c r="AF45" s="2693"/>
      <c r="AG45" s="2688">
        <f>ROUND(SUM(AA45-AD45),1)</f>
        <v>-0.1</v>
      </c>
      <c r="AH45" s="1456"/>
      <c r="AI45" s="1465">
        <f>ROUND(IF(AD45=0,0,AG45/ABS(AD45)),3)</f>
        <v>-1</v>
      </c>
    </row>
    <row r="46" spans="1:36" ht="14.25" customHeight="1">
      <c r="A46" s="2485" t="s">
        <v>1045</v>
      </c>
      <c r="B46" s="1365">
        <v>0</v>
      </c>
      <c r="C46" s="1998"/>
      <c r="D46" s="1365">
        <v>0</v>
      </c>
      <c r="E46" s="1998"/>
      <c r="F46" s="1365">
        <v>0</v>
      </c>
      <c r="G46" s="1998"/>
      <c r="H46" s="1365">
        <v>0</v>
      </c>
      <c r="I46" s="2606"/>
      <c r="J46" s="1365">
        <v>0</v>
      </c>
      <c r="K46" s="2606"/>
      <c r="L46" s="1365">
        <v>0</v>
      </c>
      <c r="M46" s="2606"/>
      <c r="N46" s="1365">
        <v>0</v>
      </c>
      <c r="O46" s="2606"/>
      <c r="P46" s="1789">
        <v>0</v>
      </c>
      <c r="Q46" s="2606"/>
      <c r="R46" s="1789">
        <v>0</v>
      </c>
      <c r="S46" s="2606"/>
      <c r="T46" s="1789">
        <f t="shared" si="1"/>
        <v>0</v>
      </c>
      <c r="U46" s="2606"/>
      <c r="V46" s="1789"/>
      <c r="W46" s="2606"/>
      <c r="X46" s="1789"/>
      <c r="Y46" s="2687"/>
      <c r="Z46" s="1459"/>
      <c r="AA46" s="1789">
        <v>0</v>
      </c>
      <c r="AB46" s="1979"/>
      <c r="AC46" s="1980"/>
      <c r="AD46" s="1789">
        <v>0</v>
      </c>
      <c r="AE46" s="2692"/>
      <c r="AF46" s="2693"/>
      <c r="AG46" s="2688">
        <f>ROUND(SUM(AA46-AD46),1)</f>
        <v>0</v>
      </c>
      <c r="AH46" s="1456"/>
      <c r="AI46" s="1426">
        <f>ROUND(IF(AD46=0,0,AG46/ABS(AD46)),3)</f>
        <v>0</v>
      </c>
    </row>
    <row r="47" spans="1:36" s="2701" customFormat="1" ht="15.75">
      <c r="A47" s="2473" t="s">
        <v>1080</v>
      </c>
      <c r="B47" s="2042">
        <f>ROUND(SUM(B30:B46),1)</f>
        <v>47.3</v>
      </c>
      <c r="C47" s="2695"/>
      <c r="D47" s="2042">
        <f>ROUND(SUM(D30:D46),1)</f>
        <v>13.8</v>
      </c>
      <c r="E47" s="2695"/>
      <c r="F47" s="2042">
        <f>ROUND(SUM(F30:F46),1)</f>
        <v>42.7</v>
      </c>
      <c r="G47" s="2695"/>
      <c r="H47" s="2042">
        <f>ROUND(SUM(H30:H46),1)</f>
        <v>45.9</v>
      </c>
      <c r="I47" s="2696"/>
      <c r="J47" s="2033">
        <f>ROUND(SUM(J30:J46),1)</f>
        <v>46.2</v>
      </c>
      <c r="K47" s="2696"/>
      <c r="L47" s="2033">
        <f>ROUND(SUM(L30:L46),1)</f>
        <v>36.200000000000003</v>
      </c>
      <c r="M47" s="2696"/>
      <c r="N47" s="2033">
        <f>ROUND(SUM(N30:N46),1)</f>
        <v>20.9</v>
      </c>
      <c r="O47" s="2696"/>
      <c r="P47" s="2033">
        <f>ROUND(SUM(P30:P46),1)</f>
        <v>22</v>
      </c>
      <c r="Q47" s="2696"/>
      <c r="R47" s="2033">
        <f>ROUND(SUM(R30:R46),1)</f>
        <v>50.6</v>
      </c>
      <c r="S47" s="2696"/>
      <c r="T47" s="2033">
        <f>ROUND(SUM(T30:T46),1)</f>
        <v>18.5</v>
      </c>
      <c r="U47" s="2696"/>
      <c r="V47" s="2017">
        <f>ROUND(SUM(V30:V46),1)</f>
        <v>0</v>
      </c>
      <c r="W47" s="2696"/>
      <c r="X47" s="2017">
        <f>ROUND(SUM(X30:X46),1)</f>
        <v>0</v>
      </c>
      <c r="Y47" s="2697"/>
      <c r="Z47" s="2696"/>
      <c r="AA47" s="2017">
        <f>ROUND(SUM(AA30:AA46),1)</f>
        <v>344.1</v>
      </c>
      <c r="AB47" s="2697"/>
      <c r="AC47" s="2696"/>
      <c r="AD47" s="2017">
        <f>ROUND(SUM(AD30:AD46),1)</f>
        <v>411.7</v>
      </c>
      <c r="AE47" s="2698"/>
      <c r="AF47" s="2699"/>
      <c r="AG47" s="2033">
        <f>ROUND(SUM(AG30:AG46),1)</f>
        <v>-67.599999999999994</v>
      </c>
      <c r="AH47" s="2657"/>
      <c r="AI47" s="2700">
        <f>ROUND(IF(AD47=0,0,AG47/ABS(AD47)),3)</f>
        <v>-0.16400000000000001</v>
      </c>
      <c r="AJ47" s="2653"/>
    </row>
    <row r="48" spans="1:36" s="2701" customFormat="1" ht="14.25" customHeight="1">
      <c r="A48" s="2473"/>
      <c r="B48" s="1444"/>
      <c r="C48" s="2695"/>
      <c r="D48" s="1444"/>
      <c r="E48" s="2695"/>
      <c r="F48" s="1444"/>
      <c r="G48" s="2695"/>
      <c r="H48" s="1444"/>
      <c r="I48" s="2696"/>
      <c r="J48" s="1444"/>
      <c r="K48" s="2696"/>
      <c r="L48" s="1444"/>
      <c r="M48" s="2696"/>
      <c r="N48" s="1444"/>
      <c r="O48" s="2696"/>
      <c r="P48" s="1444"/>
      <c r="Q48" s="2696"/>
      <c r="R48" s="1444"/>
      <c r="S48" s="2696"/>
      <c r="T48" s="1444"/>
      <c r="U48" s="2696"/>
      <c r="V48" s="1462"/>
      <c r="W48" s="2696"/>
      <c r="X48" s="1462"/>
      <c r="Y48" s="2702"/>
      <c r="Z48" s="2696"/>
      <c r="AA48" s="1462"/>
      <c r="AB48" s="2702"/>
      <c r="AC48" s="2696"/>
      <c r="AD48" s="1462"/>
      <c r="AE48" s="2698"/>
      <c r="AF48" s="2699"/>
      <c r="AG48" s="2703"/>
      <c r="AH48" s="2657"/>
      <c r="AI48" s="2681"/>
      <c r="AJ48" s="2653"/>
    </row>
    <row r="49" spans="1:36" ht="15">
      <c r="A49" s="2704" t="s">
        <v>927</v>
      </c>
      <c r="B49" s="1365">
        <v>0</v>
      </c>
      <c r="C49" s="2705"/>
      <c r="D49" s="1365">
        <v>0</v>
      </c>
      <c r="E49" s="2705"/>
      <c r="F49" s="1365">
        <v>0</v>
      </c>
      <c r="G49" s="1998"/>
      <c r="H49" s="1789">
        <v>0</v>
      </c>
      <c r="I49" s="1978"/>
      <c r="J49" s="1789">
        <v>0</v>
      </c>
      <c r="K49" s="1978"/>
      <c r="L49" s="1365">
        <v>24.4</v>
      </c>
      <c r="M49" s="1978"/>
      <c r="N49" s="1365">
        <v>0</v>
      </c>
      <c r="O49" s="1978"/>
      <c r="P49" s="1789">
        <v>0</v>
      </c>
      <c r="Q49" s="1978"/>
      <c r="R49" s="1789">
        <v>12.5</v>
      </c>
      <c r="S49" s="1978"/>
      <c r="T49" s="1789">
        <f>$AA49-$B49-$D49-$F49-$H49-$J49-$L49-$N49-$P49-$R49</f>
        <v>0</v>
      </c>
      <c r="U49" s="1978"/>
      <c r="V49" s="1789"/>
      <c r="W49" s="1978"/>
      <c r="X49" s="1789"/>
      <c r="Y49" s="2706"/>
      <c r="Z49" s="1978"/>
      <c r="AA49" s="2707">
        <v>36.9</v>
      </c>
      <c r="AB49" s="2706"/>
      <c r="AC49" s="1978"/>
      <c r="AD49" s="2707">
        <v>38.4</v>
      </c>
      <c r="AE49" s="2692"/>
      <c r="AF49" s="2693"/>
      <c r="AG49" s="2708">
        <f>ROUND(SUM(AA49-AD49),1)</f>
        <v>-1.5</v>
      </c>
      <c r="AH49" s="1456"/>
      <c r="AI49" s="1427">
        <f>ROUND(IF(AD49=0,0,AG49/ABS(AD49)),3)</f>
        <v>-3.9E-2</v>
      </c>
    </row>
    <row r="50" spans="1:36" ht="12" customHeight="1">
      <c r="A50" s="1459"/>
      <c r="B50" s="2709"/>
      <c r="C50" s="1998"/>
      <c r="D50" s="2709"/>
      <c r="E50" s="1998"/>
      <c r="F50" s="2709"/>
      <c r="G50" s="1998"/>
      <c r="H50" s="2709"/>
      <c r="I50" s="1978"/>
      <c r="J50" s="2710"/>
      <c r="K50" s="1978"/>
      <c r="L50" s="2710"/>
      <c r="M50" s="1978"/>
      <c r="N50" s="2710"/>
      <c r="O50" s="1978"/>
      <c r="P50" s="2710"/>
      <c r="Q50" s="1978"/>
      <c r="R50" s="2710"/>
      <c r="S50" s="1978"/>
      <c r="T50" s="2710"/>
      <c r="U50" s="1978"/>
      <c r="V50" s="2710"/>
      <c r="W50" s="1978"/>
      <c r="X50" s="2710"/>
      <c r="Y50" s="2706"/>
      <c r="Z50" s="1978"/>
      <c r="AA50" s="1998"/>
      <c r="AB50" s="2706"/>
      <c r="AC50" s="1978"/>
      <c r="AD50" s="1998"/>
      <c r="AE50" s="2692"/>
      <c r="AF50" s="2693"/>
      <c r="AG50" s="2688"/>
      <c r="AH50" s="1456"/>
      <c r="AI50" s="1459"/>
    </row>
    <row r="51" spans="1:36" ht="14.25" customHeight="1">
      <c r="A51" s="2473" t="s">
        <v>187</v>
      </c>
      <c r="B51" s="2711">
        <f>B26+B47+B49</f>
        <v>1531.8999999999999</v>
      </c>
      <c r="C51" s="2712"/>
      <c r="D51" s="2711">
        <f>ROUND(SUM(D26+D47+D49),1)</f>
        <v>1531.4</v>
      </c>
      <c r="E51" s="2713"/>
      <c r="F51" s="2711">
        <f>ROUND(SUM(F26+F47+F49),1)</f>
        <v>2836.9</v>
      </c>
      <c r="G51" s="2713"/>
      <c r="H51" s="2711">
        <f>ROUND(SUM(H26+H47+H49),1)</f>
        <v>5744.1</v>
      </c>
      <c r="I51" s="2714"/>
      <c r="J51" s="2715">
        <f>ROUND(SUM(J26+J47+J49),1)</f>
        <v>2000.5</v>
      </c>
      <c r="K51" s="2714"/>
      <c r="L51" s="2715">
        <f>ROUND(SUM(L26+L47+L49),1)</f>
        <v>3475.6</v>
      </c>
      <c r="M51" s="2714"/>
      <c r="N51" s="2715">
        <f>ROUND(SUM(N26+N47+N49),1)</f>
        <v>1902.6</v>
      </c>
      <c r="O51" s="2714"/>
      <c r="P51" s="2715">
        <f>ROUND(SUM(P26+P47+P49),1)</f>
        <v>1933.3</v>
      </c>
      <c r="Q51" s="2714"/>
      <c r="R51" s="2715">
        <f>ROUND(SUM(R26+R47+R49),1)</f>
        <v>3281.8</v>
      </c>
      <c r="S51" s="2714"/>
      <c r="T51" s="2715">
        <f>ROUND(SUM(T26+T47+T49),1)</f>
        <v>5454</v>
      </c>
      <c r="U51" s="2714"/>
      <c r="V51" s="2715">
        <f>ROUND(SUM(V26+V47+V49),1)</f>
        <v>0</v>
      </c>
      <c r="W51" s="2714"/>
      <c r="X51" s="2715">
        <f>ROUND(SUM(X26+X47+X49),1)</f>
        <v>0</v>
      </c>
      <c r="Y51" s="2697"/>
      <c r="Z51" s="2696"/>
      <c r="AA51" s="2715">
        <f>ROUND(SUM(AA26+AA47+AA49),1)</f>
        <v>29692.1</v>
      </c>
      <c r="AB51" s="2697"/>
      <c r="AC51" s="2696"/>
      <c r="AD51" s="2715">
        <f>ROUND(SUM(AD26+AD47+AD49),1)</f>
        <v>30709.8</v>
      </c>
      <c r="AE51" s="2698"/>
      <c r="AF51" s="2699"/>
      <c r="AG51" s="2715">
        <f>ROUND(SUM(AG26+AG47+AG49),1)</f>
        <v>-1017.7</v>
      </c>
      <c r="AH51" s="2657"/>
      <c r="AI51" s="1457">
        <f>ROUND(IF(AD51=0,0,AG51/ABS(AD51)),3)</f>
        <v>-3.3000000000000002E-2</v>
      </c>
      <c r="AJ51" s="2716"/>
    </row>
    <row r="52" spans="1:36" ht="19.5" customHeight="1">
      <c r="A52" s="1459"/>
      <c r="B52" s="1998"/>
      <c r="C52" s="1998"/>
      <c r="D52" s="1998"/>
      <c r="E52" s="1998"/>
      <c r="F52" s="1998"/>
      <c r="G52" s="1998"/>
      <c r="H52" s="1998"/>
      <c r="I52" s="1978"/>
      <c r="J52" s="1978"/>
      <c r="K52" s="1978"/>
      <c r="L52" s="1978"/>
      <c r="M52" s="1978"/>
      <c r="N52" s="1978"/>
      <c r="O52" s="1978"/>
      <c r="P52" s="1978"/>
      <c r="Q52" s="1978"/>
      <c r="R52" s="1978"/>
      <c r="S52" s="1978"/>
      <c r="T52" s="1978"/>
      <c r="U52" s="1978"/>
      <c r="V52" s="1978"/>
      <c r="W52" s="1978"/>
      <c r="X52" s="1978"/>
      <c r="Y52" s="2706"/>
      <c r="Z52" s="1978"/>
      <c r="AA52" s="1998"/>
      <c r="AB52" s="2706"/>
      <c r="AC52" s="1978"/>
      <c r="AD52" s="1998"/>
      <c r="AE52" s="2692"/>
      <c r="AF52" s="2693"/>
      <c r="AG52" s="2688"/>
      <c r="AH52" s="1456"/>
      <c r="AI52" s="1459"/>
    </row>
    <row r="53" spans="1:36" ht="15.75">
      <c r="A53" s="2717" t="s">
        <v>188</v>
      </c>
      <c r="B53" s="1998"/>
      <c r="C53" s="1998"/>
      <c r="D53" s="1998"/>
      <c r="E53" s="1998"/>
      <c r="F53" s="1998"/>
      <c r="G53" s="1998"/>
      <c r="H53" s="1998"/>
      <c r="I53" s="1978"/>
      <c r="J53" s="1978"/>
      <c r="K53" s="1978"/>
      <c r="L53" s="1978"/>
      <c r="M53" s="1978"/>
      <c r="N53" s="1978"/>
      <c r="O53" s="1978"/>
      <c r="P53" s="1978"/>
      <c r="Q53" s="1978"/>
      <c r="R53" s="1978"/>
      <c r="S53" s="1978"/>
      <c r="T53" s="1978"/>
      <c r="U53" s="1978"/>
      <c r="V53" s="1978"/>
      <c r="W53" s="1978"/>
      <c r="X53" s="1978"/>
      <c r="Y53" s="2706"/>
      <c r="Z53" s="1978"/>
      <c r="AA53" s="1998"/>
      <c r="AB53" s="2706"/>
      <c r="AC53" s="1978"/>
      <c r="AD53" s="1998"/>
      <c r="AE53" s="2692"/>
      <c r="AF53" s="2693"/>
      <c r="AG53" s="2688"/>
      <c r="AH53" s="1456"/>
      <c r="AI53" s="1459"/>
    </row>
    <row r="54" spans="1:36" ht="14.25" customHeight="1">
      <c r="A54" s="2718" t="s">
        <v>152</v>
      </c>
      <c r="B54" s="1998"/>
      <c r="C54" s="1998"/>
      <c r="D54" s="1998"/>
      <c r="E54" s="1998"/>
      <c r="F54" s="1998"/>
      <c r="G54" s="1998"/>
      <c r="H54" s="1998"/>
      <c r="I54" s="1978"/>
      <c r="J54" s="1978"/>
      <c r="K54" s="1978"/>
      <c r="L54" s="1978"/>
      <c r="M54" s="1978"/>
      <c r="N54" s="1978"/>
      <c r="O54" s="1978"/>
      <c r="P54" s="1978"/>
      <c r="Q54" s="1978"/>
      <c r="R54" s="1978"/>
      <c r="S54" s="1978"/>
      <c r="T54" s="1978"/>
      <c r="U54" s="1978"/>
      <c r="V54" s="1978"/>
      <c r="W54" s="1978"/>
      <c r="X54" s="1978"/>
      <c r="Y54" s="2706"/>
      <c r="Z54" s="1978"/>
      <c r="AA54" s="1998"/>
      <c r="AB54" s="2706"/>
      <c r="AC54" s="1978"/>
      <c r="AD54" s="1998"/>
      <c r="AE54" s="2692"/>
      <c r="AF54" s="2693"/>
      <c r="AG54" s="2688"/>
      <c r="AH54" s="1456"/>
      <c r="AI54" s="1459"/>
    </row>
    <row r="55" spans="1:36" ht="14.25" customHeight="1">
      <c r="A55" s="2718" t="s">
        <v>38</v>
      </c>
      <c r="B55" s="1365">
        <v>0</v>
      </c>
      <c r="C55" s="1998"/>
      <c r="D55" s="1365">
        <v>0.9</v>
      </c>
      <c r="E55" s="2719"/>
      <c r="F55" s="1365">
        <v>12.1</v>
      </c>
      <c r="G55" s="1998"/>
      <c r="H55" s="1365">
        <v>5.8000000000000025</v>
      </c>
      <c r="I55" s="1978"/>
      <c r="J55" s="1365">
        <v>2.8999999999999986</v>
      </c>
      <c r="K55" s="1978"/>
      <c r="L55" s="1365">
        <v>7.9</v>
      </c>
      <c r="M55" s="1978"/>
      <c r="N55" s="1365">
        <v>0</v>
      </c>
      <c r="O55" s="1978"/>
      <c r="P55" s="1789">
        <v>3.1999999999999957</v>
      </c>
      <c r="Q55" s="1978"/>
      <c r="R55" s="1789">
        <v>-8.8999999999999968</v>
      </c>
      <c r="S55" s="1978"/>
      <c r="T55" s="1789">
        <f t="shared" ref="T55:T57" si="4">$AA55-$B55-$D55-$F55-$H55-$J55-$L55-$N55-$P55-$R55</f>
        <v>0.10000000000000142</v>
      </c>
      <c r="U55" s="1978"/>
      <c r="V55" s="1789"/>
      <c r="W55" s="1978"/>
      <c r="X55" s="1789"/>
      <c r="Y55" s="2706"/>
      <c r="Z55" s="1978"/>
      <c r="AA55" s="1984">
        <v>24</v>
      </c>
      <c r="AB55" s="2706"/>
      <c r="AC55" s="1978"/>
      <c r="AD55" s="1984">
        <v>27</v>
      </c>
      <c r="AE55" s="2692"/>
      <c r="AF55" s="2693"/>
      <c r="AG55" s="2688">
        <f>ROUND(SUM(AA55-AD55),1)</f>
        <v>-3</v>
      </c>
      <c r="AH55" s="1456"/>
      <c r="AI55" s="1465">
        <f>ROUND(IF(AD55=0,0,AG55/ABS(AD55)),3)</f>
        <v>-0.111</v>
      </c>
    </row>
    <row r="56" spans="1:36" ht="14.25" customHeight="1">
      <c r="A56" s="2720" t="s">
        <v>1379</v>
      </c>
      <c r="B56" s="1365" t="s">
        <v>15</v>
      </c>
      <c r="C56" s="1998"/>
      <c r="D56" s="1365"/>
      <c r="E56" s="1998"/>
      <c r="F56" s="1365"/>
      <c r="G56" s="1998"/>
      <c r="H56" s="1365"/>
      <c r="I56" s="1978"/>
      <c r="J56" s="1365"/>
      <c r="K56" s="1978"/>
      <c r="L56" s="1365"/>
      <c r="M56" s="1978"/>
      <c r="N56" s="1365"/>
      <c r="O56" s="1978"/>
      <c r="P56" s="1789"/>
      <c r="Q56" s="1978"/>
      <c r="R56" s="1789"/>
      <c r="S56" s="1978"/>
      <c r="T56" s="1789"/>
      <c r="U56" s="1978"/>
      <c r="V56" s="1789"/>
      <c r="W56" s="1978"/>
      <c r="X56" s="1789"/>
      <c r="Y56" s="2706"/>
      <c r="Z56" s="1978"/>
      <c r="AA56" s="1998"/>
      <c r="AB56" s="2706"/>
      <c r="AC56" s="1978"/>
      <c r="AD56" s="1998"/>
      <c r="AE56" s="2692"/>
      <c r="AF56" s="2693"/>
      <c r="AG56" s="2688"/>
      <c r="AH56" s="1456"/>
      <c r="AI56" s="1459"/>
    </row>
    <row r="57" spans="1:36" ht="14.25" customHeight="1">
      <c r="A57" s="2721" t="s">
        <v>1144</v>
      </c>
      <c r="B57" s="1365">
        <v>36.5</v>
      </c>
      <c r="C57" s="1998"/>
      <c r="D57" s="1365">
        <v>23.5</v>
      </c>
      <c r="E57" s="1998"/>
      <c r="F57" s="1365">
        <v>28.900000000000006</v>
      </c>
      <c r="G57" s="1998"/>
      <c r="H57" s="1365">
        <v>10.699999999999989</v>
      </c>
      <c r="I57" s="1978"/>
      <c r="J57" s="1365">
        <v>337.59999999999997</v>
      </c>
      <c r="K57" s="1978"/>
      <c r="L57" s="1365">
        <v>841.8</v>
      </c>
      <c r="M57" s="1978"/>
      <c r="N57" s="1365">
        <v>39.799999999999955</v>
      </c>
      <c r="O57" s="1978"/>
      <c r="P57" s="1789">
        <v>30.400000000000091</v>
      </c>
      <c r="Q57" s="1978"/>
      <c r="R57" s="1789">
        <v>1229.8000000000002</v>
      </c>
      <c r="S57" s="1978"/>
      <c r="T57" s="1789">
        <f t="shared" si="4"/>
        <v>10.599999999999909</v>
      </c>
      <c r="U57" s="1978"/>
      <c r="V57" s="1789"/>
      <c r="W57" s="1978"/>
      <c r="X57" s="1789"/>
      <c r="Y57" s="2706"/>
      <c r="Z57" s="1978"/>
      <c r="AA57" s="2722">
        <v>2589.6</v>
      </c>
      <c r="AB57" s="2706"/>
      <c r="AC57" s="1978"/>
      <c r="AD57" s="2722">
        <v>1556.8</v>
      </c>
      <c r="AE57" s="2692"/>
      <c r="AF57" s="2693"/>
      <c r="AG57" s="2723">
        <f>ROUND(SUM(AA57-AD57),1)</f>
        <v>1032.8</v>
      </c>
      <c r="AH57" s="1456"/>
      <c r="AI57" s="1427">
        <f>ROUND(IF(AD57=0,0,AG57/ABS(AD57)),3)</f>
        <v>0.66300000000000003</v>
      </c>
    </row>
    <row r="58" spans="1:36" ht="15">
      <c r="A58" s="1459"/>
      <c r="B58" s="2709"/>
      <c r="C58" s="1998"/>
      <c r="D58" s="2709"/>
      <c r="E58" s="1998"/>
      <c r="F58" s="2709"/>
      <c r="G58" s="1998"/>
      <c r="H58" s="2709"/>
      <c r="I58" s="1978"/>
      <c r="J58" s="2710"/>
      <c r="K58" s="1978"/>
      <c r="L58" s="2710"/>
      <c r="M58" s="1978"/>
      <c r="N58" s="2710"/>
      <c r="O58" s="1978"/>
      <c r="P58" s="2710"/>
      <c r="Q58" s="1978"/>
      <c r="R58" s="2710"/>
      <c r="S58" s="1978"/>
      <c r="T58" s="2710"/>
      <c r="U58" s="1978"/>
      <c r="V58" s="2710"/>
      <c r="W58" s="1978"/>
      <c r="X58" s="2710"/>
      <c r="Y58" s="2706"/>
      <c r="Z58" s="1978"/>
      <c r="AA58" s="1998"/>
      <c r="AB58" s="2706"/>
      <c r="AC58" s="1978"/>
      <c r="AD58" s="1998"/>
      <c r="AE58" s="2692"/>
      <c r="AF58" s="2693"/>
      <c r="AG58" s="2688"/>
      <c r="AH58" s="1456"/>
      <c r="AI58" s="1459"/>
    </row>
    <row r="59" spans="1:36" ht="14.25" customHeight="1">
      <c r="A59" s="2717" t="s">
        <v>189</v>
      </c>
      <c r="B59" s="2711">
        <f>ROUND(SUM(B55:B57),1)</f>
        <v>36.5</v>
      </c>
      <c r="C59" s="2712"/>
      <c r="D59" s="2711">
        <f>ROUND(SUM(D55:D57),1)</f>
        <v>24.4</v>
      </c>
      <c r="E59" s="2713"/>
      <c r="F59" s="2711">
        <f>ROUND(SUM(F55:F57),1)</f>
        <v>41</v>
      </c>
      <c r="G59" s="2713"/>
      <c r="H59" s="2711">
        <f>ROUND(SUM(H55:H57),1)</f>
        <v>16.5</v>
      </c>
      <c r="I59" s="2714"/>
      <c r="J59" s="2715">
        <f>ROUND(SUM(J55:J57),1)</f>
        <v>340.5</v>
      </c>
      <c r="K59" s="2714"/>
      <c r="L59" s="2715">
        <f>ROUND(SUM(L55:L57),1)</f>
        <v>849.7</v>
      </c>
      <c r="M59" s="2714"/>
      <c r="N59" s="2715">
        <f>ROUND(SUM(N55:N57),1)</f>
        <v>39.799999999999997</v>
      </c>
      <c r="O59" s="2714"/>
      <c r="P59" s="2715">
        <f>ROUND(SUM(P55:P57),1)</f>
        <v>33.6</v>
      </c>
      <c r="Q59" s="2714"/>
      <c r="R59" s="2715">
        <f>ROUND(SUM(R55:R57),1)</f>
        <v>1220.9000000000001</v>
      </c>
      <c r="S59" s="2714"/>
      <c r="T59" s="2715">
        <f>ROUND(SUM(T55:T57),1)</f>
        <v>10.7</v>
      </c>
      <c r="U59" s="2714"/>
      <c r="V59" s="2715">
        <f>ROUND(SUM(V55:V57),1)</f>
        <v>0</v>
      </c>
      <c r="W59" s="2714"/>
      <c r="X59" s="2715">
        <f>ROUND(SUM(X55:X57),1)</f>
        <v>0</v>
      </c>
      <c r="Y59" s="2697"/>
      <c r="Z59" s="2696"/>
      <c r="AA59" s="2715">
        <f>ROUND(SUM(AA55:AA57),1)</f>
        <v>2613.6</v>
      </c>
      <c r="AB59" s="2697"/>
      <c r="AC59" s="2696"/>
      <c r="AD59" s="2715">
        <f>ROUND(SUM(AD55:AD57),1)</f>
        <v>1583.8</v>
      </c>
      <c r="AE59" s="2698"/>
      <c r="AF59" s="2699"/>
      <c r="AG59" s="2715">
        <f>ROUND(SUM(AG55:AG57),1)</f>
        <v>1029.8</v>
      </c>
      <c r="AH59" s="2657"/>
      <c r="AI59" s="1457">
        <f>ROUND(IF(AD59=0,0,AG59/ABS(AD59)),3)</f>
        <v>0.65</v>
      </c>
      <c r="AJ59" s="2724"/>
    </row>
    <row r="60" spans="1:36" ht="12" customHeight="1">
      <c r="A60" s="1459"/>
      <c r="B60" s="1998"/>
      <c r="C60" s="1998"/>
      <c r="D60" s="2725"/>
      <c r="E60" s="2725"/>
      <c r="F60" s="2725"/>
      <c r="G60" s="2725"/>
      <c r="H60" s="2725"/>
      <c r="I60" s="2726"/>
      <c r="J60" s="2726"/>
      <c r="K60" s="2726"/>
      <c r="L60" s="2726"/>
      <c r="M60" s="2726"/>
      <c r="N60" s="2726"/>
      <c r="O60" s="2726"/>
      <c r="P60" s="2726"/>
      <c r="Q60" s="2726"/>
      <c r="R60" s="2726"/>
      <c r="S60" s="2726"/>
      <c r="T60" s="2726"/>
      <c r="U60" s="2726"/>
      <c r="V60" s="2726"/>
      <c r="W60" s="2726"/>
      <c r="X60" s="2726"/>
      <c r="Y60" s="2706"/>
      <c r="Z60" s="1978"/>
      <c r="AA60" s="1998"/>
      <c r="AB60" s="2706"/>
      <c r="AC60" s="1978"/>
      <c r="AD60" s="1998"/>
      <c r="AE60" s="2692"/>
      <c r="AF60" s="2693"/>
      <c r="AG60" s="2688"/>
      <c r="AH60" s="1456"/>
      <c r="AI60" s="1459"/>
    </row>
    <row r="61" spans="1:36" ht="14.25" customHeight="1">
      <c r="A61" s="2717" t="s">
        <v>44</v>
      </c>
      <c r="B61" s="1998"/>
      <c r="C61" s="1998"/>
      <c r="D61" s="2725"/>
      <c r="E61" s="2725"/>
      <c r="F61" s="2725"/>
      <c r="G61" s="2725"/>
      <c r="H61" s="2725"/>
      <c r="I61" s="2726"/>
      <c r="J61" s="2726"/>
      <c r="K61" s="2726"/>
      <c r="L61" s="2726"/>
      <c r="M61" s="2726"/>
      <c r="N61" s="2726"/>
      <c r="O61" s="2726"/>
      <c r="P61" s="2726"/>
      <c r="Q61" s="2726"/>
      <c r="R61" s="2726"/>
      <c r="S61" s="2726"/>
      <c r="T61" s="2726"/>
      <c r="U61" s="2726"/>
      <c r="V61" s="2726"/>
      <c r="W61" s="2726"/>
      <c r="X61" s="2726"/>
      <c r="Y61" s="2706"/>
      <c r="Z61" s="1978"/>
      <c r="AA61" s="1998"/>
      <c r="AB61" s="2706"/>
      <c r="AC61" s="1978"/>
      <c r="AD61" s="1998"/>
      <c r="AE61" s="2692"/>
      <c r="AF61" s="2693"/>
      <c r="AG61" s="2688"/>
      <c r="AH61" s="1456"/>
      <c r="AI61" s="1459"/>
    </row>
    <row r="62" spans="1:36" ht="14.25" customHeight="1">
      <c r="A62" s="2473" t="s">
        <v>190</v>
      </c>
      <c r="B62" s="2711">
        <f>ROUND(SUM(B51-B59),1)</f>
        <v>1495.4</v>
      </c>
      <c r="C62" s="2712"/>
      <c r="D62" s="2711">
        <f>ROUND(SUM(D51-D59),1)</f>
        <v>1507</v>
      </c>
      <c r="E62" s="2727"/>
      <c r="F62" s="2711">
        <f>ROUND(SUM(F51-F59),1)</f>
        <v>2795.9</v>
      </c>
      <c r="G62" s="2713"/>
      <c r="H62" s="2711">
        <f>ROUND(SUM(H51-H59),1)</f>
        <v>5727.6</v>
      </c>
      <c r="I62" s="2714"/>
      <c r="J62" s="2715">
        <f>ROUND(SUM(J51-J59),1)</f>
        <v>1660</v>
      </c>
      <c r="K62" s="2714"/>
      <c r="L62" s="2715">
        <f>ROUND(SUM(L51-L59),1)</f>
        <v>2625.9</v>
      </c>
      <c r="M62" s="2714"/>
      <c r="N62" s="2715">
        <f>ROUND(SUM(N51-N59),1)</f>
        <v>1862.8</v>
      </c>
      <c r="O62" s="2714"/>
      <c r="P62" s="2715">
        <f>ROUND(SUM(P51-P59),1)</f>
        <v>1899.7</v>
      </c>
      <c r="Q62" s="2714"/>
      <c r="R62" s="2715">
        <f>ROUND(SUM(R51-R59),1)</f>
        <v>2060.9</v>
      </c>
      <c r="S62" s="2714"/>
      <c r="T62" s="2715">
        <f>ROUND(SUM(T51-T59),1)</f>
        <v>5443.3</v>
      </c>
      <c r="U62" s="2714"/>
      <c r="V62" s="2715">
        <f>ROUND(SUM(V51-V59),1)</f>
        <v>0</v>
      </c>
      <c r="W62" s="2714"/>
      <c r="X62" s="2715">
        <f>ROUND(SUM(X51-X59),1)</f>
        <v>0</v>
      </c>
      <c r="Y62" s="2697"/>
      <c r="Z62" s="2696"/>
      <c r="AA62" s="2715">
        <f>ROUND(SUM(AA51-AA59),1)</f>
        <v>27078.5</v>
      </c>
      <c r="AB62" s="2697"/>
      <c r="AC62" s="2696"/>
      <c r="AD62" s="2715">
        <f>ROUND(SUM(AD51-AD59),1)</f>
        <v>29126</v>
      </c>
      <c r="AE62" s="2698"/>
      <c r="AF62" s="2699"/>
      <c r="AG62" s="2715">
        <f>ROUND(SUM(+AG51-AG59),1)</f>
        <v>-2047.5</v>
      </c>
      <c r="AH62" s="2657"/>
      <c r="AI62" s="1457">
        <f>ROUND(IF(AD62=0,0,AG62/ABS(AD62)),3)</f>
        <v>-7.0000000000000007E-2</v>
      </c>
      <c r="AJ62" s="2716"/>
    </row>
    <row r="63" spans="1:36" ht="19.5" customHeight="1">
      <c r="A63" s="1459"/>
      <c r="B63" s="2705"/>
      <c r="C63" s="1998"/>
      <c r="D63" s="1998"/>
      <c r="E63" s="1998"/>
      <c r="F63" s="1998"/>
      <c r="G63" s="1998"/>
      <c r="H63" s="1998"/>
      <c r="I63" s="1978"/>
      <c r="J63" s="1978"/>
      <c r="K63" s="1978"/>
      <c r="L63" s="1978"/>
      <c r="M63" s="1978"/>
      <c r="N63" s="1978"/>
      <c r="O63" s="1978"/>
      <c r="P63" s="1978"/>
      <c r="Q63" s="1978"/>
      <c r="R63" s="1978"/>
      <c r="S63" s="1978"/>
      <c r="T63" s="1978"/>
      <c r="U63" s="1978"/>
      <c r="V63" s="1978"/>
      <c r="W63" s="1978"/>
      <c r="X63" s="1978"/>
      <c r="Y63" s="2706"/>
      <c r="Z63" s="1978"/>
      <c r="AA63" s="2705"/>
      <c r="AB63" s="2706"/>
      <c r="AC63" s="1978"/>
      <c r="AD63" s="2705"/>
      <c r="AE63" s="2692"/>
      <c r="AF63" s="2693"/>
      <c r="AG63" s="2688"/>
      <c r="AH63" s="1456"/>
      <c r="AI63" s="1459"/>
    </row>
    <row r="64" spans="1:36" ht="19.5" customHeight="1">
      <c r="A64" s="1459"/>
      <c r="B64" s="1998"/>
      <c r="C64" s="1998"/>
      <c r="D64" s="1998"/>
      <c r="E64" s="1998"/>
      <c r="F64" s="1998"/>
      <c r="G64" s="1998"/>
      <c r="H64" s="1998"/>
      <c r="I64" s="1978"/>
      <c r="J64" s="1978"/>
      <c r="K64" s="1978"/>
      <c r="L64" s="1978"/>
      <c r="M64" s="1978"/>
      <c r="N64" s="1978"/>
      <c r="O64" s="1978"/>
      <c r="P64" s="1978"/>
      <c r="Q64" s="1978"/>
      <c r="R64" s="1978"/>
      <c r="S64" s="1978"/>
      <c r="T64" s="3894" t="s">
        <v>15</v>
      </c>
      <c r="U64" s="1978"/>
      <c r="V64" s="3894" t="s">
        <v>15</v>
      </c>
      <c r="W64" s="1978"/>
      <c r="X64" s="3894" t="s">
        <v>15</v>
      </c>
      <c r="Y64" s="2706"/>
      <c r="Z64" s="1978"/>
      <c r="AA64" s="1998"/>
      <c r="AB64" s="2706"/>
      <c r="AC64" s="1978"/>
      <c r="AD64" s="1998"/>
      <c r="AE64" s="2692"/>
      <c r="AF64" s="2693"/>
      <c r="AG64" s="2688"/>
      <c r="AH64" s="1456"/>
      <c r="AI64" s="1459"/>
    </row>
    <row r="65" spans="1:38" ht="14.25" customHeight="1">
      <c r="A65" s="2717" t="s">
        <v>46</v>
      </c>
      <c r="B65" s="1998"/>
      <c r="C65" s="1998"/>
      <c r="D65" s="1998"/>
      <c r="E65" s="1998"/>
      <c r="F65" s="1998"/>
      <c r="G65" s="1998"/>
      <c r="H65" s="1998"/>
      <c r="I65" s="1978"/>
      <c r="J65" s="1978"/>
      <c r="K65" s="1978"/>
      <c r="L65" s="1978"/>
      <c r="M65" s="1978"/>
      <c r="N65" s="1978"/>
      <c r="O65" s="1978"/>
      <c r="P65" s="1978"/>
      <c r="Q65" s="1978"/>
      <c r="R65" s="1978"/>
      <c r="S65" s="1978"/>
      <c r="T65" s="1978"/>
      <c r="U65" s="1978"/>
      <c r="V65" s="1978"/>
      <c r="W65" s="1978"/>
      <c r="X65" s="1978"/>
      <c r="Y65" s="2706"/>
      <c r="Z65" s="1978"/>
      <c r="AA65" s="1998"/>
      <c r="AB65" s="2706"/>
      <c r="AC65" s="1978"/>
      <c r="AD65" s="1998"/>
      <c r="AE65" s="2692"/>
      <c r="AF65" s="2693"/>
      <c r="AG65" s="2688"/>
      <c r="AH65" s="1456"/>
      <c r="AI65" s="1459"/>
    </row>
    <row r="66" spans="1:38" ht="14.25" customHeight="1">
      <c r="A66" s="2718" t="s">
        <v>181</v>
      </c>
      <c r="B66" s="1365">
        <v>280.2</v>
      </c>
      <c r="C66" s="1998"/>
      <c r="D66" s="1365">
        <v>130.30000000000001</v>
      </c>
      <c r="E66" s="1998"/>
      <c r="F66" s="1365">
        <v>39</v>
      </c>
      <c r="G66" s="1998"/>
      <c r="H66" s="1365">
        <v>311.20000000000005</v>
      </c>
      <c r="I66" s="1978"/>
      <c r="J66" s="1365">
        <v>49.400000000000034</v>
      </c>
      <c r="K66" s="1978"/>
      <c r="L66" s="1365">
        <v>247.39999999999992</v>
      </c>
      <c r="M66" s="1978"/>
      <c r="N66" s="1365">
        <v>319.10000000000008</v>
      </c>
      <c r="O66" s="1978"/>
      <c r="P66" s="1789">
        <v>89.499999999999773</v>
      </c>
      <c r="Q66" s="1978"/>
      <c r="R66" s="1789">
        <v>135.40000000000015</v>
      </c>
      <c r="S66" s="1978"/>
      <c r="T66" s="1789">
        <f t="shared" ref="T66:T67" si="5">$AA66-$B66-$D66-$F66-$H66-$J66-$L66-$N66-$P66-$R66</f>
        <v>367.2</v>
      </c>
      <c r="U66" s="1978"/>
      <c r="V66" s="1789"/>
      <c r="W66" s="1978"/>
      <c r="X66" s="1789"/>
      <c r="Y66" s="2706"/>
      <c r="Z66" s="1978"/>
      <c r="AA66" s="1984">
        <v>1968.7</v>
      </c>
      <c r="AB66" s="2706"/>
      <c r="AC66" s="1978"/>
      <c r="AD66" s="1984">
        <v>2493.3000000000002</v>
      </c>
      <c r="AE66" s="2692"/>
      <c r="AF66" s="2693"/>
      <c r="AG66" s="2688">
        <f>ROUND(SUM(AA66-AD66),1)</f>
        <v>-524.6</v>
      </c>
      <c r="AH66" s="1456"/>
      <c r="AI66" s="1426">
        <f>ROUND(IF(AD66=0,0,AG66/ABS(AD66)),3)</f>
        <v>-0.21</v>
      </c>
    </row>
    <row r="67" spans="1:38" ht="14.25" customHeight="1">
      <c r="A67" s="2718" t="s">
        <v>191</v>
      </c>
      <c r="B67" s="1365">
        <v>-1446.1</v>
      </c>
      <c r="C67" s="1998"/>
      <c r="D67" s="1365">
        <v>-1508.1</v>
      </c>
      <c r="E67" s="1998"/>
      <c r="F67" s="1365">
        <v>-2861.7999999999997</v>
      </c>
      <c r="G67" s="1998"/>
      <c r="H67" s="1365">
        <v>-4931</v>
      </c>
      <c r="I67" s="1978"/>
      <c r="J67" s="1365">
        <v>-1167.8999999999996</v>
      </c>
      <c r="K67" s="1978"/>
      <c r="L67" s="1365">
        <v>-2680.5</v>
      </c>
      <c r="M67" s="1978"/>
      <c r="N67" s="1365">
        <v>-1218.8999999999996</v>
      </c>
      <c r="O67" s="1978"/>
      <c r="P67" s="1789">
        <v>-1163.2000000000007</v>
      </c>
      <c r="Q67" s="1978"/>
      <c r="R67" s="1789">
        <v>-2848.8000000000029</v>
      </c>
      <c r="S67" s="1978"/>
      <c r="T67" s="1789">
        <f t="shared" si="5"/>
        <v>-2075.1000000000022</v>
      </c>
      <c r="U67" s="1978"/>
      <c r="V67" s="1789"/>
      <c r="W67" s="1978"/>
      <c r="X67" s="1789"/>
      <c r="Y67" s="2706"/>
      <c r="Z67" s="1978"/>
      <c r="AA67" s="2728">
        <v>-21901.4</v>
      </c>
      <c r="AB67" s="2706"/>
      <c r="AC67" s="1978"/>
      <c r="AD67" s="2728">
        <v>-29102.6</v>
      </c>
      <c r="AE67" s="2692"/>
      <c r="AF67" s="2693"/>
      <c r="AG67" s="2723">
        <f>ROUND(SUM(-(AA67-AD67)),1)</f>
        <v>-7201.2</v>
      </c>
      <c r="AH67" s="1456"/>
      <c r="AI67" s="1427">
        <f>ROUND(IF(AD67=0,0,AG67/ABS(AD67)),3)</f>
        <v>-0.247</v>
      </c>
    </row>
    <row r="68" spans="1:38" ht="15">
      <c r="A68" s="1459"/>
      <c r="B68" s="2710"/>
      <c r="C68" s="1978"/>
      <c r="D68" s="2729"/>
      <c r="E68" s="1978"/>
      <c r="F68" s="2729"/>
      <c r="G68" s="1978"/>
      <c r="H68" s="2729"/>
      <c r="I68" s="1978"/>
      <c r="J68" s="2729"/>
      <c r="K68" s="1978"/>
      <c r="L68" s="2729"/>
      <c r="M68" s="1978"/>
      <c r="N68" s="2729"/>
      <c r="O68" s="1978"/>
      <c r="P68" s="2729"/>
      <c r="Q68" s="1978"/>
      <c r="R68" s="2729"/>
      <c r="S68" s="1978"/>
      <c r="T68" s="2729"/>
      <c r="U68" s="1978"/>
      <c r="V68" s="2729"/>
      <c r="W68" s="1978"/>
      <c r="X68" s="2729"/>
      <c r="Y68" s="2706"/>
      <c r="Z68" s="1978"/>
      <c r="AA68" s="1998"/>
      <c r="AB68" s="2706"/>
      <c r="AC68" s="1978"/>
      <c r="AD68" s="1998"/>
      <c r="AE68" s="2692"/>
      <c r="AF68" s="2693"/>
      <c r="AG68" s="2688"/>
      <c r="AH68" s="1456"/>
      <c r="AI68" s="1459"/>
    </row>
    <row r="69" spans="1:38" ht="14.25" customHeight="1">
      <c r="A69" s="2717" t="s">
        <v>947</v>
      </c>
      <c r="B69" s="1983">
        <f>ROUND(SUM(B66:B67),1)</f>
        <v>-1165.9000000000001</v>
      </c>
      <c r="C69" s="2696"/>
      <c r="D69" s="1983">
        <f>ROUND(SUM(D66:D67),1)</f>
        <v>-1377.8</v>
      </c>
      <c r="E69" s="2714"/>
      <c r="F69" s="1983">
        <f>ROUND(SUM(F66:F67),1)</f>
        <v>-2822.8</v>
      </c>
      <c r="G69" s="2714"/>
      <c r="H69" s="1983">
        <f>ROUND(SUM(H66:H67),1)</f>
        <v>-4619.8</v>
      </c>
      <c r="I69" s="2714"/>
      <c r="J69" s="1983">
        <f>ROUND(SUM(J66:J67),1)</f>
        <v>-1118.5</v>
      </c>
      <c r="K69" s="2714"/>
      <c r="L69" s="1983">
        <f>ROUND(SUM(L66:L67),1)</f>
        <v>-2433.1</v>
      </c>
      <c r="M69" s="2714"/>
      <c r="N69" s="1983">
        <f>ROUND(SUM(N66:N67),1)</f>
        <v>-899.8</v>
      </c>
      <c r="O69" s="2714"/>
      <c r="P69" s="1983">
        <f>ROUND(SUM(P66:P67),1)</f>
        <v>-1073.7</v>
      </c>
      <c r="Q69" s="2714"/>
      <c r="R69" s="1983">
        <f>ROUND(SUM(R66:R67),1)</f>
        <v>-2713.4</v>
      </c>
      <c r="S69" s="2714"/>
      <c r="T69" s="1983">
        <f>ROUND(SUM(T66:T67),1)</f>
        <v>-1707.9</v>
      </c>
      <c r="U69" s="2714"/>
      <c r="V69" s="1983">
        <f>ROUND(SUM(V66:V67),1)</f>
        <v>0</v>
      </c>
      <c r="W69" s="2714"/>
      <c r="X69" s="1983">
        <f>ROUND(SUM(X66:X67),1)</f>
        <v>0</v>
      </c>
      <c r="Y69" s="2697"/>
      <c r="Z69" s="2696"/>
      <c r="AA69" s="1983">
        <f>ROUND(SUM(AA66:AA67),1)</f>
        <v>-19932.7</v>
      </c>
      <c r="AB69" s="2697"/>
      <c r="AC69" s="2696"/>
      <c r="AD69" s="1983">
        <f>ROUND(SUM(AD66:AD67),1)</f>
        <v>-26609.3</v>
      </c>
      <c r="AE69" s="2698"/>
      <c r="AF69" s="2699"/>
      <c r="AG69" s="1983">
        <f>ROUND(SUM(AG66-AG67),1)</f>
        <v>6676.6</v>
      </c>
      <c r="AH69" s="2657"/>
      <c r="AI69" s="1457">
        <f>ROUND(IF(AD69=0,0,AG69/ABS(AD69)),3)</f>
        <v>0.251</v>
      </c>
      <c r="AJ69" s="2716"/>
    </row>
    <row r="70" spans="1:38" ht="19.5" customHeight="1">
      <c r="A70" s="1459"/>
      <c r="B70" s="1978"/>
      <c r="C70" s="1978"/>
      <c r="D70" s="2730"/>
      <c r="E70" s="1978"/>
      <c r="F70" s="2730"/>
      <c r="G70" s="1978"/>
      <c r="H70" s="2730"/>
      <c r="I70" s="1978"/>
      <c r="J70" s="2730"/>
      <c r="K70" s="1978"/>
      <c r="L70" s="2730"/>
      <c r="M70" s="1978"/>
      <c r="N70" s="2730"/>
      <c r="O70" s="1978"/>
      <c r="P70" s="2730"/>
      <c r="Q70" s="1978"/>
      <c r="R70" s="2730"/>
      <c r="S70" s="1978"/>
      <c r="T70" s="2730"/>
      <c r="U70" s="1978"/>
      <c r="V70" s="2730"/>
      <c r="W70" s="1978"/>
      <c r="X70" s="2730"/>
      <c r="Y70" s="2706"/>
      <c r="Z70" s="1978"/>
      <c r="AA70" s="1998"/>
      <c r="AB70" s="2706"/>
      <c r="AC70" s="1978"/>
      <c r="AD70" s="1998"/>
      <c r="AE70" s="2692"/>
      <c r="AF70" s="2693"/>
      <c r="AG70" s="2688"/>
      <c r="AH70" s="1456"/>
      <c r="AI70" s="1459"/>
    </row>
    <row r="71" spans="1:38" ht="19.5" customHeight="1">
      <c r="A71" s="1459"/>
      <c r="B71" s="1978"/>
      <c r="C71" s="1978"/>
      <c r="D71" s="2730"/>
      <c r="E71" s="1978"/>
      <c r="F71" s="2730"/>
      <c r="G71" s="1978"/>
      <c r="H71" s="2730"/>
      <c r="I71" s="1978"/>
      <c r="J71" s="2730"/>
      <c r="K71" s="1978"/>
      <c r="L71" s="2730"/>
      <c r="M71" s="1978"/>
      <c r="N71" s="2730"/>
      <c r="O71" s="1978"/>
      <c r="P71" s="2730"/>
      <c r="Q71" s="1978"/>
      <c r="R71" s="2730"/>
      <c r="S71" s="1978"/>
      <c r="T71" s="2730"/>
      <c r="U71" s="1978"/>
      <c r="V71" s="2730"/>
      <c r="W71" s="1978"/>
      <c r="X71" s="2730"/>
      <c r="Y71" s="2706"/>
      <c r="Z71" s="1978"/>
      <c r="AA71" s="1998"/>
      <c r="AB71" s="2706"/>
      <c r="AC71" s="1978"/>
      <c r="AD71" s="1998"/>
      <c r="AE71" s="2692"/>
      <c r="AF71" s="2693"/>
      <c r="AG71" s="2688"/>
      <c r="AH71" s="1456"/>
      <c r="AI71" s="1459"/>
    </row>
    <row r="72" spans="1:38" ht="14.25" customHeight="1">
      <c r="A72" s="2473" t="s">
        <v>192</v>
      </c>
      <c r="B72" s="1978"/>
      <c r="C72" s="1978"/>
      <c r="D72" s="2726"/>
      <c r="E72" s="1978"/>
      <c r="F72" s="2726"/>
      <c r="G72" s="1978"/>
      <c r="H72" s="2726"/>
      <c r="I72" s="1978"/>
      <c r="J72" s="2726"/>
      <c r="K72" s="1978"/>
      <c r="L72" s="2726"/>
      <c r="M72" s="1978"/>
      <c r="N72" s="2726"/>
      <c r="O72" s="1978"/>
      <c r="P72" s="2726"/>
      <c r="Q72" s="1978"/>
      <c r="R72" s="2726"/>
      <c r="S72" s="1978"/>
      <c r="T72" s="2726"/>
      <c r="U72" s="1978"/>
      <c r="V72" s="2726"/>
      <c r="W72" s="1978"/>
      <c r="X72" s="2726"/>
      <c r="Y72" s="2706"/>
      <c r="Z72" s="1978"/>
      <c r="AA72" s="1998"/>
      <c r="AB72" s="2706"/>
      <c r="AC72" s="1978"/>
      <c r="AD72" s="1998"/>
      <c r="AE72" s="2692"/>
      <c r="AF72" s="2693"/>
      <c r="AG72" s="2688"/>
      <c r="AH72" s="1456"/>
      <c r="AI72" s="1459"/>
    </row>
    <row r="73" spans="1:38" ht="14.25" customHeight="1">
      <c r="A73" s="2473" t="s">
        <v>193</v>
      </c>
      <c r="B73" s="1978"/>
      <c r="C73" s="1978"/>
      <c r="D73" s="2726"/>
      <c r="E73" s="1978"/>
      <c r="F73" s="2726"/>
      <c r="G73" s="1978"/>
      <c r="H73" s="2726"/>
      <c r="I73" s="1978"/>
      <c r="J73" s="2726"/>
      <c r="K73" s="1978"/>
      <c r="L73" s="2726"/>
      <c r="M73" s="1978"/>
      <c r="N73" s="2726"/>
      <c r="O73" s="1978"/>
      <c r="P73" s="2726"/>
      <c r="Q73" s="1978"/>
      <c r="R73" s="2726"/>
      <c r="S73" s="1978"/>
      <c r="T73" s="2726"/>
      <c r="U73" s="1978"/>
      <c r="V73" s="2726"/>
      <c r="W73" s="1978"/>
      <c r="X73" s="2726"/>
      <c r="Y73" s="2706"/>
      <c r="Z73" s="1978"/>
      <c r="AA73" s="1998"/>
      <c r="AB73" s="2706"/>
      <c r="AC73" s="1978"/>
      <c r="AD73" s="1998"/>
      <c r="AE73" s="2692"/>
      <c r="AF73" s="2693"/>
      <c r="AG73" s="2688"/>
      <c r="AH73" s="1456"/>
      <c r="AI73" s="1459"/>
    </row>
    <row r="74" spans="1:38" ht="14.25" customHeight="1">
      <c r="A74" s="2473" t="s">
        <v>1221</v>
      </c>
      <c r="B74" s="2715">
        <f>ROUND(SUM(+B62+B69),1)</f>
        <v>329.5</v>
      </c>
      <c r="C74" s="2696"/>
      <c r="D74" s="2715">
        <f>ROUND(SUM(+D62+D69),1)</f>
        <v>129.19999999999999</v>
      </c>
      <c r="E74" s="2696"/>
      <c r="F74" s="2715">
        <f>ROUND(SUM(+F62+F69),1)</f>
        <v>-26.9</v>
      </c>
      <c r="G74" s="2696"/>
      <c r="H74" s="2715">
        <f>ROUND(SUM(+H62+H69),1)</f>
        <v>1107.8</v>
      </c>
      <c r="I74" s="2696"/>
      <c r="J74" s="2715">
        <f>ROUND(SUM(+J62+J69),1)</f>
        <v>541.5</v>
      </c>
      <c r="K74" s="2696"/>
      <c r="L74" s="2715">
        <f>ROUND(SUM(+L62+L69),1)</f>
        <v>192.8</v>
      </c>
      <c r="M74" s="2696"/>
      <c r="N74" s="2715">
        <f>ROUND(SUM(+N62+N69),1)</f>
        <v>963</v>
      </c>
      <c r="O74" s="2696"/>
      <c r="P74" s="2715">
        <f>ROUND(SUM(+P62+P69),1)</f>
        <v>826</v>
      </c>
      <c r="Q74" s="2696"/>
      <c r="R74" s="2715">
        <f>ROUND(SUM(+R62+R69),1)</f>
        <v>-652.5</v>
      </c>
      <c r="S74" s="2696"/>
      <c r="T74" s="2715">
        <f>ROUND(SUM(+T62+T69),1)</f>
        <v>3735.4</v>
      </c>
      <c r="U74" s="2696"/>
      <c r="V74" s="2715">
        <f>ROUND(SUM(+V62+V69),1)</f>
        <v>0</v>
      </c>
      <c r="W74" s="2696"/>
      <c r="X74" s="2715">
        <f>ROUND(SUM(+X62+X69),1)</f>
        <v>0</v>
      </c>
      <c r="Y74" s="2697"/>
      <c r="Z74" s="2696"/>
      <c r="AA74" s="2715">
        <f>ROUND(SUM(+AA62+AA69),1)</f>
        <v>7145.8</v>
      </c>
      <c r="AB74" s="2697"/>
      <c r="AC74" s="2696"/>
      <c r="AD74" s="2715">
        <f>ROUND(SUM(+AD62+AD69),1)</f>
        <v>2516.6999999999998</v>
      </c>
      <c r="AE74" s="2698"/>
      <c r="AF74" s="2699"/>
      <c r="AG74" s="2715">
        <f>ROUND(SUM(+AG62+AG69),1)</f>
        <v>4629.1000000000004</v>
      </c>
      <c r="AH74" s="2657"/>
      <c r="AI74" s="1466">
        <f>ROUND(IF(AD74=0,0,AG74/ABS(AD74)),3)</f>
        <v>1.839</v>
      </c>
      <c r="AJ74" s="2716"/>
    </row>
    <row r="75" spans="1:38" ht="15">
      <c r="A75" s="1459"/>
      <c r="B75" s="1980"/>
      <c r="C75" s="1980"/>
      <c r="D75" s="2731"/>
      <c r="E75" s="1980"/>
      <c r="F75" s="2732"/>
      <c r="G75" s="1980"/>
      <c r="H75" s="2732"/>
      <c r="I75" s="1980"/>
      <c r="J75" s="2732"/>
      <c r="K75" s="1980"/>
      <c r="L75" s="2733"/>
      <c r="M75" s="1980"/>
      <c r="N75" s="2732"/>
      <c r="O75" s="1980"/>
      <c r="P75" s="2732"/>
      <c r="Q75" s="1980"/>
      <c r="R75" s="2732"/>
      <c r="S75" s="1980"/>
      <c r="T75" s="2732"/>
      <c r="U75" s="1980"/>
      <c r="V75" s="2732"/>
      <c r="W75" s="1980"/>
      <c r="X75" s="2732"/>
      <c r="Y75" s="2683"/>
      <c r="Z75" s="1980"/>
      <c r="AA75" s="1980" t="s">
        <v>15</v>
      </c>
      <c r="AB75" s="2683"/>
      <c r="AC75" s="1980"/>
      <c r="AD75" s="3472"/>
      <c r="AE75" s="2670"/>
      <c r="AF75" s="2684"/>
      <c r="AG75" s="2685"/>
      <c r="AH75" s="1456"/>
      <c r="AI75" s="1459"/>
    </row>
    <row r="76" spans="1:38" ht="15">
      <c r="A76" s="1459"/>
      <c r="B76" s="1459"/>
      <c r="C76" s="1459"/>
      <c r="D76" s="2669"/>
      <c r="E76" s="1459"/>
      <c r="F76" s="2685"/>
      <c r="G76" s="1459"/>
      <c r="H76" s="1456"/>
      <c r="I76" s="1459"/>
      <c r="J76" s="1456"/>
      <c r="K76" s="1459"/>
      <c r="L76" s="2734"/>
      <c r="M76" s="1459"/>
      <c r="N76" s="1456"/>
      <c r="O76" s="1459"/>
      <c r="P76" s="1456"/>
      <c r="Q76" s="1459"/>
      <c r="R76" s="1456"/>
      <c r="S76" s="1459"/>
      <c r="T76" s="2685"/>
      <c r="U76" s="1980"/>
      <c r="V76" s="2685"/>
      <c r="W76" s="1980"/>
      <c r="X76" s="2685"/>
      <c r="Y76" s="2682"/>
      <c r="Z76" s="1459"/>
      <c r="AA76" s="1980"/>
      <c r="AB76" s="2683"/>
      <c r="AC76" s="1980"/>
      <c r="AD76" s="2606"/>
      <c r="AE76" s="2673"/>
      <c r="AF76" s="2684"/>
      <c r="AG76" s="2685"/>
      <c r="AH76" s="1456"/>
      <c r="AI76" s="1459"/>
    </row>
    <row r="77" spans="1:38" ht="19.5" customHeight="1" thickBot="1">
      <c r="A77" s="2473" t="s">
        <v>141</v>
      </c>
      <c r="B77" s="2735">
        <f>ROUND(SUM(B12+B74),1)</f>
        <v>392.9</v>
      </c>
      <c r="C77" s="2453"/>
      <c r="D77" s="2735">
        <f>ROUND(SUM(D12+D74),1)</f>
        <v>522.1</v>
      </c>
      <c r="E77" s="2453"/>
      <c r="F77" s="2735">
        <f>ROUND(SUM(F12+F74),1)</f>
        <v>495.2</v>
      </c>
      <c r="G77" s="2453"/>
      <c r="H77" s="2735">
        <f>ROUND(SUM(H12+H74),1)</f>
        <v>1603</v>
      </c>
      <c r="I77" s="2453"/>
      <c r="J77" s="2735">
        <f>ROUND(SUM(J12+J74),1)</f>
        <v>2144.5</v>
      </c>
      <c r="K77" s="2453"/>
      <c r="L77" s="2735">
        <f>ROUND(SUM(L12+L74),1)</f>
        <v>2337.3000000000002</v>
      </c>
      <c r="M77" s="2453"/>
      <c r="N77" s="2735">
        <f>ROUND(SUM(N12+N74),1)</f>
        <v>3300.3</v>
      </c>
      <c r="O77" s="2453"/>
      <c r="P77" s="2735">
        <f>ROUND(SUM(P12+P74),1)</f>
        <v>4126.3</v>
      </c>
      <c r="Q77" s="2453"/>
      <c r="R77" s="2735">
        <f>ROUND(SUM(R12+R74),1)</f>
        <v>3473.8</v>
      </c>
      <c r="S77" s="2453"/>
      <c r="T77" s="2735">
        <f>ROUND(SUM(T12+T74),1)</f>
        <v>7209.2</v>
      </c>
      <c r="U77" s="2453"/>
      <c r="V77" s="2735">
        <f>ROUND(SUM(V12+V74),1)</f>
        <v>0</v>
      </c>
      <c r="W77" s="2453"/>
      <c r="X77" s="2735">
        <f>ROUND(SUM(X12+X74),1)</f>
        <v>0</v>
      </c>
      <c r="Y77" s="2677"/>
      <c r="Z77" s="2453"/>
      <c r="AA77" s="2735">
        <f>ROUND(SUM(AA12+AA74),1)</f>
        <v>7209.2</v>
      </c>
      <c r="AB77" s="2677"/>
      <c r="AC77" s="2453"/>
      <c r="AD77" s="2735">
        <f>ROUND(SUM(AD12+AD74),1)</f>
        <v>2581.5</v>
      </c>
      <c r="AE77" s="2736"/>
      <c r="AF77" s="2679"/>
      <c r="AG77" s="2735">
        <f>ROUND(SUM(+AG12+AG74),1)</f>
        <v>4627.7</v>
      </c>
      <c r="AH77" s="2657"/>
      <c r="AI77" s="2324">
        <f>ROUND(IF(AD77=0,0,AG77/ABS(AD77)),3)</f>
        <v>1.7929999999999999</v>
      </c>
      <c r="AJ77" s="2737"/>
      <c r="AK77" s="2701"/>
      <c r="AL77" s="2701"/>
    </row>
    <row r="78" spans="1:38" ht="14.25" customHeight="1" thickTop="1">
      <c r="A78" s="2701"/>
      <c r="B78" s="2738"/>
      <c r="C78" s="2739"/>
      <c r="D78" s="2738"/>
      <c r="F78" s="2738"/>
      <c r="H78" s="2740"/>
      <c r="J78" s="2740"/>
      <c r="L78" s="2740"/>
      <c r="N78" s="2740"/>
      <c r="P78" s="2740"/>
      <c r="R78" s="2740"/>
      <c r="T78" s="2740"/>
      <c r="U78" s="2647"/>
      <c r="V78" s="2740"/>
      <c r="W78" s="2647"/>
      <c r="X78" s="2740"/>
      <c r="Y78" s="2738"/>
      <c r="Z78" s="2739"/>
      <c r="AA78" s="2738"/>
      <c r="AB78" s="2738"/>
      <c r="AC78" s="2739"/>
      <c r="AD78" s="2738"/>
      <c r="AE78" s="2741"/>
      <c r="AF78" s="2738"/>
      <c r="AG78" s="2738"/>
      <c r="AH78" s="2742"/>
      <c r="AI78" s="2743"/>
    </row>
    <row r="79" spans="1:38">
      <c r="L79" s="2647"/>
      <c r="T79" s="2744"/>
      <c r="U79" s="2744"/>
      <c r="V79" s="2744"/>
      <c r="W79" s="2744"/>
      <c r="X79" s="2744"/>
      <c r="AD79" s="2745"/>
    </row>
    <row r="80" spans="1:38" ht="12" customHeight="1">
      <c r="A80" s="1459"/>
      <c r="L80" s="2647"/>
      <c r="R80" s="2746"/>
      <c r="T80" s="2739"/>
      <c r="V80" s="2739"/>
      <c r="X80" s="2739"/>
    </row>
    <row r="81" spans="1:35">
      <c r="B81" s="2745"/>
      <c r="L81" s="2647"/>
      <c r="R81" s="2746"/>
      <c r="T81" s="2739"/>
      <c r="V81" s="2739"/>
      <c r="X81" s="2739"/>
    </row>
    <row r="82" spans="1:35">
      <c r="A82" s="2747"/>
      <c r="L82" s="2647"/>
    </row>
    <row r="83" spans="1:35">
      <c r="A83" s="2748"/>
      <c r="B83" s="2745"/>
      <c r="L83" s="2647"/>
      <c r="R83" s="2749"/>
    </row>
    <row r="84" spans="1:35">
      <c r="A84" s="2750"/>
      <c r="B84" s="2745"/>
      <c r="L84" s="2647"/>
    </row>
    <row r="85" spans="1:35">
      <c r="A85" s="2751"/>
      <c r="L85" s="2647"/>
      <c r="AI85" s="2739"/>
    </row>
    <row r="86" spans="1:35">
      <c r="L86" s="2647"/>
    </row>
    <row r="87" spans="1:35">
      <c r="L87" s="2647"/>
    </row>
    <row r="88" spans="1:35">
      <c r="L88" s="2647"/>
    </row>
    <row r="89" spans="1:35">
      <c r="L89" s="2647"/>
    </row>
    <row r="90" spans="1:35">
      <c r="L90" s="2647"/>
    </row>
    <row r="91" spans="1:35">
      <c r="L91" s="2647"/>
    </row>
    <row r="92" spans="1:35">
      <c r="L92" s="2647"/>
    </row>
    <row r="93" spans="1:35">
      <c r="L93" s="2647"/>
    </row>
    <row r="94" spans="1:35">
      <c r="L94" s="2647"/>
    </row>
    <row r="95" spans="1:35">
      <c r="L95" s="2647"/>
    </row>
    <row r="96" spans="1:35">
      <c r="L96" s="2647"/>
    </row>
    <row r="97" spans="12:12">
      <c r="L97" s="2647"/>
    </row>
    <row r="98" spans="12:12">
      <c r="L98" s="2647"/>
    </row>
    <row r="99" spans="12:12">
      <c r="L99" s="2647"/>
    </row>
    <row r="100" spans="12:12">
      <c r="L100" s="2647"/>
    </row>
    <row r="101" spans="12:12">
      <c r="L101" s="2647"/>
    </row>
    <row r="102" spans="12:12">
      <c r="L102" s="2647"/>
    </row>
    <row r="103" spans="12:12">
      <c r="L103" s="2647"/>
    </row>
    <row r="104" spans="12:12">
      <c r="L104" s="2647"/>
    </row>
    <row r="105" spans="12:12">
      <c r="L105" s="2647"/>
    </row>
    <row r="106" spans="12:12">
      <c r="L106" s="2647"/>
    </row>
    <row r="107" spans="12:12">
      <c r="L107" s="2647"/>
    </row>
    <row r="108" spans="12:12">
      <c r="L108" s="2647"/>
    </row>
    <row r="109" spans="12:12">
      <c r="L109" s="2647"/>
    </row>
    <row r="110" spans="12:12">
      <c r="L110" s="2647"/>
    </row>
    <row r="111" spans="12:12">
      <c r="L111" s="2647"/>
    </row>
    <row r="112" spans="12:12">
      <c r="L112" s="2647"/>
    </row>
    <row r="113" spans="12:12">
      <c r="L113" s="2647"/>
    </row>
    <row r="114" spans="12:12">
      <c r="L114" s="2647"/>
    </row>
    <row r="115" spans="12:12">
      <c r="L115" s="2647"/>
    </row>
    <row r="116" spans="12:12">
      <c r="L116" s="2647"/>
    </row>
    <row r="117" spans="12:12">
      <c r="L117" s="2647"/>
    </row>
    <row r="118" spans="12:12">
      <c r="L118" s="2647"/>
    </row>
    <row r="119" spans="12:12">
      <c r="L119" s="2647"/>
    </row>
    <row r="120" spans="12:12">
      <c r="L120" s="2647"/>
    </row>
    <row r="121" spans="12:12">
      <c r="L121" s="2647"/>
    </row>
    <row r="122" spans="12:12">
      <c r="L122" s="2647"/>
    </row>
    <row r="123" spans="12:12">
      <c r="L123" s="2647"/>
    </row>
    <row r="124" spans="12:12">
      <c r="L124" s="2647"/>
    </row>
    <row r="125" spans="12:12">
      <c r="L125" s="2647"/>
    </row>
    <row r="126" spans="12:12">
      <c r="L126" s="2647"/>
    </row>
    <row r="127" spans="12:12">
      <c r="L127" s="2647"/>
    </row>
    <row r="128" spans="12:12">
      <c r="L128" s="2647"/>
    </row>
    <row r="129" spans="12:12">
      <c r="L129" s="2647"/>
    </row>
    <row r="130" spans="12:12">
      <c r="L130" s="2647"/>
    </row>
    <row r="131" spans="12:12">
      <c r="L131" s="2647"/>
    </row>
    <row r="132" spans="12:12">
      <c r="L132" s="2647"/>
    </row>
    <row r="133" spans="12:12">
      <c r="L133" s="2647"/>
    </row>
    <row r="134" spans="12:12">
      <c r="L134" s="2647"/>
    </row>
    <row r="135" spans="12:12">
      <c r="L135" s="2647"/>
    </row>
    <row r="136" spans="12:12">
      <c r="L136" s="2647"/>
    </row>
    <row r="137" spans="12:12">
      <c r="L137" s="2647"/>
    </row>
    <row r="138" spans="12:12">
      <c r="L138" s="2647"/>
    </row>
    <row r="139" spans="12:12">
      <c r="L139" s="2647"/>
    </row>
    <row r="140" spans="12:12">
      <c r="L140" s="2647"/>
    </row>
    <row r="141" spans="12:12">
      <c r="L141" s="2647"/>
    </row>
    <row r="142" spans="12:12">
      <c r="L142" s="2647"/>
    </row>
    <row r="143" spans="12:12">
      <c r="L143" s="2647"/>
    </row>
    <row r="144" spans="12:12">
      <c r="L144" s="2647"/>
    </row>
    <row r="145" spans="12:12">
      <c r="L145" s="2647"/>
    </row>
    <row r="146" spans="12:12">
      <c r="L146" s="2647"/>
    </row>
    <row r="147" spans="12:12">
      <c r="L147" s="2647"/>
    </row>
    <row r="148" spans="12:12">
      <c r="L148" s="2647"/>
    </row>
    <row r="149" spans="12:12">
      <c r="L149" s="2647"/>
    </row>
    <row r="150" spans="12:12">
      <c r="L150" s="2647"/>
    </row>
    <row r="151" spans="12:12">
      <c r="L151" s="2647"/>
    </row>
    <row r="152" spans="12:12">
      <c r="L152" s="2647"/>
    </row>
    <row r="153" spans="12:12">
      <c r="L153" s="2647"/>
    </row>
    <row r="154" spans="12:12">
      <c r="L154" s="2647"/>
    </row>
    <row r="155" spans="12:12">
      <c r="L155" s="2647"/>
    </row>
    <row r="156" spans="12:12">
      <c r="L156" s="2647"/>
    </row>
    <row r="157" spans="12:12">
      <c r="L157" s="2647"/>
    </row>
    <row r="158" spans="12:12">
      <c r="L158" s="2647"/>
    </row>
    <row r="159" spans="12:12">
      <c r="L159" s="2647"/>
    </row>
    <row r="160" spans="12:12">
      <c r="L160" s="2647"/>
    </row>
    <row r="161" spans="12:12">
      <c r="L161" s="2647"/>
    </row>
    <row r="162" spans="12:12">
      <c r="L162" s="2647"/>
    </row>
    <row r="163" spans="12:12">
      <c r="L163" s="2647"/>
    </row>
    <row r="164" spans="12:12">
      <c r="L164" s="2647"/>
    </row>
    <row r="165" spans="12:12">
      <c r="L165" s="2647"/>
    </row>
    <row r="166" spans="12:12">
      <c r="L166" s="2647"/>
    </row>
    <row r="167" spans="12:12">
      <c r="L167" s="2647"/>
    </row>
    <row r="168" spans="12:12">
      <c r="L168" s="2647"/>
    </row>
    <row r="169" spans="12:12">
      <c r="L169" s="2647"/>
    </row>
    <row r="170" spans="12:12">
      <c r="L170" s="2647"/>
    </row>
    <row r="171" spans="12:12">
      <c r="L171" s="2647"/>
    </row>
    <row r="172" spans="12:12">
      <c r="L172" s="2647"/>
    </row>
    <row r="173" spans="12:12">
      <c r="L173" s="2647"/>
    </row>
    <row r="174" spans="12:12">
      <c r="L174" s="2647"/>
    </row>
    <row r="175" spans="12:12">
      <c r="L175" s="2647"/>
    </row>
    <row r="176" spans="12:12">
      <c r="L176" s="2647"/>
    </row>
    <row r="177" spans="12:12">
      <c r="L177" s="2647"/>
    </row>
    <row r="178" spans="12:12">
      <c r="L178" s="2647"/>
    </row>
    <row r="179" spans="12:12">
      <c r="L179" s="2647"/>
    </row>
    <row r="180" spans="12:12">
      <c r="L180" s="2647"/>
    </row>
    <row r="181" spans="12:12">
      <c r="L181" s="2647"/>
    </row>
    <row r="182" spans="12:12">
      <c r="L182" s="2647"/>
    </row>
    <row r="183" spans="12:12">
      <c r="L183" s="2647"/>
    </row>
    <row r="184" spans="12:12">
      <c r="L184" s="2647"/>
    </row>
    <row r="185" spans="12:12">
      <c r="L185" s="2647"/>
    </row>
    <row r="186" spans="12:12">
      <c r="L186" s="2647"/>
    </row>
    <row r="187" spans="12:12">
      <c r="L187" s="2647"/>
    </row>
    <row r="188" spans="12:12">
      <c r="L188" s="2647"/>
    </row>
    <row r="189" spans="12:12">
      <c r="L189" s="2647"/>
    </row>
    <row r="190" spans="12:12">
      <c r="L190" s="2647"/>
    </row>
    <row r="191" spans="12:12">
      <c r="L191" s="2647"/>
    </row>
    <row r="192" spans="12:12">
      <c r="L192" s="2647"/>
    </row>
    <row r="193" spans="12:12">
      <c r="L193" s="2647"/>
    </row>
    <row r="194" spans="12:12">
      <c r="L194" s="2647"/>
    </row>
    <row r="195" spans="12:12">
      <c r="L195" s="2647"/>
    </row>
    <row r="196" spans="12:12">
      <c r="L196" s="2647"/>
    </row>
    <row r="197" spans="12:12">
      <c r="L197" s="2647"/>
    </row>
    <row r="198" spans="12:12">
      <c r="L198" s="2647"/>
    </row>
    <row r="199" spans="12:12">
      <c r="L199" s="2647"/>
    </row>
    <row r="200" spans="12:12">
      <c r="L200" s="2647"/>
    </row>
    <row r="201" spans="12:12">
      <c r="L201" s="2647"/>
    </row>
    <row r="202" spans="12:12">
      <c r="L202" s="2647"/>
    </row>
    <row r="203" spans="12:12">
      <c r="L203" s="2647"/>
    </row>
    <row r="204" spans="12:12">
      <c r="L204" s="2647"/>
    </row>
    <row r="205" spans="12:12">
      <c r="L205" s="2647"/>
    </row>
    <row r="206" spans="12:12">
      <c r="L206" s="2647"/>
    </row>
    <row r="207" spans="12:12">
      <c r="L207" s="2647"/>
    </row>
    <row r="208" spans="12:12">
      <c r="L208" s="2647"/>
    </row>
    <row r="209" spans="12:12">
      <c r="L209" s="2647"/>
    </row>
    <row r="210" spans="12:12">
      <c r="L210" s="2647"/>
    </row>
    <row r="211" spans="12:12">
      <c r="L211" s="2647"/>
    </row>
    <row r="212" spans="12:12">
      <c r="L212" s="2647"/>
    </row>
    <row r="213" spans="12:12">
      <c r="L213" s="2647"/>
    </row>
    <row r="214" spans="12:12">
      <c r="L214" s="2647"/>
    </row>
    <row r="215" spans="12:12">
      <c r="L215" s="2647"/>
    </row>
    <row r="216" spans="12:12">
      <c r="L216" s="2647"/>
    </row>
    <row r="217" spans="12:12">
      <c r="L217" s="2647"/>
    </row>
    <row r="218" spans="12:12">
      <c r="L218" s="2647"/>
    </row>
    <row r="219" spans="12:12">
      <c r="L219" s="2647"/>
    </row>
    <row r="220" spans="12:12">
      <c r="L220" s="2647"/>
    </row>
    <row r="221" spans="12:12">
      <c r="L221" s="2647"/>
    </row>
    <row r="222" spans="12:12">
      <c r="L222" s="2647"/>
    </row>
    <row r="223" spans="12:12">
      <c r="L223" s="2647"/>
    </row>
    <row r="224" spans="12:12">
      <c r="L224" s="2647"/>
    </row>
    <row r="225" spans="12:12">
      <c r="L225" s="2647"/>
    </row>
    <row r="226" spans="12:12">
      <c r="L226" s="2647"/>
    </row>
    <row r="227" spans="12:12">
      <c r="L227" s="2647"/>
    </row>
    <row r="228" spans="12:12">
      <c r="L228" s="2647"/>
    </row>
    <row r="229" spans="12:12">
      <c r="L229" s="2647"/>
    </row>
    <row r="230" spans="12:12">
      <c r="L230" s="2647"/>
    </row>
    <row r="231" spans="12:12">
      <c r="L231" s="2647"/>
    </row>
    <row r="232" spans="12:12">
      <c r="L232" s="2647"/>
    </row>
    <row r="233" spans="12:12">
      <c r="L233" s="2647"/>
    </row>
    <row r="234" spans="12:12">
      <c r="L234" s="2647"/>
    </row>
    <row r="235" spans="12:12">
      <c r="L235" s="2647"/>
    </row>
    <row r="236" spans="12:12">
      <c r="L236" s="2647"/>
    </row>
    <row r="237" spans="12:12">
      <c r="L237" s="2647"/>
    </row>
    <row r="238" spans="12:12">
      <c r="L238" s="2647"/>
    </row>
    <row r="239" spans="12:12">
      <c r="L239" s="2647"/>
    </row>
    <row r="240" spans="12:12">
      <c r="L240" s="2647"/>
    </row>
    <row r="241" spans="12:12">
      <c r="L241" s="2647"/>
    </row>
    <row r="242" spans="12:12">
      <c r="L242" s="2647"/>
    </row>
    <row r="243" spans="12:12">
      <c r="L243" s="2647"/>
    </row>
    <row r="244" spans="12:12">
      <c r="L244" s="2647"/>
    </row>
    <row r="245" spans="12:12">
      <c r="L245" s="2647"/>
    </row>
    <row r="246" spans="12:12">
      <c r="L246" s="2647"/>
    </row>
    <row r="247" spans="12:12">
      <c r="L247" s="2647"/>
    </row>
    <row r="248" spans="12:12">
      <c r="L248" s="2647"/>
    </row>
    <row r="249" spans="12:12">
      <c r="L249" s="2647"/>
    </row>
    <row r="250" spans="12:12">
      <c r="L250" s="2647"/>
    </row>
    <row r="251" spans="12:12">
      <c r="L251" s="2647"/>
    </row>
    <row r="252" spans="12:12">
      <c r="L252" s="2647"/>
    </row>
    <row r="253" spans="12:12">
      <c r="L253" s="2647"/>
    </row>
    <row r="254" spans="12:12">
      <c r="L254" s="2647"/>
    </row>
    <row r="255" spans="12:12">
      <c r="L255" s="2647"/>
    </row>
    <row r="256" spans="12:12">
      <c r="L256" s="2647"/>
    </row>
    <row r="257" spans="12:12">
      <c r="L257" s="2647"/>
    </row>
    <row r="258" spans="12:12">
      <c r="L258" s="2647"/>
    </row>
    <row r="259" spans="12:12">
      <c r="L259" s="2647"/>
    </row>
    <row r="260" spans="12:12">
      <c r="L260" s="2647"/>
    </row>
    <row r="261" spans="12:12">
      <c r="L261" s="2647"/>
    </row>
  </sheetData>
  <mergeCells count="2">
    <mergeCell ref="AB5:AD5"/>
    <mergeCell ref="AA8:AI8"/>
  </mergeCells>
  <pageMargins left="0.25" right="0.25" top="0.5" bottom="0.25" header="0.5" footer="0.25"/>
  <pageSetup scale="48" firstPageNumber="28" orientation="landscape" useFirstPageNumber="1" r:id="rId1"/>
  <headerFooter scaleWithDoc="0" alignWithMargins="0">
    <oddFooter>&amp;C&amp;8&amp;P</oddFooter>
  </headerFooter>
  <rowBreaks count="1" manualBreakCount="1">
    <brk id="85" max="34" man="1"/>
  </rowBreaks>
  <ignoredErrors>
    <ignoredError sqref="AJ38 AI18 AJ41:AJ43 AJ44 AI75:AI77 AI21 AI25 AI52:AI54 AI71:AI73 AI70 AI63:AI65 AI60:AI61 AI58 AI56 AI68 AI55 AI69 AI57 AI59 AI62 AI66:AI67 AI48 AI50 AI51 AI49 AI47" unlockedFormula="1"/>
    <ignoredError sqref="I47 K47" formulaRange="1"/>
    <ignoredError sqref="AI44 AI42 AI43" formula="1" unlockedFormula="1"/>
    <ignoredError sqref="AI41 AI38 AI23"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C112"/>
  <sheetViews>
    <sheetView showGridLines="0" zoomScale="90" zoomScaleNormal="60" workbookViewId="0"/>
  </sheetViews>
  <sheetFormatPr defaultColWidth="8.6640625" defaultRowHeight="15"/>
  <cols>
    <col min="1" max="1" width="2.5546875" style="101" customWidth="1"/>
    <col min="2" max="2" width="15.6640625" style="101" customWidth="1"/>
    <col min="3" max="3" width="25.109375" style="101" customWidth="1"/>
    <col min="4" max="4" width="2" style="101" customWidth="1"/>
    <col min="5" max="5" width="12.5546875" style="101" customWidth="1"/>
    <col min="6" max="6" width="1.6640625" style="101" customWidth="1"/>
    <col min="7" max="7" width="10.6640625" style="101" customWidth="1"/>
    <col min="8" max="8" width="1.6640625" style="101" customWidth="1"/>
    <col min="9" max="9" width="10.6640625" style="101" customWidth="1"/>
    <col min="10" max="10" width="1.6640625" style="101" customWidth="1"/>
    <col min="11" max="11" width="10" style="101" customWidth="1"/>
    <col min="12" max="12" width="1.109375" style="101" customWidth="1"/>
    <col min="13" max="13" width="10.5546875" style="101" customWidth="1"/>
    <col min="14" max="14" width="1.6640625" style="101" customWidth="1"/>
    <col min="15" max="15" width="12.44140625" style="101" customWidth="1"/>
    <col min="16" max="16" width="1.6640625" style="101" customWidth="1"/>
    <col min="17" max="17" width="12.109375" style="101" customWidth="1"/>
    <col min="18" max="18" width="1.6640625" style="101" customWidth="1"/>
    <col min="19" max="19" width="12.109375" style="101" customWidth="1"/>
    <col min="20" max="20" width="1.6640625" style="101" customWidth="1"/>
    <col min="21" max="21" width="10.6640625" style="101" customWidth="1"/>
    <col min="22" max="22" width="1.6640625" style="101" customWidth="1"/>
    <col min="23" max="23" width="13.6640625" style="101" customWidth="1"/>
    <col min="24" max="24" width="1.6640625" style="101" customWidth="1"/>
    <col min="25" max="25" width="12.6640625" style="101" customWidth="1"/>
    <col min="26" max="26" width="1.6640625" style="101" customWidth="1"/>
    <col min="27" max="27" width="11.6640625" style="101" bestFit="1" customWidth="1"/>
    <col min="28" max="28" width="1.44140625" style="101" customWidth="1"/>
    <col min="29" max="29" width="11.109375" style="101" customWidth="1"/>
    <col min="30" max="31" width="1.6640625" style="101" customWidth="1"/>
    <col min="32" max="32" width="12.6640625" style="101" customWidth="1"/>
    <col min="33" max="34" width="1.109375" style="101" customWidth="1"/>
    <col min="35" max="35" width="12.6640625" style="1090" customWidth="1"/>
    <col min="36" max="37" width="1" style="101" customWidth="1"/>
    <col min="38" max="38" width="13.109375" style="101" bestFit="1" customWidth="1"/>
    <col min="39" max="39" width="1.109375" style="101" customWidth="1"/>
    <col min="40" max="40" width="12.109375" style="101" customWidth="1"/>
    <col min="41" max="16384" width="8.6640625" style="101"/>
  </cols>
  <sheetData>
    <row r="1" spans="1:42">
      <c r="B1" s="644" t="s">
        <v>963</v>
      </c>
    </row>
    <row r="2" spans="1:42">
      <c r="B2" s="826"/>
    </row>
    <row r="3" spans="1:42" ht="19.5" customHeight="1">
      <c r="A3" s="314"/>
      <c r="B3" s="320" t="s">
        <v>0</v>
      </c>
      <c r="C3" s="315"/>
      <c r="D3" s="315"/>
      <c r="E3" s="315"/>
      <c r="F3" s="316"/>
      <c r="G3" s="316"/>
      <c r="H3" s="316"/>
      <c r="I3" s="316"/>
      <c r="J3" s="316"/>
      <c r="K3" s="316"/>
      <c r="L3" s="316"/>
      <c r="M3" s="316"/>
      <c r="N3" s="316"/>
      <c r="O3" s="316"/>
      <c r="P3" s="316"/>
      <c r="Q3" s="316"/>
      <c r="R3" s="316"/>
      <c r="S3" s="316"/>
      <c r="T3" s="316"/>
      <c r="U3" s="316"/>
      <c r="V3" s="316"/>
      <c r="W3" s="316"/>
      <c r="X3" s="316"/>
      <c r="Y3" s="316"/>
      <c r="Z3" s="316"/>
      <c r="AA3" s="316"/>
      <c r="AB3" s="316"/>
      <c r="AC3" s="316"/>
      <c r="AD3" s="316"/>
      <c r="AE3" s="316"/>
      <c r="AF3" s="316"/>
      <c r="AG3" s="316"/>
      <c r="AH3" s="316"/>
      <c r="AI3" s="1092"/>
      <c r="AJ3" s="316"/>
      <c r="AK3" s="316"/>
      <c r="AN3" s="390" t="s">
        <v>194</v>
      </c>
    </row>
    <row r="4" spans="1:42" ht="19.5" customHeight="1">
      <c r="A4" s="314"/>
      <c r="B4" s="320" t="s">
        <v>990</v>
      </c>
      <c r="C4" s="315"/>
      <c r="D4" s="315"/>
      <c r="E4" s="315"/>
      <c r="F4" s="316"/>
      <c r="G4" s="316"/>
      <c r="H4" s="316"/>
      <c r="I4" s="316"/>
      <c r="J4" s="316"/>
      <c r="K4" s="316"/>
      <c r="L4" s="316"/>
      <c r="M4" s="316"/>
      <c r="N4" s="316"/>
      <c r="O4" s="316"/>
      <c r="P4" s="316"/>
      <c r="Q4" s="316"/>
      <c r="R4" s="316"/>
      <c r="S4" s="316"/>
      <c r="T4" s="316"/>
      <c r="U4" s="316"/>
      <c r="V4" s="316"/>
      <c r="W4" s="316"/>
      <c r="X4" s="316"/>
      <c r="Y4" s="316"/>
      <c r="Z4" s="316"/>
      <c r="AA4" s="316"/>
      <c r="AB4" s="316"/>
      <c r="AC4" s="316"/>
      <c r="AD4" s="316"/>
      <c r="AE4" s="316"/>
      <c r="AG4" s="317"/>
      <c r="AH4" s="317"/>
    </row>
    <row r="5" spans="1:42" ht="19.5" customHeight="1">
      <c r="A5" s="314"/>
      <c r="B5" s="301" t="s">
        <v>148</v>
      </c>
      <c r="C5" s="315"/>
      <c r="D5" s="315"/>
      <c r="E5" s="315"/>
      <c r="F5" s="316"/>
      <c r="G5" s="316"/>
      <c r="H5" s="316"/>
      <c r="I5" s="316"/>
      <c r="J5" s="316"/>
      <c r="K5" s="316"/>
      <c r="L5" s="316"/>
      <c r="M5" s="316"/>
      <c r="N5" s="316"/>
      <c r="O5" s="316"/>
      <c r="P5" s="316"/>
      <c r="Q5" s="316"/>
      <c r="R5" s="316"/>
      <c r="S5" s="316" t="s">
        <v>15</v>
      </c>
      <c r="T5" s="316"/>
      <c r="U5" s="316" t="s">
        <v>15</v>
      </c>
      <c r="V5" s="316"/>
      <c r="W5" s="316"/>
      <c r="X5" s="316"/>
      <c r="Y5" s="316"/>
      <c r="Z5" s="316"/>
      <c r="AA5" s="316"/>
      <c r="AB5" s="316"/>
      <c r="AC5" s="316"/>
      <c r="AD5" s="316"/>
      <c r="AE5" s="316"/>
      <c r="AF5" s="316"/>
      <c r="AG5" s="316"/>
      <c r="AH5" s="316"/>
      <c r="AI5" s="1092"/>
      <c r="AJ5" s="316"/>
      <c r="AK5" s="316"/>
      <c r="AN5" s="269"/>
    </row>
    <row r="6" spans="1:42" ht="19.5" customHeight="1">
      <c r="A6" s="314"/>
      <c r="B6" s="1534" t="str">
        <f>'Cashflow Governmental'!A6</f>
        <v xml:space="preserve">FISCAL YEAR 2020-2021   </v>
      </c>
      <c r="C6" s="315"/>
      <c r="D6" s="315"/>
      <c r="E6" s="315"/>
      <c r="F6" s="316"/>
      <c r="G6" s="316"/>
      <c r="H6" s="318"/>
      <c r="I6" s="316"/>
      <c r="J6" s="316"/>
      <c r="K6" s="316"/>
      <c r="L6" s="316"/>
      <c r="M6" s="316"/>
      <c r="N6" s="316"/>
      <c r="O6" s="316"/>
      <c r="P6" s="316"/>
      <c r="Q6" s="316"/>
      <c r="R6" s="316"/>
      <c r="S6" s="316" t="s">
        <v>15</v>
      </c>
      <c r="T6" s="316"/>
      <c r="U6" s="316"/>
      <c r="V6" s="316"/>
      <c r="W6" s="316"/>
      <c r="X6" s="316"/>
      <c r="Y6" s="316"/>
      <c r="Z6" s="316"/>
      <c r="AA6" s="316"/>
      <c r="AB6" s="316"/>
      <c r="AC6" s="316"/>
      <c r="AD6" s="316"/>
      <c r="AE6" s="316"/>
      <c r="AF6" s="316"/>
      <c r="AG6" s="319"/>
      <c r="AH6" s="319"/>
      <c r="AI6" s="1097"/>
      <c r="AJ6" s="319"/>
      <c r="AK6" s="319"/>
    </row>
    <row r="7" spans="1:42" ht="19.5" customHeight="1">
      <c r="A7" s="314"/>
      <c r="B7" s="320" t="s">
        <v>1367</v>
      </c>
      <c r="C7" s="315"/>
      <c r="D7" s="315"/>
      <c r="E7" s="315"/>
      <c r="F7" s="316"/>
      <c r="G7" s="316"/>
      <c r="H7" s="318"/>
      <c r="I7" s="316"/>
      <c r="J7" s="316"/>
      <c r="K7" s="316"/>
      <c r="L7" s="316"/>
      <c r="M7" s="316"/>
      <c r="N7" s="316"/>
      <c r="O7" s="316"/>
      <c r="P7" s="316"/>
      <c r="Q7" s="316"/>
      <c r="R7" s="316"/>
      <c r="S7" s="316" t="s">
        <v>15</v>
      </c>
      <c r="T7" s="316"/>
      <c r="U7" s="316"/>
      <c r="V7" s="316"/>
      <c r="W7" s="316"/>
      <c r="X7" s="316"/>
      <c r="Y7" s="316"/>
      <c r="Z7" s="316"/>
      <c r="AA7" s="316"/>
      <c r="AB7" s="316"/>
      <c r="AC7" s="316"/>
      <c r="AD7" s="316"/>
      <c r="AE7" s="316"/>
      <c r="AF7" s="316"/>
      <c r="AG7" s="319"/>
      <c r="AH7" s="319"/>
      <c r="AI7" s="1097"/>
      <c r="AJ7" s="319"/>
      <c r="AK7" s="319"/>
    </row>
    <row r="8" spans="1:42" ht="19.5" customHeight="1">
      <c r="A8" s="314"/>
      <c r="C8" s="315"/>
      <c r="D8" s="315"/>
      <c r="E8" s="315"/>
      <c r="F8" s="316"/>
      <c r="G8" s="316"/>
      <c r="H8" s="316"/>
      <c r="I8" s="316"/>
      <c r="J8" s="316"/>
      <c r="K8" s="316"/>
      <c r="L8" s="316"/>
      <c r="M8" s="316"/>
      <c r="N8" s="316"/>
      <c r="O8" s="316"/>
      <c r="P8" s="316"/>
      <c r="Q8" s="316"/>
      <c r="R8" s="316"/>
      <c r="S8" s="316" t="s">
        <v>15</v>
      </c>
      <c r="T8" s="316"/>
      <c r="U8" s="316"/>
      <c r="V8" s="316"/>
      <c r="W8" s="316"/>
      <c r="X8" s="316"/>
      <c r="Y8" s="316"/>
      <c r="Z8" s="316"/>
      <c r="AA8" s="316"/>
      <c r="AB8" s="316"/>
      <c r="AC8" s="316"/>
      <c r="AD8" s="316"/>
      <c r="AE8" s="321"/>
    </row>
    <row r="9" spans="1:42" ht="15.75" customHeight="1">
      <c r="A9" s="314"/>
      <c r="B9" s="320"/>
      <c r="C9" s="315"/>
      <c r="D9" s="315"/>
      <c r="E9" s="315"/>
      <c r="F9" s="316"/>
      <c r="G9" s="316"/>
      <c r="H9" s="316"/>
      <c r="I9" s="316"/>
      <c r="J9" s="316"/>
      <c r="K9" s="316"/>
      <c r="L9" s="316"/>
      <c r="M9" s="316"/>
      <c r="N9" s="316"/>
      <c r="O9" s="316"/>
      <c r="P9" s="316"/>
      <c r="Q9" s="316"/>
      <c r="R9" s="316"/>
      <c r="S9" s="316"/>
      <c r="T9" s="316"/>
      <c r="U9" s="316"/>
      <c r="V9" s="316"/>
      <c r="W9" s="316"/>
      <c r="X9" s="316"/>
      <c r="Y9" s="316"/>
      <c r="Z9" s="316"/>
      <c r="AA9" s="316"/>
      <c r="AB9" s="316"/>
      <c r="AC9" s="316"/>
      <c r="AD9" s="316"/>
      <c r="AE9" s="321"/>
    </row>
    <row r="10" spans="1:42" ht="15.75" customHeight="1">
      <c r="A10" s="314"/>
      <c r="B10" s="322"/>
      <c r="C10" s="315"/>
      <c r="D10" s="315"/>
      <c r="E10" s="315"/>
      <c r="F10" s="316"/>
      <c r="G10" s="316"/>
      <c r="H10" s="316"/>
      <c r="I10" s="316"/>
      <c r="J10" s="316"/>
      <c r="K10" s="316"/>
      <c r="L10" s="316"/>
      <c r="M10" s="316"/>
      <c r="N10" s="316"/>
      <c r="O10" s="316"/>
      <c r="P10" s="316"/>
      <c r="Q10" s="316"/>
      <c r="R10" s="316"/>
      <c r="S10" s="316"/>
      <c r="T10" s="316"/>
      <c r="U10" s="316"/>
      <c r="V10" s="316"/>
      <c r="W10" s="316"/>
      <c r="X10" s="316"/>
      <c r="Y10" s="316"/>
      <c r="Z10" s="316"/>
      <c r="AA10" s="316"/>
      <c r="AB10" s="316"/>
      <c r="AC10" s="316"/>
      <c r="AD10" s="316"/>
      <c r="AE10" s="321"/>
    </row>
    <row r="11" spans="1:42" ht="15.75" customHeight="1">
      <c r="A11" s="314"/>
      <c r="B11" s="322"/>
      <c r="C11" s="315"/>
      <c r="D11" s="315"/>
      <c r="E11" s="756"/>
      <c r="F11" s="757"/>
      <c r="G11" s="757"/>
      <c r="H11" s="757"/>
      <c r="I11" s="757"/>
      <c r="J11" s="757"/>
      <c r="K11" s="757"/>
      <c r="L11" s="757"/>
      <c r="M11" s="757"/>
      <c r="N11" s="757"/>
      <c r="O11" s="757"/>
      <c r="P11" s="757"/>
      <c r="Q11" s="757"/>
      <c r="R11" s="757"/>
      <c r="S11" s="757"/>
      <c r="T11" s="757"/>
      <c r="U11" s="757"/>
      <c r="V11" s="757"/>
      <c r="W11" s="757"/>
      <c r="X11" s="757"/>
      <c r="Y11" s="757"/>
      <c r="Z11" s="757"/>
      <c r="AA11" s="757"/>
      <c r="AB11" s="757"/>
      <c r="AC11" s="754" t="s">
        <v>1259</v>
      </c>
      <c r="AD11" s="757"/>
      <c r="AE11" s="758"/>
      <c r="AF11" s="3958" t="s">
        <v>1558</v>
      </c>
      <c r="AG11" s="3959"/>
      <c r="AH11" s="3959"/>
      <c r="AI11" s="3959"/>
      <c r="AJ11" s="3959"/>
      <c r="AK11" s="3959"/>
      <c r="AL11" s="3959"/>
      <c r="AM11" s="3959"/>
      <c r="AN11" s="3959"/>
    </row>
    <row r="12" spans="1:42" ht="15.75" customHeight="1">
      <c r="A12" s="323"/>
      <c r="B12" s="323"/>
      <c r="C12" s="323"/>
      <c r="D12" s="323"/>
      <c r="E12" s="746" t="str">
        <f>'Cashflow Governmental'!C13</f>
        <v>2020</v>
      </c>
      <c r="F12" s="759"/>
      <c r="G12" s="759"/>
      <c r="H12" s="759"/>
      <c r="I12" s="759"/>
      <c r="J12" s="759"/>
      <c r="K12" s="759"/>
      <c r="L12" s="759"/>
      <c r="M12" s="759"/>
      <c r="N12" s="759"/>
      <c r="O12" s="759"/>
      <c r="P12" s="759"/>
      <c r="Q12" s="759"/>
      <c r="R12" s="759"/>
      <c r="S12" s="759"/>
      <c r="T12" s="759"/>
      <c r="U12" s="759"/>
      <c r="V12" s="759"/>
      <c r="W12" s="746">
        <f>'Cashflow Governmental'!U13</f>
        <v>2021</v>
      </c>
      <c r="X12" s="759"/>
      <c r="Y12" s="759"/>
      <c r="Z12" s="759"/>
      <c r="AA12" s="759"/>
      <c r="AB12" s="759"/>
      <c r="AC12" s="754" t="s">
        <v>1260</v>
      </c>
      <c r="AD12" s="759"/>
      <c r="AE12" s="759"/>
      <c r="AF12" s="760"/>
      <c r="AG12" s="760"/>
      <c r="AH12" s="760"/>
      <c r="AI12" s="1099"/>
      <c r="AJ12" s="760"/>
      <c r="AK12" s="760"/>
      <c r="AL12" s="750" t="s">
        <v>8</v>
      </c>
      <c r="AM12" s="750"/>
      <c r="AN12" s="747" t="s">
        <v>9</v>
      </c>
      <c r="AO12" s="763"/>
    </row>
    <row r="13" spans="1:42" ht="15.75" customHeight="1">
      <c r="A13" s="31"/>
      <c r="B13" s="31"/>
      <c r="C13" s="31"/>
      <c r="D13" s="31"/>
      <c r="E13" s="1118" t="s">
        <v>124</v>
      </c>
      <c r="F13" s="254"/>
      <c r="G13" s="1118" t="s">
        <v>125</v>
      </c>
      <c r="H13" s="254"/>
      <c r="I13" s="1118" t="s">
        <v>126</v>
      </c>
      <c r="J13" s="254"/>
      <c r="K13" s="1118" t="s">
        <v>127</v>
      </c>
      <c r="L13" s="254"/>
      <c r="M13" s="1934" t="s">
        <v>128</v>
      </c>
      <c r="N13" s="254"/>
      <c r="O13" s="1118" t="s">
        <v>143</v>
      </c>
      <c r="P13" s="254"/>
      <c r="Q13" s="1118" t="s">
        <v>144</v>
      </c>
      <c r="R13" s="254"/>
      <c r="S13" s="1118" t="s">
        <v>131</v>
      </c>
      <c r="T13" s="254"/>
      <c r="U13" s="1118" t="s">
        <v>132</v>
      </c>
      <c r="V13" s="254"/>
      <c r="W13" s="1118" t="s">
        <v>133</v>
      </c>
      <c r="X13" s="254"/>
      <c r="Y13" s="1118" t="s">
        <v>134</v>
      </c>
      <c r="Z13" s="254"/>
      <c r="AA13" s="1118" t="s">
        <v>185</v>
      </c>
      <c r="AB13" s="754"/>
      <c r="AC13" s="1950" t="s">
        <v>1261</v>
      </c>
      <c r="AD13" s="254"/>
      <c r="AE13" s="254"/>
      <c r="AF13" s="1118">
        <f>'Cashflow Governmental'!AB14</f>
        <v>2021</v>
      </c>
      <c r="AG13" s="254"/>
      <c r="AH13" s="254"/>
      <c r="AI13" s="761">
        <f>'Cashflow Governmental'!AE14</f>
        <v>2020</v>
      </c>
      <c r="AJ13" s="762"/>
      <c r="AK13" s="762"/>
      <c r="AL13" s="755" t="s">
        <v>12</v>
      </c>
      <c r="AM13" s="749"/>
      <c r="AN13" s="755" t="s">
        <v>13</v>
      </c>
      <c r="AO13" s="1120"/>
      <c r="AP13" s="325"/>
    </row>
    <row r="14" spans="1:42" ht="6" customHeight="1">
      <c r="A14" s="31"/>
      <c r="B14" s="29"/>
      <c r="C14" s="29"/>
      <c r="D14" s="31"/>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117"/>
      <c r="AJ14" s="59"/>
      <c r="AK14" s="166"/>
      <c r="AL14" s="325"/>
      <c r="AM14" s="325"/>
      <c r="AN14" s="325"/>
      <c r="AO14" s="325"/>
    </row>
    <row r="15" spans="1:42" ht="15.75" customHeight="1">
      <c r="A15" s="31"/>
      <c r="B15" s="173" t="s">
        <v>1222</v>
      </c>
      <c r="C15" s="29"/>
      <c r="D15" s="31"/>
      <c r="E15" s="306">
        <f>'Exhibit I State'!E14+'Exhibit I Federal'!E14</f>
        <v>-1034.9000000000001</v>
      </c>
      <c r="F15" s="94"/>
      <c r="G15" s="94">
        <f>E103</f>
        <v>-1155</v>
      </c>
      <c r="H15" s="94"/>
      <c r="I15" s="94">
        <f>G103</f>
        <v>-1322.2</v>
      </c>
      <c r="J15" s="94"/>
      <c r="K15" s="94">
        <f>I103</f>
        <v>-1207.9000000000001</v>
      </c>
      <c r="L15" s="94"/>
      <c r="M15" s="94">
        <f>K103</f>
        <v>-930.7</v>
      </c>
      <c r="N15" s="94"/>
      <c r="O15" s="94">
        <f>M103</f>
        <v>-1080.2</v>
      </c>
      <c r="P15" s="94"/>
      <c r="Q15" s="94">
        <f>O103</f>
        <v>-1488.9</v>
      </c>
      <c r="R15" s="94"/>
      <c r="S15" s="94">
        <f>Q103</f>
        <v>-1423.1</v>
      </c>
      <c r="T15" s="94"/>
      <c r="U15" s="94">
        <f>S103</f>
        <v>-1464.9</v>
      </c>
      <c r="V15" s="94"/>
      <c r="W15" s="94">
        <f>U103</f>
        <v>-1194.7</v>
      </c>
      <c r="X15" s="94"/>
      <c r="Y15" s="94"/>
      <c r="Z15" s="94"/>
      <c r="AA15" s="94"/>
      <c r="AB15" s="94"/>
      <c r="AC15" s="94"/>
      <c r="AD15" s="94"/>
      <c r="AE15" s="95"/>
      <c r="AF15" s="135">
        <f>E15</f>
        <v>-1034.9000000000001</v>
      </c>
      <c r="AG15" s="218"/>
      <c r="AH15" s="219"/>
      <c r="AI15" s="3462">
        <f>'Exhibit I State'!AG14+'Exhibit I Federal'!AG14</f>
        <v>-1137.9000000000001</v>
      </c>
      <c r="AJ15" s="94"/>
      <c r="AK15" s="327"/>
      <c r="AL15" s="326">
        <f>+AF15-AI15</f>
        <v>103</v>
      </c>
      <c r="AM15" s="328"/>
      <c r="AN15" s="1431">
        <f>ROUND(IF(AI15=0,0,-AL15/(AI15)),3)</f>
        <v>9.0999999999999998E-2</v>
      </c>
      <c r="AO15" s="330"/>
    </row>
    <row r="16" spans="1:42" ht="15.75" customHeight="1">
      <c r="A16" s="31"/>
      <c r="B16" s="29"/>
      <c r="C16" s="29"/>
      <c r="D16" s="31"/>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165"/>
      <c r="AE16" s="252"/>
      <c r="AF16" s="165"/>
      <c r="AG16" s="260"/>
      <c r="AH16" s="59"/>
      <c r="AI16" s="140"/>
      <c r="AJ16" s="165"/>
      <c r="AK16" s="324"/>
      <c r="AL16" s="325"/>
      <c r="AM16" s="325"/>
      <c r="AN16" s="325"/>
    </row>
    <row r="17" spans="1:46" ht="15.75">
      <c r="A17" s="31"/>
      <c r="B17" s="29" t="s">
        <v>195</v>
      </c>
      <c r="C17" s="31"/>
      <c r="D17" s="31"/>
      <c r="E17" s="165"/>
      <c r="F17" s="165"/>
      <c r="G17" s="165"/>
      <c r="H17" s="165"/>
      <c r="I17" s="165"/>
      <c r="J17" s="165"/>
      <c r="K17" s="165"/>
      <c r="L17" s="165"/>
      <c r="M17" s="165"/>
      <c r="N17" s="165"/>
      <c r="O17" s="165"/>
      <c r="P17" s="165"/>
      <c r="Q17" s="165"/>
      <c r="R17" s="165"/>
      <c r="S17" s="165"/>
      <c r="T17" s="165"/>
      <c r="U17" s="165"/>
      <c r="V17" s="165"/>
      <c r="W17" s="165"/>
      <c r="X17" s="165"/>
      <c r="Y17" s="165"/>
      <c r="Z17" s="165"/>
      <c r="AA17" s="165"/>
      <c r="AB17" s="165"/>
      <c r="AC17" s="165"/>
      <c r="AD17" s="165"/>
      <c r="AE17" s="252"/>
      <c r="AF17" s="165"/>
      <c r="AG17" s="260"/>
      <c r="AH17" s="59"/>
      <c r="AI17" s="140"/>
      <c r="AJ17" s="165"/>
      <c r="AK17" s="324"/>
      <c r="AL17" s="325"/>
      <c r="AM17" s="325"/>
      <c r="AN17" s="325"/>
    </row>
    <row r="18" spans="1:46" ht="15.75">
      <c r="A18" s="31"/>
      <c r="B18" s="261" t="s">
        <v>1078</v>
      </c>
      <c r="C18" s="31"/>
      <c r="D18" s="31"/>
      <c r="E18" s="165"/>
      <c r="F18" s="165"/>
      <c r="G18" s="165"/>
      <c r="H18" s="165"/>
      <c r="I18" s="165"/>
      <c r="J18" s="165"/>
      <c r="K18" s="165"/>
      <c r="L18" s="165"/>
      <c r="M18" s="165"/>
      <c r="N18" s="165"/>
      <c r="O18" s="165"/>
      <c r="P18" s="165"/>
      <c r="Q18" s="165"/>
      <c r="R18" s="165"/>
      <c r="S18" s="165"/>
      <c r="T18" s="165"/>
      <c r="U18" s="165"/>
      <c r="V18" s="165"/>
      <c r="W18" s="165"/>
      <c r="X18" s="165"/>
      <c r="Y18" s="165"/>
      <c r="Z18" s="165"/>
      <c r="AA18" s="165"/>
      <c r="AB18" s="165"/>
      <c r="AC18" s="165"/>
      <c r="AD18" s="165"/>
      <c r="AE18" s="252"/>
      <c r="AF18" s="165"/>
      <c r="AG18" s="1064"/>
      <c r="AH18" s="59"/>
      <c r="AI18" s="140"/>
      <c r="AJ18" s="165"/>
      <c r="AK18" s="324"/>
      <c r="AL18" s="325"/>
      <c r="AM18" s="325"/>
      <c r="AN18" s="325"/>
    </row>
    <row r="19" spans="1:46" ht="15.75">
      <c r="A19" s="31"/>
      <c r="B19" s="1051" t="s">
        <v>1140</v>
      </c>
      <c r="C19" s="31"/>
      <c r="D19" s="31"/>
      <c r="E19" s="165"/>
      <c r="F19" s="165"/>
      <c r="G19" s="165"/>
      <c r="H19" s="165"/>
      <c r="I19" s="165"/>
      <c r="J19" s="165"/>
      <c r="K19" s="165"/>
      <c r="L19" s="165"/>
      <c r="M19" s="165"/>
      <c r="N19" s="165"/>
      <c r="O19" s="165"/>
      <c r="P19" s="165"/>
      <c r="Q19" s="165"/>
      <c r="R19" s="165"/>
      <c r="S19" s="165"/>
      <c r="T19" s="165"/>
      <c r="U19" s="165"/>
      <c r="V19" s="165"/>
      <c r="W19" s="165"/>
      <c r="X19" s="165"/>
      <c r="Y19" s="165"/>
      <c r="Z19" s="165"/>
      <c r="AA19" s="165"/>
      <c r="AB19" s="165"/>
      <c r="AC19" s="165"/>
      <c r="AD19" s="165"/>
      <c r="AE19" s="252"/>
      <c r="AF19" s="165"/>
      <c r="AG19" s="1064"/>
      <c r="AH19" s="59"/>
      <c r="AI19" s="140"/>
      <c r="AJ19" s="165"/>
      <c r="AK19" s="324"/>
      <c r="AL19" s="325"/>
      <c r="AM19" s="325"/>
      <c r="AN19" s="325"/>
    </row>
    <row r="20" spans="1:46">
      <c r="A20" s="31"/>
      <c r="B20" s="671" t="s">
        <v>1094</v>
      </c>
      <c r="C20" s="31"/>
      <c r="D20" s="31"/>
      <c r="E20" s="1365">
        <f>+'Exhibit I State'!E19</f>
        <v>0.6</v>
      </c>
      <c r="F20" s="1421"/>
      <c r="G20" s="1365">
        <f>+'Exhibit I State'!G19</f>
        <v>9.9999999999999978E-2</v>
      </c>
      <c r="H20" s="1421"/>
      <c r="I20" s="1365">
        <f>+'Exhibit I State'!I19</f>
        <v>10.100000000000001</v>
      </c>
      <c r="J20" s="1443"/>
      <c r="K20" s="1365">
        <f>+'Exhibit I State'!K19</f>
        <v>0</v>
      </c>
      <c r="L20" s="1459"/>
      <c r="M20" s="1365">
        <f>+'Exhibit I State'!M19</f>
        <v>0</v>
      </c>
      <c r="N20" s="1459"/>
      <c r="O20" s="1365">
        <f>+'Exhibit I State'!O19</f>
        <v>15.599999999999994</v>
      </c>
      <c r="P20" s="302"/>
      <c r="Q20" s="1365">
        <f>+'Exhibit I State'!Q19</f>
        <v>0.10000000000000142</v>
      </c>
      <c r="R20" s="302"/>
      <c r="S20" s="1365">
        <f>+'Exhibit I State'!S19</f>
        <v>0</v>
      </c>
      <c r="T20" s="302"/>
      <c r="U20" s="1365">
        <f>+'Exhibit I State'!U19</f>
        <v>15.299999999999997</v>
      </c>
      <c r="V20" s="302"/>
      <c r="W20" s="1365">
        <f>+'Exhibit I State'!W19</f>
        <v>0</v>
      </c>
      <c r="X20" s="302"/>
      <c r="Y20" s="1365"/>
      <c r="Z20" s="302"/>
      <c r="AA20" s="1365"/>
      <c r="AB20" s="1365"/>
      <c r="AC20" s="1365">
        <v>0</v>
      </c>
      <c r="AD20" s="1052"/>
      <c r="AE20" s="302"/>
      <c r="AF20" s="118">
        <f>ROUND(SUM(E20:AC20),1)</f>
        <v>41.8</v>
      </c>
      <c r="AG20" s="1053"/>
      <c r="AH20" s="303"/>
      <c r="AI20" s="3463">
        <f>+'Exhibit I State'!AG19</f>
        <v>70.599999999999994</v>
      </c>
      <c r="AJ20" s="304"/>
      <c r="AK20" s="308"/>
      <c r="AL20" s="311">
        <f>ROUND(SUM(AF20-AI20),1)</f>
        <v>-28.8</v>
      </c>
      <c r="AM20" s="305"/>
      <c r="AN20" s="1479">
        <f>ROUND(IF(AI20=0,0,AL20/ABS(AI20)),3)</f>
        <v>-0.40799999999999997</v>
      </c>
      <c r="AO20" s="546"/>
    </row>
    <row r="21" spans="1:46">
      <c r="A21" s="31"/>
      <c r="B21" s="671" t="s">
        <v>1096</v>
      </c>
      <c r="C21" s="31"/>
      <c r="D21" s="31"/>
      <c r="E21" s="1365">
        <f>+'Exhibit I State'!E20</f>
        <v>23.799999999999997</v>
      </c>
      <c r="F21" s="1421"/>
      <c r="G21" s="1365">
        <f>+'Exhibit I State'!G20</f>
        <v>16.700000000000003</v>
      </c>
      <c r="H21" s="1421"/>
      <c r="I21" s="1365">
        <f>+'Exhibit I State'!I20</f>
        <v>24.900000000000006</v>
      </c>
      <c r="J21" s="1443"/>
      <c r="K21" s="1365">
        <f>+'Exhibit I State'!K20</f>
        <v>31.199999999999989</v>
      </c>
      <c r="L21" s="1459"/>
      <c r="M21" s="1365">
        <f>+'Exhibit I State'!M20</f>
        <v>33.400000000000006</v>
      </c>
      <c r="N21" s="1459"/>
      <c r="O21" s="1365">
        <f>+'Exhibit I State'!O20</f>
        <v>32.700000000000031</v>
      </c>
      <c r="P21" s="302"/>
      <c r="Q21" s="1365">
        <f>+'Exhibit I State'!Q20</f>
        <v>31.299999999999969</v>
      </c>
      <c r="R21" s="302"/>
      <c r="S21" s="1365">
        <f>+'Exhibit I State'!S20</f>
        <v>31.100000000000023</v>
      </c>
      <c r="T21" s="302"/>
      <c r="U21" s="1365">
        <f>+'Exhibit I State'!U20</f>
        <v>33.699999999999989</v>
      </c>
      <c r="V21" s="302"/>
      <c r="W21" s="1365">
        <f>+'Exhibit I State'!W20</f>
        <v>23.5</v>
      </c>
      <c r="X21" s="302"/>
      <c r="Y21" s="1365"/>
      <c r="Z21" s="302"/>
      <c r="AA21" s="1365"/>
      <c r="AB21" s="1365"/>
      <c r="AC21" s="1365">
        <v>0</v>
      </c>
      <c r="AD21" s="1052"/>
      <c r="AE21" s="302"/>
      <c r="AF21" s="66">
        <f>ROUND(SUM(E21:AC21),1)</f>
        <v>282.3</v>
      </c>
      <c r="AG21" s="1053"/>
      <c r="AH21" s="303"/>
      <c r="AI21" s="3463">
        <f>+'Exhibit I State'!AG20</f>
        <v>345.2</v>
      </c>
      <c r="AJ21" s="304"/>
      <c r="AK21" s="308"/>
      <c r="AL21" s="311">
        <f>ROUND(SUM(AF21-AI21),1)</f>
        <v>-62.9</v>
      </c>
      <c r="AM21" s="305"/>
      <c r="AN21" s="8">
        <f>ROUND(IF(AI21=0,0,AL21/ABS(AI21)),3)</f>
        <v>-0.182</v>
      </c>
      <c r="AO21" s="546"/>
    </row>
    <row r="22" spans="1:46">
      <c r="A22" s="31"/>
      <c r="B22" s="671" t="s">
        <v>1098</v>
      </c>
      <c r="C22" s="31"/>
      <c r="D22" s="31"/>
      <c r="E22" s="1365">
        <f>+'Exhibit I State'!E21</f>
        <v>11.6</v>
      </c>
      <c r="F22" s="1421"/>
      <c r="G22" s="1365">
        <f>+'Exhibit I State'!G21</f>
        <v>8.7999999999999989</v>
      </c>
      <c r="H22" s="1421"/>
      <c r="I22" s="1365">
        <f>+'Exhibit I State'!I21</f>
        <v>12.399999999999997</v>
      </c>
      <c r="J22" s="1443"/>
      <c r="K22" s="1365">
        <f>+'Exhibit I State'!K21</f>
        <v>12.400000000000007</v>
      </c>
      <c r="L22" s="1459"/>
      <c r="M22" s="1365">
        <f>+'Exhibit I State'!M21</f>
        <v>10.199999999999994</v>
      </c>
      <c r="N22" s="1459"/>
      <c r="O22" s="1365">
        <f>+'Exhibit I State'!O21</f>
        <v>12.699999999999998</v>
      </c>
      <c r="P22" s="302"/>
      <c r="Q22" s="1365">
        <f>+'Exhibit I State'!Q21</f>
        <v>10.600000000000014</v>
      </c>
      <c r="R22" s="302"/>
      <c r="S22" s="1365">
        <f>+'Exhibit I State'!S21</f>
        <v>11.399999999999993</v>
      </c>
      <c r="T22" s="302"/>
      <c r="U22" s="1365">
        <f>+'Exhibit I State'!U21</f>
        <v>12.600000000000014</v>
      </c>
      <c r="V22" s="302"/>
      <c r="W22" s="1365">
        <f>+'Exhibit I State'!W21</f>
        <v>11.599999999999996</v>
      </c>
      <c r="X22" s="302"/>
      <c r="Y22" s="1365"/>
      <c r="Z22" s="302"/>
      <c r="AA22" s="1365"/>
      <c r="AB22" s="1365"/>
      <c r="AC22" s="1365">
        <v>0</v>
      </c>
      <c r="AD22" s="1052"/>
      <c r="AE22" s="302"/>
      <c r="AF22" s="66">
        <f>ROUND(SUM(E22:AC22),1)</f>
        <v>114.3</v>
      </c>
      <c r="AG22" s="1053"/>
      <c r="AH22" s="303"/>
      <c r="AI22" s="3463">
        <f>+'Exhibit I State'!AG21</f>
        <v>122</v>
      </c>
      <c r="AJ22" s="304"/>
      <c r="AK22" s="308"/>
      <c r="AL22" s="311">
        <f>ROUND(SUM(AF22-AI22),1)</f>
        <v>-7.7</v>
      </c>
      <c r="AM22" s="305"/>
      <c r="AN22" s="1465">
        <f>ROUND(IF(AI22=0,0,AL22/ABS(AI22)),3)</f>
        <v>-6.3E-2</v>
      </c>
      <c r="AO22" s="546"/>
    </row>
    <row r="23" spans="1:46" ht="15.75">
      <c r="A23" s="31"/>
      <c r="B23" s="310" t="s">
        <v>1181</v>
      </c>
      <c r="C23" s="31"/>
      <c r="D23" s="31"/>
      <c r="E23" s="1460">
        <f>ROUND(SUM(E20:E22),1)</f>
        <v>36</v>
      </c>
      <c r="F23" s="1461"/>
      <c r="G23" s="1460">
        <f>ROUND(SUM(G20:G22),1)</f>
        <v>25.6</v>
      </c>
      <c r="H23" s="1461"/>
      <c r="I23" s="1460">
        <f>ROUND(SUM(I20:I22),1)</f>
        <v>47.4</v>
      </c>
      <c r="J23" s="1461"/>
      <c r="K23" s="1460">
        <f>ROUND(SUM(K20:K22),1)</f>
        <v>43.6</v>
      </c>
      <c r="L23" s="1459"/>
      <c r="M23" s="1460">
        <f>ROUND(SUM(M20:M22),1)</f>
        <v>43.6</v>
      </c>
      <c r="N23" s="1459"/>
      <c r="O23" s="1460">
        <f>ROUND(SUM(O20:O22),1)</f>
        <v>61</v>
      </c>
      <c r="P23" s="302"/>
      <c r="Q23" s="1460">
        <f>ROUND(SUM(Q20:Q22),1)</f>
        <v>42</v>
      </c>
      <c r="R23" s="302"/>
      <c r="S23" s="1460">
        <f>ROUND(SUM(S20:S22),1)</f>
        <v>42.5</v>
      </c>
      <c r="T23" s="302"/>
      <c r="U23" s="1460">
        <f>ROUND(SUM(U20:U22),1)</f>
        <v>61.6</v>
      </c>
      <c r="V23" s="302"/>
      <c r="W23" s="1460">
        <f>ROUND(SUM(W20:W22),1)</f>
        <v>35.1</v>
      </c>
      <c r="X23" s="302"/>
      <c r="Y23" s="1460">
        <f>ROUND(SUM(Y20:Y22),1)</f>
        <v>0</v>
      </c>
      <c r="Z23" s="302"/>
      <c r="AA23" s="1460">
        <f>ROUND(SUM(AA20:AA22),1)</f>
        <v>0</v>
      </c>
      <c r="AB23" s="1462"/>
      <c r="AC23" s="1460">
        <f>ROUND(SUM(AC20:AC22),1)</f>
        <v>0</v>
      </c>
      <c r="AD23" s="1052"/>
      <c r="AE23" s="302"/>
      <c r="AF23" s="258">
        <f>ROUND(SUM(AF20:AF22),1)</f>
        <v>438.4</v>
      </c>
      <c r="AG23" s="1053"/>
      <c r="AH23" s="303"/>
      <c r="AI23" s="1538">
        <f>ROUND(SUM(AI20:AI22),1)</f>
        <v>537.79999999999995</v>
      </c>
      <c r="AJ23" s="304"/>
      <c r="AK23" s="308"/>
      <c r="AL23" s="1119">
        <f>ROUND(SUM(AF23-AI23),1)</f>
        <v>-99.4</v>
      </c>
      <c r="AM23" s="307"/>
      <c r="AN23" s="13">
        <f>ROUND(IF(AI23=0,0,AL23/ABS(AI23)),3)</f>
        <v>-0.185</v>
      </c>
      <c r="AO23" s="546"/>
    </row>
    <row r="24" spans="1:46" ht="15.75">
      <c r="A24" s="31"/>
      <c r="B24" s="1051" t="s">
        <v>1141</v>
      </c>
      <c r="C24" s="31"/>
      <c r="D24" s="31"/>
      <c r="E24" s="1462"/>
      <c r="F24" s="1461"/>
      <c r="G24" s="1462"/>
      <c r="H24" s="1461"/>
      <c r="I24" s="1462"/>
      <c r="J24" s="1461"/>
      <c r="K24" s="1462"/>
      <c r="L24" s="1459"/>
      <c r="M24" s="1462"/>
      <c r="N24" s="1459"/>
      <c r="O24" s="1462"/>
      <c r="P24" s="302"/>
      <c r="Q24" s="1462"/>
      <c r="R24" s="302"/>
      <c r="S24" s="1462"/>
      <c r="T24" s="302"/>
      <c r="U24" s="1462"/>
      <c r="V24" s="302"/>
      <c r="W24" s="1462"/>
      <c r="X24" s="302"/>
      <c r="Y24" s="1462"/>
      <c r="Z24" s="302"/>
      <c r="AA24" s="1462"/>
      <c r="AB24" s="1462"/>
      <c r="AC24" s="1462"/>
      <c r="AD24" s="1052"/>
      <c r="AE24" s="302"/>
      <c r="AF24" s="76"/>
      <c r="AG24" s="1053"/>
      <c r="AH24" s="303"/>
      <c r="AI24" s="115"/>
      <c r="AJ24" s="304"/>
      <c r="AK24" s="308"/>
      <c r="AL24" s="1055"/>
      <c r="AM24" s="307"/>
      <c r="AN24" s="24"/>
      <c r="AO24" s="546"/>
    </row>
    <row r="25" spans="1:46" ht="15.75">
      <c r="A25" s="31"/>
      <c r="B25" s="671" t="s">
        <v>1100</v>
      </c>
      <c r="C25" s="31"/>
      <c r="D25" s="31"/>
      <c r="E25" s="1365">
        <f>+'Exhibit I State'!E24</f>
        <v>0</v>
      </c>
      <c r="F25" s="1461"/>
      <c r="G25" s="1365">
        <f>+'Exhibit I State'!G24</f>
        <v>0</v>
      </c>
      <c r="H25" s="1461"/>
      <c r="I25" s="1365">
        <f>+'Exhibit I State'!I24</f>
        <v>0</v>
      </c>
      <c r="J25" s="1461"/>
      <c r="K25" s="1365">
        <f>+'Exhibit I State'!K24</f>
        <v>0</v>
      </c>
      <c r="L25" s="1459"/>
      <c r="M25" s="1365">
        <f>+'Exhibit I State'!M24</f>
        <v>0</v>
      </c>
      <c r="N25" s="1459"/>
      <c r="O25" s="1365">
        <f>+'Exhibit I State'!O24</f>
        <v>0</v>
      </c>
      <c r="P25" s="302"/>
      <c r="Q25" s="1365">
        <f>+'Exhibit I State'!Q24</f>
        <v>0</v>
      </c>
      <c r="R25" s="302"/>
      <c r="S25" s="1365">
        <f>+'Exhibit I State'!S24</f>
        <v>0</v>
      </c>
      <c r="T25" s="302"/>
      <c r="U25" s="1365">
        <f>+'Exhibit I State'!U24</f>
        <v>0</v>
      </c>
      <c r="V25" s="302"/>
      <c r="W25" s="1365">
        <f>+'Exhibit I State'!W24</f>
        <v>0</v>
      </c>
      <c r="X25" s="302"/>
      <c r="Y25" s="1365"/>
      <c r="Z25" s="302"/>
      <c r="AA25" s="1365"/>
      <c r="AB25" s="1365"/>
      <c r="AC25" s="1365">
        <v>0</v>
      </c>
      <c r="AD25" s="1052"/>
      <c r="AE25" s="302"/>
      <c r="AF25" s="943">
        <v>0</v>
      </c>
      <c r="AG25" s="1053"/>
      <c r="AH25" s="303"/>
      <c r="AI25" s="3463">
        <f>+'Exhibit I State'!AG24</f>
        <v>0</v>
      </c>
      <c r="AJ25" s="304"/>
      <c r="AK25" s="308"/>
      <c r="AL25" s="311">
        <f>ROUND(SUM(AF25-AI25),1)</f>
        <v>0</v>
      </c>
      <c r="AM25" s="305"/>
      <c r="AN25" s="1458">
        <f>ROUND(IF(AI25=0,0,AL25/ABS(AI25)),3)</f>
        <v>0</v>
      </c>
      <c r="AO25" s="546"/>
      <c r="AP25" s="300"/>
      <c r="AQ25" s="300"/>
      <c r="AR25" s="300"/>
      <c r="AS25" s="300"/>
      <c r="AT25" s="300"/>
    </row>
    <row r="26" spans="1:46" ht="15.75">
      <c r="A26" s="31"/>
      <c r="B26" s="671" t="s">
        <v>1101</v>
      </c>
      <c r="C26" s="31"/>
      <c r="D26" s="31"/>
      <c r="E26" s="1365">
        <f>+'Exhibit I State'!E25</f>
        <v>0.1</v>
      </c>
      <c r="F26" s="1421"/>
      <c r="G26" s="1365">
        <f>+'Exhibit I State'!G25</f>
        <v>-1.5</v>
      </c>
      <c r="H26" s="1421"/>
      <c r="I26" s="1365">
        <f>+'Exhibit I State'!I25</f>
        <v>0.6</v>
      </c>
      <c r="J26" s="1461"/>
      <c r="K26" s="1365">
        <f>+'Exhibit I State'!K25</f>
        <v>3.5999999999999992</v>
      </c>
      <c r="L26" s="1459"/>
      <c r="M26" s="1365">
        <f>+'Exhibit I State'!M25</f>
        <v>0.10000000000000053</v>
      </c>
      <c r="N26" s="1459"/>
      <c r="O26" s="1365">
        <f>+'Exhibit I State'!O25</f>
        <v>2.2000000000000006</v>
      </c>
      <c r="P26" s="302"/>
      <c r="Q26" s="1365">
        <f>+'Exhibit I State'!Q25</f>
        <v>0.70000000000000018</v>
      </c>
      <c r="R26" s="302"/>
      <c r="S26" s="1365">
        <f>+'Exhibit I State'!S25</f>
        <v>0</v>
      </c>
      <c r="T26" s="302"/>
      <c r="U26" s="1365">
        <f>+'Exhibit I State'!U25</f>
        <v>2.2999999999999994</v>
      </c>
      <c r="V26" s="302"/>
      <c r="W26" s="1365">
        <f>+'Exhibit I State'!W25</f>
        <v>0.20000000000000107</v>
      </c>
      <c r="X26" s="302"/>
      <c r="Y26" s="1365"/>
      <c r="Z26" s="302"/>
      <c r="AA26" s="1365"/>
      <c r="AB26" s="1365"/>
      <c r="AC26" s="1365">
        <v>0</v>
      </c>
      <c r="AD26" s="1052"/>
      <c r="AE26" s="302"/>
      <c r="AF26" s="66">
        <f>ROUND(SUM(E26:AC26),1)</f>
        <v>8.3000000000000007</v>
      </c>
      <c r="AG26" s="1053"/>
      <c r="AH26" s="303"/>
      <c r="AI26" s="3463">
        <f>+'Exhibit I State'!AG25</f>
        <v>11.1</v>
      </c>
      <c r="AJ26" s="304"/>
      <c r="AK26" s="308"/>
      <c r="AL26" s="311">
        <f>ROUND(SUM(AF26-AI26),1)</f>
        <v>-2.8</v>
      </c>
      <c r="AM26" s="305"/>
      <c r="AN26" s="1438">
        <f>ROUND(IF(AI26=0,1,AL26/ABS(AI26)),3)</f>
        <v>-0.252</v>
      </c>
      <c r="AO26" s="546"/>
      <c r="AP26" s="300"/>
      <c r="AQ26" s="300"/>
      <c r="AR26" s="300"/>
      <c r="AS26" s="300"/>
      <c r="AT26" s="300"/>
    </row>
    <row r="27" spans="1:46" ht="15.75">
      <c r="A27" s="31"/>
      <c r="B27" s="671" t="s">
        <v>1104</v>
      </c>
      <c r="C27" s="31"/>
      <c r="D27" s="31"/>
      <c r="E27" s="1365">
        <f>+'Exhibit I State'!E26</f>
        <v>38</v>
      </c>
      <c r="F27" s="1421"/>
      <c r="G27" s="1365">
        <f>+'Exhibit I State'!G26</f>
        <v>22.200000000000003</v>
      </c>
      <c r="H27" s="1421"/>
      <c r="I27" s="1365">
        <f>+'Exhibit I State'!I26</f>
        <v>48</v>
      </c>
      <c r="J27" s="1461"/>
      <c r="K27" s="1365">
        <f>+'Exhibit I State'!K26</f>
        <v>49.09999999999998</v>
      </c>
      <c r="L27" s="1459"/>
      <c r="M27" s="1365">
        <f>+'Exhibit I State'!M26</f>
        <v>48.3</v>
      </c>
      <c r="N27" s="1459"/>
      <c r="O27" s="1365">
        <f>+'Exhibit I State'!O26</f>
        <v>55.200000000000045</v>
      </c>
      <c r="P27" s="302"/>
      <c r="Q27" s="1365">
        <f>+'Exhibit I State'!Q26</f>
        <v>49.899999999999991</v>
      </c>
      <c r="R27" s="302"/>
      <c r="S27" s="1365">
        <f>+'Exhibit I State'!S26</f>
        <v>46.3</v>
      </c>
      <c r="T27" s="302"/>
      <c r="U27" s="1365">
        <f>+'Exhibit I State'!U26</f>
        <v>44.800000000000011</v>
      </c>
      <c r="V27" s="302"/>
      <c r="W27" s="1365">
        <f>+'Exhibit I State'!W26</f>
        <v>42.7</v>
      </c>
      <c r="X27" s="302"/>
      <c r="Y27" s="1365"/>
      <c r="Z27" s="302"/>
      <c r="AA27" s="1365"/>
      <c r="AB27" s="1365"/>
      <c r="AC27" s="1365">
        <v>0</v>
      </c>
      <c r="AD27" s="1052"/>
      <c r="AE27" s="302"/>
      <c r="AF27" s="66">
        <f>ROUND(SUM(E27:AC27),1)</f>
        <v>444.5</v>
      </c>
      <c r="AG27" s="1053"/>
      <c r="AH27" s="303"/>
      <c r="AI27" s="3463">
        <f>+'Exhibit I State'!AG26</f>
        <v>558.6</v>
      </c>
      <c r="AJ27" s="304"/>
      <c r="AK27" s="308"/>
      <c r="AL27" s="311">
        <f>ROUND(SUM(AF27-AI27),1)</f>
        <v>-114.1</v>
      </c>
      <c r="AM27" s="305"/>
      <c r="AN27" s="1426">
        <f>ROUND(IF(AI27=0,0,AL27/ABS(AI27)),3)</f>
        <v>-0.20399999999999999</v>
      </c>
      <c r="AO27" s="546"/>
      <c r="AP27" s="300"/>
      <c r="AQ27" s="300"/>
      <c r="AR27" s="300"/>
      <c r="AS27" s="300"/>
      <c r="AT27" s="300"/>
    </row>
    <row r="28" spans="1:46" ht="15.75">
      <c r="A28" s="31"/>
      <c r="B28" s="310" t="s">
        <v>1182</v>
      </c>
      <c r="C28" s="31"/>
      <c r="D28" s="31"/>
      <c r="E28" s="1460">
        <f>ROUND(SUM(E25:E27),1)</f>
        <v>38.1</v>
      </c>
      <c r="F28" s="1421"/>
      <c r="G28" s="1460">
        <f>ROUND(SUM(G25:G27),1)</f>
        <v>20.7</v>
      </c>
      <c r="H28" s="1421"/>
      <c r="I28" s="1460">
        <f>ROUND(SUM(I25:I27),1)</f>
        <v>48.6</v>
      </c>
      <c r="J28" s="1461"/>
      <c r="K28" s="1460">
        <f>ROUND(SUM(K25:K27),1)</f>
        <v>52.7</v>
      </c>
      <c r="L28" s="1459"/>
      <c r="M28" s="1460">
        <f>ROUND(SUM(M25:M27),1)</f>
        <v>48.4</v>
      </c>
      <c r="N28" s="1459"/>
      <c r="O28" s="1460">
        <f>ROUND(SUM(O25:O27),1)</f>
        <v>57.4</v>
      </c>
      <c r="P28" s="302"/>
      <c r="Q28" s="1460">
        <f>ROUND(SUM(Q25:Q27),1)</f>
        <v>50.6</v>
      </c>
      <c r="R28" s="302"/>
      <c r="S28" s="1460">
        <f>ROUND(SUM(S25:S27),1)</f>
        <v>46.3</v>
      </c>
      <c r="T28" s="302"/>
      <c r="U28" s="1460">
        <f>ROUND(SUM(U25:U27),1)</f>
        <v>47.1</v>
      </c>
      <c r="V28" s="302"/>
      <c r="W28" s="1460">
        <f>ROUND(SUM(W25:W27),1)</f>
        <v>42.9</v>
      </c>
      <c r="X28" s="302"/>
      <c r="Y28" s="1460">
        <f>ROUND(SUM(Y25:Y27),1)</f>
        <v>0</v>
      </c>
      <c r="Z28" s="302"/>
      <c r="AA28" s="1460">
        <f>ROUND(SUM(AA25:AA27),1)</f>
        <v>0</v>
      </c>
      <c r="AB28" s="1462"/>
      <c r="AC28" s="1460">
        <f>ROUND(SUM(AC25:AC27),1)</f>
        <v>0</v>
      </c>
      <c r="AD28" s="1052"/>
      <c r="AE28" s="302"/>
      <c r="AF28" s="677">
        <f>ROUND(SUM(AF25:AF27),1)</f>
        <v>452.8</v>
      </c>
      <c r="AG28" s="1053"/>
      <c r="AH28" s="303"/>
      <c r="AI28" s="1538">
        <f>ROUND(SUM(AI25:AI27),1)</f>
        <v>569.70000000000005</v>
      </c>
      <c r="AJ28" s="304"/>
      <c r="AK28" s="308"/>
      <c r="AL28" s="677">
        <f>ROUND(SUM(AL25:AL27),1)</f>
        <v>-116.9</v>
      </c>
      <c r="AM28" s="305"/>
      <c r="AN28" s="1455">
        <f>ROUND(IF(AI28=0,0,AL28/ABS(AI28)),3)</f>
        <v>-0.20499999999999999</v>
      </c>
      <c r="AO28" s="546"/>
      <c r="AP28" s="300"/>
      <c r="AQ28" s="300"/>
      <c r="AR28" s="300"/>
      <c r="AS28" s="300"/>
      <c r="AT28" s="300"/>
    </row>
    <row r="29" spans="1:46" ht="15.75">
      <c r="A29" s="31"/>
      <c r="B29" s="1051" t="s">
        <v>1142</v>
      </c>
      <c r="C29" s="31"/>
      <c r="D29" s="31"/>
      <c r="E29" s="1842"/>
      <c r="F29" s="1842"/>
      <c r="G29" s="1842"/>
      <c r="H29" s="1842"/>
      <c r="I29" s="1842"/>
      <c r="J29" s="1842"/>
      <c r="K29" s="1842"/>
      <c r="L29" s="1463"/>
      <c r="M29" s="1463"/>
      <c r="N29" s="1463"/>
      <c r="O29" s="1463"/>
      <c r="P29" s="165"/>
      <c r="Q29" s="1463"/>
      <c r="R29" s="165"/>
      <c r="S29" s="1463"/>
      <c r="T29" s="165"/>
      <c r="U29" s="1463"/>
      <c r="V29" s="165"/>
      <c r="W29" s="1463"/>
      <c r="X29" s="165"/>
      <c r="Y29" s="1463"/>
      <c r="Z29" s="165"/>
      <c r="AA29" s="1463"/>
      <c r="AB29" s="1463"/>
      <c r="AC29" s="1463"/>
      <c r="AD29" s="165"/>
      <c r="AE29" s="252"/>
      <c r="AF29" s="165"/>
      <c r="AG29" s="1064"/>
      <c r="AH29" s="59"/>
      <c r="AI29" s="140"/>
      <c r="AJ29" s="165"/>
      <c r="AK29" s="324"/>
      <c r="AL29" s="325"/>
      <c r="AM29" s="325"/>
      <c r="AN29" s="1464"/>
    </row>
    <row r="30" spans="1:46" ht="15.75">
      <c r="A30" s="31"/>
      <c r="B30" s="671" t="s">
        <v>1110</v>
      </c>
      <c r="C30" s="31"/>
      <c r="D30" s="31"/>
      <c r="E30" s="1365">
        <f>+'Exhibit I State'!E29</f>
        <v>0</v>
      </c>
      <c r="F30" s="1421"/>
      <c r="G30" s="1365">
        <f>+'Exhibit I State'!G29</f>
        <v>0</v>
      </c>
      <c r="H30" s="1421"/>
      <c r="I30" s="1365">
        <f>+'Exhibit I State'!I29</f>
        <v>11.9</v>
      </c>
      <c r="J30" s="1461"/>
      <c r="K30" s="1365">
        <f>+'Exhibit I State'!K29</f>
        <v>11.9</v>
      </c>
      <c r="L30" s="1459"/>
      <c r="M30" s="1365">
        <f>+'Exhibit I State'!M29</f>
        <v>11.900000000000004</v>
      </c>
      <c r="N30" s="1459"/>
      <c r="O30" s="1365">
        <f>+'Exhibit I State'!O29</f>
        <v>11.9</v>
      </c>
      <c r="P30" s="302"/>
      <c r="Q30" s="1365">
        <f>+'Exhibit I State'!Q29</f>
        <v>11.999999999999998</v>
      </c>
      <c r="R30" s="302"/>
      <c r="S30" s="1365">
        <f>+'Exhibit I State'!S29</f>
        <v>11.9</v>
      </c>
      <c r="T30" s="302"/>
      <c r="U30" s="1365">
        <f>+'Exhibit I State'!U29</f>
        <v>11.899999999999997</v>
      </c>
      <c r="V30" s="302"/>
      <c r="W30" s="1365">
        <f>+'Exhibit I State'!W29</f>
        <v>11.899999999999986</v>
      </c>
      <c r="X30" s="302"/>
      <c r="Y30" s="1365"/>
      <c r="Z30" s="302"/>
      <c r="AA30" s="1365"/>
      <c r="AB30" s="1365"/>
      <c r="AC30" s="1365">
        <v>0</v>
      </c>
      <c r="AD30" s="1052"/>
      <c r="AE30" s="302"/>
      <c r="AF30" s="66">
        <f>ROUND(SUM(E30:AC30),1)</f>
        <v>95.3</v>
      </c>
      <c r="AG30" s="1053"/>
      <c r="AH30" s="303"/>
      <c r="AI30" s="3463">
        <f>+'Exhibit I State'!AG29</f>
        <v>95.3</v>
      </c>
      <c r="AJ30" s="304"/>
      <c r="AK30" s="308"/>
      <c r="AL30" s="311">
        <f>ROUND(SUM(AF30-AI30),1)</f>
        <v>0</v>
      </c>
      <c r="AM30" s="305"/>
      <c r="AN30" s="1426">
        <f>ROUND(IF(AI30=0,0,AL30/ABS(AI30)),3)</f>
        <v>0</v>
      </c>
      <c r="AO30" s="546"/>
      <c r="AP30" s="300"/>
      <c r="AQ30" s="300"/>
      <c r="AR30" s="300"/>
    </row>
    <row r="31" spans="1:46" ht="15.75">
      <c r="A31" s="31"/>
      <c r="B31" s="310" t="s">
        <v>1183</v>
      </c>
      <c r="C31" s="31"/>
      <c r="D31" s="31"/>
      <c r="E31" s="258">
        <f>ROUND(SUM(E30:E30),1)</f>
        <v>0</v>
      </c>
      <c r="F31" s="922"/>
      <c r="G31" s="258">
        <f>ROUND(SUM(G30:G30),1)</f>
        <v>0</v>
      </c>
      <c r="H31" s="922"/>
      <c r="I31" s="258">
        <f>ROUND(SUM(I30:I30),1)</f>
        <v>11.9</v>
      </c>
      <c r="J31" s="922"/>
      <c r="K31" s="258">
        <f>ROUND(SUM(K30:K30),1)</f>
        <v>11.9</v>
      </c>
      <c r="L31" s="302"/>
      <c r="M31" s="61">
        <f>ROUND(SUM(M30:M30),1)</f>
        <v>11.9</v>
      </c>
      <c r="N31" s="302"/>
      <c r="O31" s="61">
        <f>ROUND(SUM(O30:O30),1)</f>
        <v>11.9</v>
      </c>
      <c r="P31" s="302"/>
      <c r="Q31" s="61">
        <f>ROUND(SUM(Q30:Q30),1)</f>
        <v>12</v>
      </c>
      <c r="R31" s="302"/>
      <c r="S31" s="61">
        <f>ROUND(SUM(S30:S30),1)</f>
        <v>11.9</v>
      </c>
      <c r="T31" s="302"/>
      <c r="U31" s="61">
        <f>ROUND(SUM(U30:U30),1)</f>
        <v>11.9</v>
      </c>
      <c r="V31" s="302"/>
      <c r="W31" s="61">
        <f>ROUND(SUM(W30:W30),1)</f>
        <v>11.9</v>
      </c>
      <c r="X31" s="302"/>
      <c r="Y31" s="61">
        <f>ROUND(SUM(Y30:Y30),1)</f>
        <v>0</v>
      </c>
      <c r="Z31" s="302"/>
      <c r="AA31" s="61">
        <f>ROUND(SUM(AA30:AA30),1)</f>
        <v>0</v>
      </c>
      <c r="AB31" s="1532"/>
      <c r="AC31" s="61">
        <f>ROUND(SUM(AC30:AC30),1)</f>
        <v>0</v>
      </c>
      <c r="AD31" s="1052"/>
      <c r="AE31" s="302"/>
      <c r="AF31" s="61">
        <f>ROUND(SUM(AF30:AF30),1)</f>
        <v>95.3</v>
      </c>
      <c r="AG31" s="1053"/>
      <c r="AH31" s="303"/>
      <c r="AI31" s="3422">
        <f>ROUND(SUM(AI30:AI30),1)</f>
        <v>95.3</v>
      </c>
      <c r="AJ31" s="304"/>
      <c r="AK31" s="308"/>
      <c r="AL31" s="1119">
        <f>ROUND(SUM(AF31-AI31),1)</f>
        <v>0</v>
      </c>
      <c r="AM31" s="307"/>
      <c r="AN31" s="1442">
        <f>ROUND(IF(AI31=0,0,AL31/ABS(AI31)),3)</f>
        <v>0</v>
      </c>
      <c r="AO31" s="546"/>
      <c r="AP31" s="300"/>
      <c r="AQ31" s="300"/>
      <c r="AR31" s="300"/>
    </row>
    <row r="32" spans="1:46" ht="15.75">
      <c r="A32" s="31"/>
      <c r="B32" s="310"/>
      <c r="C32" s="31"/>
      <c r="D32" s="31"/>
      <c r="E32" s="258"/>
      <c r="F32" s="922"/>
      <c r="G32" s="258"/>
      <c r="H32" s="922"/>
      <c r="I32" s="258"/>
      <c r="J32" s="922"/>
      <c r="K32" s="258"/>
      <c r="L32" s="302"/>
      <c r="M32" s="258"/>
      <c r="N32" s="302"/>
      <c r="O32" s="258"/>
      <c r="P32" s="302"/>
      <c r="Q32" s="258"/>
      <c r="R32" s="302"/>
      <c r="S32" s="258"/>
      <c r="T32" s="302"/>
      <c r="U32" s="258"/>
      <c r="V32" s="302"/>
      <c r="W32" s="258"/>
      <c r="X32" s="302"/>
      <c r="Y32" s="258"/>
      <c r="Z32" s="302"/>
      <c r="AA32" s="258"/>
      <c r="AB32" s="1532"/>
      <c r="AC32" s="258"/>
      <c r="AD32" s="1052"/>
      <c r="AE32" s="302"/>
      <c r="AF32" s="258"/>
      <c r="AG32" s="1053"/>
      <c r="AH32" s="303"/>
      <c r="AI32" s="303"/>
      <c r="AJ32" s="304"/>
      <c r="AK32" s="308"/>
      <c r="AL32" s="309"/>
      <c r="AM32" s="305"/>
      <c r="AN32" s="1454"/>
      <c r="AO32" s="546"/>
      <c r="AP32" s="300"/>
      <c r="AQ32" s="300"/>
      <c r="AR32" s="300"/>
    </row>
    <row r="33" spans="1:44" ht="15.75">
      <c r="A33" s="31"/>
      <c r="B33" s="310" t="s">
        <v>1106</v>
      </c>
      <c r="C33" s="31"/>
      <c r="D33" s="31"/>
      <c r="E33" s="1843">
        <f>ROUND(SUM(E11+E28+E23+E31),1)</f>
        <v>74.099999999999994</v>
      </c>
      <c r="F33" s="1531"/>
      <c r="G33" s="1843">
        <f>ROUND(SUM(G11+G28+G23+G31),1)</f>
        <v>46.3</v>
      </c>
      <c r="H33" s="1531"/>
      <c r="I33" s="1843">
        <f>ROUND(SUM(I11+I28+I23+I31),1)</f>
        <v>107.9</v>
      </c>
      <c r="J33" s="1531"/>
      <c r="K33" s="1843">
        <f>ROUND(SUM(K11+K28+K23+K31),1)</f>
        <v>108.2</v>
      </c>
      <c r="L33" s="302"/>
      <c r="M33" s="1054">
        <f>ROUND(SUM(M11+M28+M23+M31),1)</f>
        <v>103.9</v>
      </c>
      <c r="N33" s="302"/>
      <c r="O33" s="1054">
        <f>ROUND(SUM(O11+O28+O23+O31),1)</f>
        <v>130.30000000000001</v>
      </c>
      <c r="P33" s="302"/>
      <c r="Q33" s="1054">
        <f>ROUND(SUM(Q11+Q28+Q23+Q31),1)</f>
        <v>104.6</v>
      </c>
      <c r="R33" s="302"/>
      <c r="S33" s="1054">
        <f>ROUND(SUM(S11+S28+S23+S31),1)</f>
        <v>100.7</v>
      </c>
      <c r="T33" s="302"/>
      <c r="U33" s="1054">
        <f>ROUND(SUM(U11+U28+U23+U31),1)</f>
        <v>120.6</v>
      </c>
      <c r="V33" s="302"/>
      <c r="W33" s="1054">
        <f>ROUND(SUM(W11+W28+W23+W31),1)</f>
        <v>89.9</v>
      </c>
      <c r="X33" s="302"/>
      <c r="Y33" s="1054">
        <f>ROUND(SUM(Y11+Y28+Y23+Y31),1)</f>
        <v>0</v>
      </c>
      <c r="Z33" s="302"/>
      <c r="AA33" s="1054">
        <f>ROUND(SUM(AA11+AA28+AA23+AA31),1)</f>
        <v>0</v>
      </c>
      <c r="AB33" s="1056"/>
      <c r="AC33" s="1054">
        <f>ROUND(SUM(AC15+AC28+AC23+AC31),1)</f>
        <v>0</v>
      </c>
      <c r="AD33" s="1052"/>
      <c r="AE33" s="302"/>
      <c r="AF33" s="1054">
        <f>ROUND(SUM(AF28+AF23+AF31),1)</f>
        <v>986.5</v>
      </c>
      <c r="AG33" s="1053"/>
      <c r="AH33" s="303"/>
      <c r="AI33" s="1054">
        <f>ROUND(SUM(AI28+AI23+AI31),1)</f>
        <v>1202.8</v>
      </c>
      <c r="AJ33" s="304"/>
      <c r="AK33" s="308"/>
      <c r="AL33" s="1119">
        <f>ROUND(SUM(AF33-AI33),1)</f>
        <v>-216.3</v>
      </c>
      <c r="AM33" s="307"/>
      <c r="AN33" s="1442">
        <f>ROUND(IF(AI33=0,0,AL33/ABS(AI33)),3)</f>
        <v>-0.18</v>
      </c>
      <c r="AO33" s="546"/>
      <c r="AP33" s="300"/>
      <c r="AQ33" s="300"/>
      <c r="AR33" s="300"/>
    </row>
    <row r="34" spans="1:44" ht="15.75">
      <c r="A34" s="31"/>
      <c r="B34" s="310"/>
      <c r="C34" s="31"/>
      <c r="D34" s="31"/>
      <c r="E34" s="1844"/>
      <c r="F34" s="1531"/>
      <c r="G34" s="1844"/>
      <c r="H34" s="1531"/>
      <c r="I34" s="1844"/>
      <c r="J34" s="1531"/>
      <c r="K34" s="1844"/>
      <c r="L34" s="302"/>
      <c r="M34" s="1056"/>
      <c r="N34" s="302"/>
      <c r="O34" s="1056"/>
      <c r="P34" s="302"/>
      <c r="Q34" s="1056"/>
      <c r="R34" s="302"/>
      <c r="S34" s="1056"/>
      <c r="T34" s="302"/>
      <c r="U34" s="1056"/>
      <c r="V34" s="302"/>
      <c r="W34" s="1056"/>
      <c r="X34" s="302"/>
      <c r="Y34" s="1056"/>
      <c r="Z34" s="302"/>
      <c r="AA34" s="1056"/>
      <c r="AB34" s="1056"/>
      <c r="AC34" s="1056"/>
      <c r="AD34" s="1378"/>
      <c r="AE34" s="302"/>
      <c r="AF34" s="1056"/>
      <c r="AG34" s="1053"/>
      <c r="AH34" s="303"/>
      <c r="AI34" s="1056"/>
      <c r="AJ34" s="304"/>
      <c r="AK34" s="308"/>
      <c r="AL34" s="1055"/>
      <c r="AM34" s="307"/>
      <c r="AN34" s="1431"/>
      <c r="AO34" s="546"/>
      <c r="AP34" s="300"/>
      <c r="AQ34" s="300"/>
      <c r="AR34" s="300"/>
    </row>
    <row r="35" spans="1:44" ht="15.75">
      <c r="A35" s="31"/>
      <c r="B35" s="261" t="s">
        <v>1014</v>
      </c>
      <c r="C35" s="31"/>
      <c r="D35" s="31"/>
      <c r="E35" s="659"/>
      <c r="F35" s="1531"/>
      <c r="G35" s="659"/>
      <c r="H35" s="1531"/>
      <c r="I35" s="659"/>
      <c r="J35" s="1531"/>
      <c r="K35" s="659"/>
      <c r="L35" s="66"/>
      <c r="M35" s="170"/>
      <c r="N35" s="66"/>
      <c r="O35" s="170"/>
      <c r="P35" s="66"/>
      <c r="Q35" s="170"/>
      <c r="R35" s="66"/>
      <c r="S35" s="170"/>
      <c r="T35" s="66"/>
      <c r="U35" s="170"/>
      <c r="V35" s="66"/>
      <c r="W35" s="170"/>
      <c r="X35" s="66"/>
      <c r="Y35" s="170"/>
      <c r="Z35" s="66"/>
      <c r="AA35" s="170"/>
      <c r="AB35" s="170"/>
      <c r="AC35" s="170"/>
      <c r="AD35" s="66"/>
      <c r="AE35" s="57"/>
      <c r="AF35" s="277"/>
      <c r="AG35" s="977"/>
      <c r="AH35" s="60"/>
      <c r="AI35" s="3464"/>
      <c r="AJ35" s="77"/>
      <c r="AK35" s="333"/>
      <c r="AL35" s="58"/>
      <c r="AM35" s="331"/>
      <c r="AN35" s="1426"/>
      <c r="AO35" s="325"/>
    </row>
    <row r="36" spans="1:44" ht="15.75">
      <c r="A36" s="31"/>
      <c r="B36" s="892" t="s">
        <v>1133</v>
      </c>
      <c r="C36" s="31"/>
      <c r="D36" s="31"/>
      <c r="E36" s="659"/>
      <c r="F36" s="1531"/>
      <c r="G36" s="659"/>
      <c r="H36" s="1531"/>
      <c r="I36" s="659"/>
      <c r="J36" s="1531"/>
      <c r="K36" s="659"/>
      <c r="L36" s="66"/>
      <c r="M36" s="170"/>
      <c r="N36" s="66"/>
      <c r="O36" s="170"/>
      <c r="P36" s="66"/>
      <c r="Q36" s="170"/>
      <c r="R36" s="66"/>
      <c r="S36" s="170"/>
      <c r="T36" s="66"/>
      <c r="U36" s="170"/>
      <c r="V36" s="66"/>
      <c r="W36" s="170"/>
      <c r="X36" s="66"/>
      <c r="Y36" s="170"/>
      <c r="Z36" s="66"/>
      <c r="AA36" s="170"/>
      <c r="AB36" s="170"/>
      <c r="AC36" s="170"/>
      <c r="AD36" s="66"/>
      <c r="AE36" s="57"/>
      <c r="AF36" s="277"/>
      <c r="AG36" s="977"/>
      <c r="AH36" s="60"/>
      <c r="AI36" s="3464"/>
      <c r="AJ36" s="77"/>
      <c r="AK36" s="333"/>
      <c r="AL36" s="58"/>
      <c r="AM36" s="331"/>
      <c r="AN36" s="1426"/>
      <c r="AO36" s="325"/>
    </row>
    <row r="37" spans="1:44" ht="15.75">
      <c r="A37" s="31"/>
      <c r="B37" s="892" t="s">
        <v>1048</v>
      </c>
      <c r="C37" s="31"/>
      <c r="D37" s="31"/>
      <c r="E37" s="659">
        <f>+'Exhibit I State'!E36+'Exhibit I Federal'!E19</f>
        <v>0</v>
      </c>
      <c r="F37" s="1531"/>
      <c r="G37" s="659">
        <f>+'Exhibit I State'!G36+'Exhibit I Federal'!G19</f>
        <v>0</v>
      </c>
      <c r="H37" s="1531"/>
      <c r="I37" s="659">
        <f>+'Exhibit I State'!I36+'Exhibit I Federal'!I19</f>
        <v>0</v>
      </c>
      <c r="J37" s="1531"/>
      <c r="K37" s="659">
        <f>+'Exhibit I State'!K36+'Exhibit I Federal'!K19</f>
        <v>23</v>
      </c>
      <c r="L37" s="66"/>
      <c r="M37" s="659">
        <f>+'Exhibit I State'!M36+'Exhibit I Federal'!M19</f>
        <v>0</v>
      </c>
      <c r="N37" s="66"/>
      <c r="O37" s="659">
        <f>+'Exhibit I State'!O36+'Exhibit I Federal'!O19</f>
        <v>0</v>
      </c>
      <c r="P37" s="66"/>
      <c r="Q37" s="659">
        <f>+'Exhibit I State'!Q36+'Exhibit I Federal'!Q19</f>
        <v>0</v>
      </c>
      <c r="R37" s="66"/>
      <c r="S37" s="659">
        <f>+'Exhibit I State'!S36+'Exhibit I Federal'!S19</f>
        <v>0</v>
      </c>
      <c r="T37" s="66"/>
      <c r="U37" s="659">
        <f>+'Exhibit I State'!U36+'Exhibit I Federal'!U19</f>
        <v>0</v>
      </c>
      <c r="V37" s="66"/>
      <c r="W37" s="659">
        <f>+'Exhibit I State'!W36+'Exhibit I Federal'!W19</f>
        <v>0</v>
      </c>
      <c r="X37" s="66"/>
      <c r="Y37" s="659"/>
      <c r="Z37" s="66"/>
      <c r="AA37" s="659"/>
      <c r="AB37" s="170"/>
      <c r="AC37" s="170">
        <v>0</v>
      </c>
      <c r="AD37" s="66"/>
      <c r="AE37" s="57"/>
      <c r="AF37" s="277">
        <f>ROUND(SUM(E37:AC37),1)</f>
        <v>23</v>
      </c>
      <c r="AG37" s="977"/>
      <c r="AH37" s="60"/>
      <c r="AI37" s="3464">
        <f>+'Exhibit I State'!AG36+'Exhibit I Federal'!AG19</f>
        <v>23</v>
      </c>
      <c r="AJ37" s="77"/>
      <c r="AK37" s="333"/>
      <c r="AL37" s="58">
        <f t="shared" ref="AL37:AL60" si="0">ROUND(SUM(+AF37-AI37),1)</f>
        <v>0</v>
      </c>
      <c r="AM37" s="331"/>
      <c r="AN37" s="1426">
        <f>ROUND(IF(AI37=0,0,AL37/ABS(AI37)),3)</f>
        <v>0</v>
      </c>
      <c r="AO37" s="325"/>
    </row>
    <row r="38" spans="1:44" ht="15.75">
      <c r="A38" s="31"/>
      <c r="B38" s="892" t="s">
        <v>1134</v>
      </c>
      <c r="C38" s="31"/>
      <c r="D38" s="31"/>
      <c r="E38" s="659"/>
      <c r="F38" s="1531"/>
      <c r="G38" s="659"/>
      <c r="H38" s="1531"/>
      <c r="I38" s="659"/>
      <c r="J38" s="1531"/>
      <c r="K38" s="659"/>
      <c r="L38" s="66"/>
      <c r="M38" s="659"/>
      <c r="N38" s="66"/>
      <c r="O38" s="659"/>
      <c r="P38" s="66"/>
      <c r="Q38" s="659"/>
      <c r="R38" s="66"/>
      <c r="S38" s="659"/>
      <c r="T38" s="66"/>
      <c r="U38" s="659"/>
      <c r="V38" s="66"/>
      <c r="W38" s="659"/>
      <c r="X38" s="66"/>
      <c r="Y38" s="659"/>
      <c r="Z38" s="66"/>
      <c r="AA38" s="659"/>
      <c r="AB38" s="170"/>
      <c r="AC38" s="170"/>
      <c r="AD38" s="66"/>
      <c r="AE38" s="57"/>
      <c r="AF38" s="277"/>
      <c r="AG38" s="977"/>
      <c r="AH38" s="60"/>
      <c r="AI38" s="3464"/>
      <c r="AJ38" s="77"/>
      <c r="AK38" s="333"/>
      <c r="AL38" s="58"/>
      <c r="AM38" s="331"/>
      <c r="AN38" s="1426"/>
      <c r="AO38" s="325"/>
    </row>
    <row r="39" spans="1:44" ht="15.75">
      <c r="A39" s="31"/>
      <c r="B39" s="892" t="s">
        <v>1049</v>
      </c>
      <c r="C39" s="31"/>
      <c r="D39" s="31"/>
      <c r="E39" s="659">
        <f>+'Exhibit I State'!E38+'Exhibit I Federal'!E21</f>
        <v>7.9</v>
      </c>
      <c r="F39" s="1531"/>
      <c r="G39" s="659">
        <f>+'Exhibit I State'!G38+'Exhibit I Federal'!G21</f>
        <v>3.5999999999999996</v>
      </c>
      <c r="H39" s="1531"/>
      <c r="I39" s="659">
        <f>+'Exhibit I State'!I38+'Exhibit I Federal'!I21</f>
        <v>5.3999999999999986</v>
      </c>
      <c r="J39" s="1531"/>
      <c r="K39" s="659">
        <f>+'Exhibit I State'!K38+'Exhibit I Federal'!K21</f>
        <v>7</v>
      </c>
      <c r="L39" s="66"/>
      <c r="M39" s="659">
        <f>+'Exhibit I State'!M38+'Exhibit I Federal'!M21</f>
        <v>7.6000000000000014</v>
      </c>
      <c r="N39" s="66"/>
      <c r="O39" s="659">
        <f>+'Exhibit I State'!O38+'Exhibit I Federal'!O21</f>
        <v>7.1000000000000014</v>
      </c>
      <c r="P39" s="66"/>
      <c r="Q39" s="659">
        <f>+'Exhibit I State'!Q38+'Exhibit I Federal'!Q21</f>
        <v>7.2999999999999972</v>
      </c>
      <c r="R39" s="66"/>
      <c r="S39" s="659">
        <f>+'Exhibit I State'!S38+'Exhibit I Federal'!S21</f>
        <v>7.3000000000000043</v>
      </c>
      <c r="T39" s="66"/>
      <c r="U39" s="659">
        <f>+'Exhibit I State'!U38+'Exhibit I Federal'!U21</f>
        <v>6.5</v>
      </c>
      <c r="V39" s="66"/>
      <c r="W39" s="659">
        <f>+'Exhibit I State'!W38+'Exhibit I Federal'!W21</f>
        <v>6.7000000000000028</v>
      </c>
      <c r="X39" s="66"/>
      <c r="Y39" s="659"/>
      <c r="Z39" s="66"/>
      <c r="AA39" s="659"/>
      <c r="AB39" s="170"/>
      <c r="AC39" s="170">
        <v>0</v>
      </c>
      <c r="AD39" s="66"/>
      <c r="AE39" s="57"/>
      <c r="AF39" s="1080">
        <f>ROUND(SUM(E39:AC39),1)</f>
        <v>66.400000000000006</v>
      </c>
      <c r="AG39" s="977"/>
      <c r="AH39" s="60"/>
      <c r="AI39" s="3464">
        <f>+'Exhibit I State'!AG38+'Exhibit I Federal'!AG21</f>
        <v>85.4</v>
      </c>
      <c r="AJ39" s="77"/>
      <c r="AK39" s="333"/>
      <c r="AL39" s="58">
        <f t="shared" si="0"/>
        <v>-19</v>
      </c>
      <c r="AM39" s="331"/>
      <c r="AN39" s="1426">
        <f>ROUND(IF(AI39=0,0,AL39/ABS(AI39)),3)</f>
        <v>-0.222</v>
      </c>
      <c r="AO39" s="325"/>
    </row>
    <row r="40" spans="1:44" ht="15.75">
      <c r="A40" s="31"/>
      <c r="B40" s="892" t="s">
        <v>1139</v>
      </c>
      <c r="C40" s="31"/>
      <c r="D40" s="31"/>
      <c r="E40" s="659"/>
      <c r="F40" s="1531"/>
      <c r="G40" s="659"/>
      <c r="H40" s="1531"/>
      <c r="I40" s="659"/>
      <c r="J40" s="1531"/>
      <c r="K40" s="659"/>
      <c r="L40" s="66"/>
      <c r="M40" s="659"/>
      <c r="N40" s="66"/>
      <c r="O40" s="659"/>
      <c r="P40" s="66"/>
      <c r="Q40" s="659"/>
      <c r="R40" s="66"/>
      <c r="S40" s="659"/>
      <c r="T40" s="66"/>
      <c r="U40" s="659"/>
      <c r="V40" s="66"/>
      <c r="W40" s="659"/>
      <c r="X40" s="66"/>
      <c r="Y40" s="659"/>
      <c r="Z40" s="66"/>
      <c r="AA40" s="659"/>
      <c r="AB40" s="170"/>
      <c r="AC40" s="170"/>
      <c r="AD40" s="66"/>
      <c r="AE40" s="57"/>
      <c r="AF40" s="1080"/>
      <c r="AG40" s="977"/>
      <c r="AH40" s="60"/>
      <c r="AI40" s="3464"/>
      <c r="AJ40" s="77"/>
      <c r="AK40" s="333"/>
      <c r="AL40" s="58"/>
      <c r="AM40" s="331"/>
      <c r="AN40" s="1426"/>
      <c r="AO40" s="325"/>
    </row>
    <row r="41" spans="1:44" ht="15.75">
      <c r="A41" s="31"/>
      <c r="B41" s="892" t="s">
        <v>1053</v>
      </c>
      <c r="C41" s="31"/>
      <c r="D41" s="31"/>
      <c r="E41" s="659">
        <f>+'Exhibit I State'!E40+'Exhibit I Federal'!E23</f>
        <v>1.8</v>
      </c>
      <c r="F41" s="1531"/>
      <c r="G41" s="659">
        <f>+'Exhibit I State'!G40+'Exhibit I Federal'!G23</f>
        <v>2.0999999999999996</v>
      </c>
      <c r="H41" s="1531"/>
      <c r="I41" s="659">
        <f>+'Exhibit I State'!I40+'Exhibit I Federal'!I23</f>
        <v>1.6000000000000005</v>
      </c>
      <c r="J41" s="1531"/>
      <c r="K41" s="659">
        <f>+'Exhibit I State'!K40+'Exhibit I Federal'!K23</f>
        <v>1.2999999999999998</v>
      </c>
      <c r="L41" s="66"/>
      <c r="M41" s="659">
        <f>+'Exhibit I State'!M40+'Exhibit I Federal'!M23</f>
        <v>9.3000000000000007</v>
      </c>
      <c r="N41" s="66"/>
      <c r="O41" s="659">
        <f>+'Exhibit I State'!O40+'Exhibit I Federal'!O23</f>
        <v>3.0999999999999979</v>
      </c>
      <c r="P41" s="66"/>
      <c r="Q41" s="659">
        <f>+'Exhibit I State'!Q40+'Exhibit I Federal'!Q23</f>
        <v>2.4999999999999964</v>
      </c>
      <c r="R41" s="66"/>
      <c r="S41" s="659">
        <f>+'Exhibit I State'!S40+'Exhibit I Federal'!S23</f>
        <v>2.3000000000000043</v>
      </c>
      <c r="T41" s="66"/>
      <c r="U41" s="659">
        <f>+'Exhibit I State'!U40+'Exhibit I Federal'!U23</f>
        <v>0.60000000000000142</v>
      </c>
      <c r="V41" s="66"/>
      <c r="W41" s="659">
        <f>+'Exhibit I State'!W40+'Exhibit I Federal'!W23</f>
        <v>0.39999999999999858</v>
      </c>
      <c r="X41" s="66"/>
      <c r="Y41" s="659"/>
      <c r="Z41" s="66"/>
      <c r="AA41" s="659"/>
      <c r="AB41" s="170"/>
      <c r="AC41" s="170">
        <v>0</v>
      </c>
      <c r="AD41" s="66"/>
      <c r="AE41" s="57"/>
      <c r="AF41" s="1080">
        <f t="shared" ref="AF41:AF45" si="1">ROUND(SUM(E41:AC41),1)</f>
        <v>25</v>
      </c>
      <c r="AG41" s="977"/>
      <c r="AH41" s="60"/>
      <c r="AI41" s="3464">
        <f>+'Exhibit I State'!AG40+'Exhibit I Federal'!AG23</f>
        <v>29</v>
      </c>
      <c r="AJ41" s="77"/>
      <c r="AK41" s="333"/>
      <c r="AL41" s="58">
        <f t="shared" si="0"/>
        <v>-4</v>
      </c>
      <c r="AM41" s="331"/>
      <c r="AN41" s="1426">
        <f>ROUND(IF(AI41=0,0,AL41/ABS(AI41)),3)</f>
        <v>-0.13800000000000001</v>
      </c>
      <c r="AO41" s="325"/>
    </row>
    <row r="42" spans="1:44" ht="15.75">
      <c r="A42" s="31"/>
      <c r="B42" s="892" t="s">
        <v>1196</v>
      </c>
      <c r="C42" s="31"/>
      <c r="D42" s="31"/>
      <c r="E42" s="659">
        <f>+'Exhibit I State'!E41+'Exhibit I Federal'!E24</f>
        <v>0</v>
      </c>
      <c r="F42" s="1531"/>
      <c r="G42" s="659">
        <f>+'Exhibit I State'!G41+'Exhibit I Federal'!G24</f>
        <v>0</v>
      </c>
      <c r="H42" s="1531"/>
      <c r="I42" s="659">
        <f>+'Exhibit I State'!I41+'Exhibit I Federal'!I24</f>
        <v>0</v>
      </c>
      <c r="J42" s="1531"/>
      <c r="K42" s="659">
        <f>+'Exhibit I State'!K41+'Exhibit I Federal'!K24</f>
        <v>0</v>
      </c>
      <c r="L42" s="66"/>
      <c r="M42" s="659">
        <f>+'Exhibit I State'!M41+'Exhibit I Federal'!M24</f>
        <v>0</v>
      </c>
      <c r="N42" s="66"/>
      <c r="O42" s="659">
        <f>+'Exhibit I State'!O41+'Exhibit I Federal'!O24</f>
        <v>0</v>
      </c>
      <c r="P42" s="66"/>
      <c r="Q42" s="659">
        <f>+'Exhibit I State'!Q41+'Exhibit I Federal'!Q24</f>
        <v>0</v>
      </c>
      <c r="R42" s="66"/>
      <c r="S42" s="659">
        <f>+'Exhibit I State'!S41+'Exhibit I Federal'!S24</f>
        <v>0</v>
      </c>
      <c r="T42" s="66"/>
      <c r="U42" s="659">
        <f>+'Exhibit I State'!U41+'Exhibit I Federal'!U24</f>
        <v>0</v>
      </c>
      <c r="V42" s="66"/>
      <c r="W42" s="659">
        <f>+'Exhibit I State'!W41+'Exhibit I Federal'!W24</f>
        <v>0</v>
      </c>
      <c r="X42" s="66"/>
      <c r="Y42" s="659"/>
      <c r="Z42" s="66"/>
      <c r="AA42" s="659"/>
      <c r="AB42" s="170"/>
      <c r="AC42" s="170">
        <v>0</v>
      </c>
      <c r="AD42" s="66"/>
      <c r="AE42" s="57"/>
      <c r="AF42" s="1080">
        <f t="shared" si="1"/>
        <v>0</v>
      </c>
      <c r="AG42" s="1480"/>
      <c r="AH42" s="60"/>
      <c r="AI42" s="3464">
        <f>+'Exhibit I State'!AG41+'Exhibit I Federal'!AG24</f>
        <v>0</v>
      </c>
      <c r="AJ42" s="77"/>
      <c r="AK42" s="333"/>
      <c r="AL42" s="58">
        <f>ROUND(SUM(+AF42-AI42),1)</f>
        <v>0</v>
      </c>
      <c r="AM42" s="331"/>
      <c r="AN42" s="1426">
        <f>ROUND(IF(AI42=0,0,AL42/ABS(AI42)),3)</f>
        <v>0</v>
      </c>
      <c r="AO42" s="325"/>
    </row>
    <row r="43" spans="1:44" ht="15.75">
      <c r="A43" s="31"/>
      <c r="B43" s="892" t="s">
        <v>1056</v>
      </c>
      <c r="C43" s="31"/>
      <c r="D43" s="31"/>
      <c r="E43" s="659">
        <f>+'Exhibit I State'!E42+'Exhibit I Federal'!E25</f>
        <v>52.2</v>
      </c>
      <c r="F43" s="1531"/>
      <c r="G43" s="659">
        <f>+'Exhibit I State'!G42+'Exhibit I Federal'!G25</f>
        <v>33.200000000000003</v>
      </c>
      <c r="H43" s="1531"/>
      <c r="I43" s="659">
        <f>+'Exhibit I State'!I42+'Exhibit I Federal'!I25</f>
        <v>43.099999999999994</v>
      </c>
      <c r="J43" s="1531"/>
      <c r="K43" s="659">
        <f>+'Exhibit I State'!K42+'Exhibit I Federal'!K25</f>
        <v>60.59999999999998</v>
      </c>
      <c r="L43" s="66"/>
      <c r="M43" s="659">
        <f>+'Exhibit I State'!M42+'Exhibit I Federal'!M25</f>
        <v>63.400000000000048</v>
      </c>
      <c r="N43" s="66"/>
      <c r="O43" s="659">
        <f>+'Exhibit I State'!O42+'Exhibit I Federal'!O25</f>
        <v>57.399999999999977</v>
      </c>
      <c r="P43" s="66"/>
      <c r="Q43" s="659">
        <f>+'Exhibit I State'!Q42+'Exhibit I Federal'!Q25</f>
        <v>60.700000000000031</v>
      </c>
      <c r="R43" s="66"/>
      <c r="S43" s="659">
        <f>+'Exhibit I State'!S42+'Exhibit I Federal'!S25</f>
        <v>60.299999999999969</v>
      </c>
      <c r="T43" s="66"/>
      <c r="U43" s="659">
        <f>+'Exhibit I State'!U42+'Exhibit I Federal'!U25</f>
        <v>59.600000000000023</v>
      </c>
      <c r="V43" s="66"/>
      <c r="W43" s="659">
        <f>+'Exhibit I State'!W42+'Exhibit I Federal'!W25</f>
        <v>59.899999999999963</v>
      </c>
      <c r="X43" s="66"/>
      <c r="Y43" s="659"/>
      <c r="Z43" s="66"/>
      <c r="AA43" s="659"/>
      <c r="AB43" s="170"/>
      <c r="AC43" s="170">
        <v>0</v>
      </c>
      <c r="AD43" s="66"/>
      <c r="AE43" s="57"/>
      <c r="AF43" s="1080">
        <f>ROUND(SUM(E43:AC43),1)</f>
        <v>550.4</v>
      </c>
      <c r="AG43" s="977"/>
      <c r="AH43" s="60"/>
      <c r="AI43" s="3464">
        <f>+'Exhibit I State'!AG42+'Exhibit I Federal'!AG25</f>
        <v>614.6</v>
      </c>
      <c r="AJ43" s="77"/>
      <c r="AK43" s="333"/>
      <c r="AL43" s="58">
        <f t="shared" si="0"/>
        <v>-64.2</v>
      </c>
      <c r="AM43" s="331"/>
      <c r="AN43" s="1426">
        <f>ROUND(IF(AI43=0,0,AL43/ABS(AI43)),3)</f>
        <v>-0.104</v>
      </c>
      <c r="AO43" s="325"/>
    </row>
    <row r="44" spans="1:44" ht="15.75">
      <c r="A44" s="31"/>
      <c r="B44" s="892" t="s">
        <v>1057</v>
      </c>
      <c r="C44" s="31"/>
      <c r="D44" s="31"/>
      <c r="E44" s="659">
        <f>+'Exhibit I State'!E43+'Exhibit I Federal'!E26</f>
        <v>0</v>
      </c>
      <c r="F44" s="1531"/>
      <c r="G44" s="659">
        <f>+'Exhibit I State'!G43+'Exhibit I Federal'!G26</f>
        <v>0</v>
      </c>
      <c r="H44" s="1531"/>
      <c r="I44" s="659">
        <f>+'Exhibit I State'!I43+'Exhibit I Federal'!I26</f>
        <v>0.5</v>
      </c>
      <c r="J44" s="1531"/>
      <c r="K44" s="659">
        <f>+'Exhibit I State'!K43+'Exhibit I Federal'!K26</f>
        <v>0</v>
      </c>
      <c r="L44" s="66"/>
      <c r="M44" s="659">
        <f>+'Exhibit I State'!M43+'Exhibit I Federal'!M26</f>
        <v>11</v>
      </c>
      <c r="N44" s="66"/>
      <c r="O44" s="659">
        <f>+'Exhibit I State'!O43+'Exhibit I Federal'!O26</f>
        <v>7.6999999999999993</v>
      </c>
      <c r="P44" s="66"/>
      <c r="Q44" s="659">
        <f>+'Exhibit I State'!Q43+'Exhibit I Federal'!Q26</f>
        <v>0.10000000000000142</v>
      </c>
      <c r="R44" s="66"/>
      <c r="S44" s="659">
        <f>+'Exhibit I State'!S43+'Exhibit I Federal'!S26</f>
        <v>0</v>
      </c>
      <c r="T44" s="66"/>
      <c r="U44" s="659">
        <f>+'Exhibit I State'!U43+'Exhibit I Federal'!U26</f>
        <v>0.80000000000000071</v>
      </c>
      <c r="V44" s="66"/>
      <c r="W44" s="659">
        <f>+'Exhibit I State'!W43+'Exhibit I Federal'!W26</f>
        <v>9.9999999999997868E-2</v>
      </c>
      <c r="X44" s="66"/>
      <c r="Y44" s="659"/>
      <c r="Z44" s="66"/>
      <c r="AA44" s="659"/>
      <c r="AB44" s="170"/>
      <c r="AC44" s="170">
        <v>0</v>
      </c>
      <c r="AD44" s="66"/>
      <c r="AE44" s="57"/>
      <c r="AF44" s="1080">
        <f t="shared" si="1"/>
        <v>20.2</v>
      </c>
      <c r="AG44" s="977"/>
      <c r="AH44" s="60"/>
      <c r="AI44" s="3465">
        <f>+'Exhibit I State'!AG43+'Exhibit I Federal'!AG26</f>
        <v>30.8</v>
      </c>
      <c r="AJ44" s="77"/>
      <c r="AK44" s="333"/>
      <c r="AL44" s="670">
        <f>ROUND(SUM(+AF44-AI44),1)</f>
        <v>-10.6</v>
      </c>
      <c r="AM44" s="943"/>
      <c r="AN44" s="1465">
        <f>ROUND(IF(AI44=0,1,AL44/ABS(AI44)),3)</f>
        <v>-0.34399999999999997</v>
      </c>
      <c r="AO44" s="325"/>
    </row>
    <row r="45" spans="1:44" ht="15.75">
      <c r="A45" s="31"/>
      <c r="B45" s="892" t="s">
        <v>1015</v>
      </c>
      <c r="C45" s="31"/>
      <c r="D45" s="31"/>
      <c r="E45" s="659">
        <f>+'Exhibit I State'!E44+'Exhibit I Federal'!E27</f>
        <v>2</v>
      </c>
      <c r="F45" s="1531"/>
      <c r="G45" s="659">
        <f>+'Exhibit I State'!G44+'Exhibit I Federal'!G27</f>
        <v>1.9</v>
      </c>
      <c r="H45" s="1531"/>
      <c r="I45" s="659">
        <f>+'Exhibit I State'!I44+'Exhibit I Federal'!I27</f>
        <v>2.0000000000000004</v>
      </c>
      <c r="J45" s="1531"/>
      <c r="K45" s="659">
        <f>+'Exhibit I State'!K44+'Exhibit I Federal'!K27</f>
        <v>1.2000000000000002</v>
      </c>
      <c r="L45" s="66"/>
      <c r="M45" s="659">
        <f>+'Exhibit I State'!M44+'Exhibit I Federal'!M27</f>
        <v>3.2</v>
      </c>
      <c r="N45" s="66"/>
      <c r="O45" s="659">
        <f>+'Exhibit I State'!O44+'Exhibit I Federal'!O27</f>
        <v>2.1999999999999993</v>
      </c>
      <c r="P45" s="66"/>
      <c r="Q45" s="659">
        <f>+'Exhibit I State'!Q44+'Exhibit I Federal'!Q27</f>
        <v>1.9000000000000004</v>
      </c>
      <c r="R45" s="66"/>
      <c r="S45" s="659">
        <f>+'Exhibit I State'!S44+'Exhibit I Federal'!S27</f>
        <v>1.3999999999999995</v>
      </c>
      <c r="T45" s="66"/>
      <c r="U45" s="659">
        <f>+'Exhibit I State'!U44+'Exhibit I Federal'!U27</f>
        <v>1.0999999999999979</v>
      </c>
      <c r="V45" s="66"/>
      <c r="W45" s="659">
        <f>+'Exhibit I State'!W44+'Exhibit I Federal'!W27</f>
        <v>2.5000000000000009</v>
      </c>
      <c r="X45" s="66"/>
      <c r="Y45" s="659"/>
      <c r="Z45" s="66"/>
      <c r="AA45" s="659"/>
      <c r="AB45" s="170"/>
      <c r="AC45" s="170">
        <v>0</v>
      </c>
      <c r="AD45" s="66"/>
      <c r="AE45" s="57"/>
      <c r="AF45" s="1080">
        <f t="shared" si="1"/>
        <v>19.399999999999999</v>
      </c>
      <c r="AG45" s="977"/>
      <c r="AH45" s="60"/>
      <c r="AI45" s="3464">
        <f>+'Exhibit I State'!AG44+'Exhibit I Federal'!AG27</f>
        <v>22.2</v>
      </c>
      <c r="AJ45" s="77"/>
      <c r="AK45" s="333"/>
      <c r="AL45" s="58">
        <f t="shared" si="0"/>
        <v>-2.8</v>
      </c>
      <c r="AM45" s="331"/>
      <c r="AN45" s="1479">
        <f>ROUND(IF(AI45=0,1,AL45/ABS(AI45)),3)</f>
        <v>-0.126</v>
      </c>
      <c r="AO45" s="325"/>
    </row>
    <row r="46" spans="1:44" ht="15.75">
      <c r="A46" s="31"/>
      <c r="B46" s="892" t="s">
        <v>1016</v>
      </c>
      <c r="C46" s="31"/>
      <c r="D46" s="31"/>
      <c r="E46" s="659">
        <f>+'Exhibit I State'!E45+'Exhibit I Federal'!E28</f>
        <v>0.7</v>
      </c>
      <c r="F46" s="1531"/>
      <c r="G46" s="659">
        <f>+'Exhibit I State'!G45+'Exhibit I Federal'!G28</f>
        <v>0.5</v>
      </c>
      <c r="H46" s="1531"/>
      <c r="I46" s="659">
        <f>+'Exhibit I State'!I45+'Exhibit I Federal'!I28</f>
        <v>0.10000000000000009</v>
      </c>
      <c r="J46" s="1531"/>
      <c r="K46" s="659">
        <f>+'Exhibit I State'!K45+'Exhibit I Federal'!K28</f>
        <v>0</v>
      </c>
      <c r="L46" s="66"/>
      <c r="M46" s="659">
        <f>+'Exhibit I State'!M45+'Exhibit I Federal'!M28</f>
        <v>9.9999999999999867E-2</v>
      </c>
      <c r="N46" s="66"/>
      <c r="O46" s="659">
        <f>+'Exhibit I State'!O45+'Exhibit I Federal'!O28</f>
        <v>0.10000000000000009</v>
      </c>
      <c r="P46" s="66"/>
      <c r="Q46" s="659">
        <f>+'Exhibit I State'!Q45+'Exhibit I Federal'!Q28</f>
        <v>0</v>
      </c>
      <c r="R46" s="66"/>
      <c r="S46" s="659">
        <f>+'Exhibit I State'!S45+'Exhibit I Federal'!S28</f>
        <v>0.10000000000000009</v>
      </c>
      <c r="T46" s="66"/>
      <c r="U46" s="659">
        <f>+'Exhibit I State'!U45+'Exhibit I Federal'!U28</f>
        <v>9.9999999999999867E-2</v>
      </c>
      <c r="V46" s="66"/>
      <c r="W46" s="659">
        <f>+'Exhibit I State'!W45+'Exhibit I Federal'!W28</f>
        <v>0</v>
      </c>
      <c r="X46" s="66"/>
      <c r="Y46" s="659"/>
      <c r="Z46" s="66"/>
      <c r="AA46" s="659"/>
      <c r="AB46" s="170"/>
      <c r="AC46" s="170">
        <v>0</v>
      </c>
      <c r="AD46" s="66"/>
      <c r="AE46" s="57"/>
      <c r="AF46" s="1080">
        <f>ROUND(SUM(E46:AC46),1)</f>
        <v>1.7</v>
      </c>
      <c r="AG46" s="977"/>
      <c r="AH46" s="60"/>
      <c r="AI46" s="3464">
        <f>+'Exhibit I State'!AG45+'Exhibit I Federal'!AG28</f>
        <v>9.6999999999999993</v>
      </c>
      <c r="AJ46" s="77"/>
      <c r="AK46" s="333"/>
      <c r="AL46" s="58">
        <f>ROUND(SUM(+AF46-AI46),1)</f>
        <v>-8</v>
      </c>
      <c r="AM46" s="331"/>
      <c r="AN46" s="1426">
        <f>ROUND(IF(AI46=0,1,AL46/ABS(AI46)),3)</f>
        <v>-0.82499999999999996</v>
      </c>
      <c r="AO46" s="325"/>
    </row>
    <row r="47" spans="1:44" ht="15.75">
      <c r="A47" s="31"/>
      <c r="B47" s="892" t="s">
        <v>1137</v>
      </c>
      <c r="C47" s="31"/>
      <c r="D47" s="31"/>
      <c r="E47" s="659"/>
      <c r="F47" s="1531"/>
      <c r="G47" s="659"/>
      <c r="H47" s="1531"/>
      <c r="I47" s="659"/>
      <c r="J47" s="1531"/>
      <c r="K47" s="659"/>
      <c r="L47" s="66"/>
      <c r="M47" s="659"/>
      <c r="N47" s="66"/>
      <c r="O47" s="659"/>
      <c r="P47" s="66"/>
      <c r="Q47" s="659"/>
      <c r="R47" s="66"/>
      <c r="S47" s="659"/>
      <c r="T47" s="66"/>
      <c r="U47" s="659"/>
      <c r="V47" s="66"/>
      <c r="W47" s="659"/>
      <c r="X47" s="66"/>
      <c r="Y47" s="659"/>
      <c r="Z47" s="66"/>
      <c r="AA47" s="659"/>
      <c r="AB47" s="170"/>
      <c r="AC47" s="170"/>
      <c r="AD47" s="66"/>
      <c r="AE47" s="57"/>
      <c r="AF47" s="1080"/>
      <c r="AG47" s="977"/>
      <c r="AH47" s="60"/>
      <c r="AI47" s="3464"/>
      <c r="AJ47" s="77"/>
      <c r="AK47" s="333"/>
      <c r="AL47" s="58"/>
      <c r="AM47" s="331"/>
      <c r="AN47" s="8"/>
      <c r="AO47" s="325"/>
    </row>
    <row r="48" spans="1:44" ht="15.75">
      <c r="A48" s="31"/>
      <c r="B48" s="892" t="s">
        <v>1061</v>
      </c>
      <c r="C48" s="31"/>
      <c r="D48" s="31"/>
      <c r="E48" s="659">
        <f>+'Exhibit I State'!E47+'Exhibit I Federal'!E30</f>
        <v>1122.0999999999999</v>
      </c>
      <c r="F48" s="1531"/>
      <c r="G48" s="659">
        <f>+'Exhibit I State'!G47+'Exhibit I Federal'!G30</f>
        <v>19.100000000000136</v>
      </c>
      <c r="H48" s="1531"/>
      <c r="I48" s="659">
        <f>+'Exhibit I State'!I47+'Exhibit I Federal'!I30</f>
        <v>342.39999999999986</v>
      </c>
      <c r="J48" s="1531"/>
      <c r="K48" s="659">
        <f>+'Exhibit I State'!K47+'Exhibit I Federal'!K30</f>
        <v>269.90000000000009</v>
      </c>
      <c r="L48" s="66"/>
      <c r="M48" s="659">
        <f>+'Exhibit I State'!M47+'Exhibit I Federal'!M30</f>
        <v>32.400000000000091</v>
      </c>
      <c r="N48" s="66"/>
      <c r="O48" s="659">
        <f>+'Exhibit I State'!O47+'Exhibit I Federal'!O30</f>
        <v>384.69999999999982</v>
      </c>
      <c r="P48" s="66"/>
      <c r="Q48" s="659">
        <f>+'Exhibit I State'!Q47+'Exhibit I Federal'!Q30</f>
        <v>895.80000000000018</v>
      </c>
      <c r="R48" s="66"/>
      <c r="S48" s="659">
        <f>+'Exhibit I State'!S47+'Exhibit I Federal'!S30</f>
        <v>1</v>
      </c>
      <c r="T48" s="66"/>
      <c r="U48" s="659">
        <f>+'Exhibit I State'!U47+'Exhibit I Federal'!U30</f>
        <v>981.90000000000055</v>
      </c>
      <c r="V48" s="66"/>
      <c r="W48" s="659">
        <f>+'Exhibit I State'!W47+'Exhibit I Federal'!W30</f>
        <v>3.8999999999996362</v>
      </c>
      <c r="X48" s="66"/>
      <c r="Y48" s="659"/>
      <c r="Z48" s="66"/>
      <c r="AA48" s="659"/>
      <c r="AB48" s="170"/>
      <c r="AC48" s="170">
        <v>0</v>
      </c>
      <c r="AD48" s="66"/>
      <c r="AE48" s="57"/>
      <c r="AF48" s="1080">
        <f>ROUND(SUM(E48:AC48),1)</f>
        <v>4053.2</v>
      </c>
      <c r="AG48" s="977"/>
      <c r="AH48" s="60"/>
      <c r="AI48" s="3464">
        <f>+'Exhibit I State'!AG47+'Exhibit I Federal'!AG30</f>
        <v>3543.1</v>
      </c>
      <c r="AJ48" s="77"/>
      <c r="AK48" s="333"/>
      <c r="AL48" s="58">
        <f t="shared" si="0"/>
        <v>510.1</v>
      </c>
      <c r="AM48" s="331"/>
      <c r="AN48" s="1877">
        <f>ROUND(IF(AI48=0,1,AL48/ABS(AI48)),3)</f>
        <v>0.14399999999999999</v>
      </c>
      <c r="AO48" s="325"/>
    </row>
    <row r="49" spans="1:41" ht="15.75">
      <c r="A49" s="31"/>
      <c r="B49" s="892" t="s">
        <v>1063</v>
      </c>
      <c r="C49" s="31"/>
      <c r="D49" s="31"/>
      <c r="E49" s="659">
        <f>+'Exhibit I State'!E48+'Exhibit I Federal'!E31</f>
        <v>0</v>
      </c>
      <c r="F49" s="659">
        <v>0</v>
      </c>
      <c r="G49" s="1122">
        <f>+'Exhibit I State'!G48+'Exhibit I Federal'!G31</f>
        <v>0</v>
      </c>
      <c r="H49" s="659"/>
      <c r="I49" s="1122">
        <f>+'Exhibit I State'!I48+'Exhibit I Federal'!I31</f>
        <v>0</v>
      </c>
      <c r="J49" s="659"/>
      <c r="K49" s="1122">
        <f>+'Exhibit I State'!K48+'Exhibit I Federal'!K31</f>
        <v>0</v>
      </c>
      <c r="L49" s="170"/>
      <c r="M49" s="659">
        <f>+'Exhibit I State'!M48+'Exhibit I Federal'!M31</f>
        <v>0</v>
      </c>
      <c r="N49" s="170"/>
      <c r="O49" s="659">
        <f>+'Exhibit I State'!O48+'Exhibit I Federal'!O31</f>
        <v>0</v>
      </c>
      <c r="P49" s="170"/>
      <c r="Q49" s="659">
        <f>+'Exhibit I State'!Q48+'Exhibit I Federal'!Q31</f>
        <v>0</v>
      </c>
      <c r="R49" s="66"/>
      <c r="S49" s="659">
        <f>+'Exhibit I State'!S48+'Exhibit I Federal'!S31</f>
        <v>0</v>
      </c>
      <c r="T49" s="66"/>
      <c r="U49" s="659">
        <f>+'Exhibit I State'!U48+'Exhibit I Federal'!U31</f>
        <v>0</v>
      </c>
      <c r="V49" s="66"/>
      <c r="W49" s="659">
        <f>+'Exhibit I State'!W48+'Exhibit I Federal'!W31</f>
        <v>0</v>
      </c>
      <c r="X49" s="66"/>
      <c r="Y49" s="659"/>
      <c r="Z49" s="66"/>
      <c r="AA49" s="659"/>
      <c r="AB49" s="170"/>
      <c r="AC49" s="170">
        <v>0</v>
      </c>
      <c r="AD49" s="66"/>
      <c r="AE49" s="57"/>
      <c r="AF49" s="1080">
        <f>ROUND(SUM(E49:AC49),1)</f>
        <v>0</v>
      </c>
      <c r="AG49" s="1480"/>
      <c r="AH49" s="60"/>
      <c r="AI49" s="3464">
        <f>+'Exhibit I State'!AG48+'Exhibit I Federal'!AG31</f>
        <v>0</v>
      </c>
      <c r="AJ49" s="77"/>
      <c r="AK49" s="333"/>
      <c r="AL49" s="58">
        <f t="shared" si="0"/>
        <v>0</v>
      </c>
      <c r="AM49" s="331"/>
      <c r="AN49" s="1426">
        <f>ROUND(IF(AI49=0,0,AL49/ABS(AI49)),3)</f>
        <v>0</v>
      </c>
      <c r="AO49" s="325"/>
    </row>
    <row r="50" spans="1:41" ht="15.75">
      <c r="A50" s="31"/>
      <c r="B50" s="892" t="s">
        <v>1064</v>
      </c>
      <c r="C50" s="31"/>
      <c r="D50" s="31"/>
      <c r="E50" s="659">
        <f>+'Exhibit I State'!E49+'Exhibit I Federal'!E32</f>
        <v>0.1</v>
      </c>
      <c r="F50" s="1531"/>
      <c r="G50" s="659">
        <f>+'Exhibit I State'!G49+'Exhibit I Federal'!G32</f>
        <v>0</v>
      </c>
      <c r="H50" s="1531"/>
      <c r="I50" s="659">
        <f>+'Exhibit I State'!I49+'Exhibit I Federal'!I32</f>
        <v>0.5</v>
      </c>
      <c r="J50" s="1531"/>
      <c r="K50" s="659">
        <f>+'Exhibit I State'!K49+'Exhibit I Federal'!K32</f>
        <v>9.9999999999999978E-2</v>
      </c>
      <c r="L50" s="66"/>
      <c r="M50" s="659">
        <f>+'Exhibit I State'!M49+'Exhibit I Federal'!M32</f>
        <v>0.49999999999999989</v>
      </c>
      <c r="N50" s="66"/>
      <c r="O50" s="659">
        <f>+'Exhibit I State'!O49+'Exhibit I Federal'!O32</f>
        <v>0.10000000000000009</v>
      </c>
      <c r="P50" s="66"/>
      <c r="Q50" s="659">
        <f>+'Exhibit I State'!Q49+'Exhibit I Federal'!Q32</f>
        <v>0.39999999999999991</v>
      </c>
      <c r="R50" s="66"/>
      <c r="S50" s="659">
        <f>+'Exhibit I State'!S49+'Exhibit I Federal'!S32</f>
        <v>0</v>
      </c>
      <c r="T50" s="66"/>
      <c r="U50" s="659">
        <f>+'Exhibit I State'!U49+'Exhibit I Federal'!U32</f>
        <v>0.4</v>
      </c>
      <c r="V50" s="66"/>
      <c r="W50" s="659">
        <f>+'Exhibit I State'!W49+'Exhibit I Federal'!W32</f>
        <v>15.199999999999998</v>
      </c>
      <c r="X50" s="66"/>
      <c r="Y50" s="659"/>
      <c r="Z50" s="66"/>
      <c r="AA50" s="659"/>
      <c r="AB50" s="170"/>
      <c r="AC50" s="170">
        <v>0</v>
      </c>
      <c r="AD50" s="66"/>
      <c r="AE50" s="57"/>
      <c r="AF50" s="1080">
        <f>ROUND(SUM(E50:AC50),1)</f>
        <v>17.3</v>
      </c>
      <c r="AG50" s="977"/>
      <c r="AH50" s="60"/>
      <c r="AI50" s="3464">
        <f>+'Exhibit I State'!AG49+'Exhibit I Federal'!AG32</f>
        <v>52.3</v>
      </c>
      <c r="AJ50" s="77"/>
      <c r="AK50" s="333"/>
      <c r="AL50" s="58">
        <f t="shared" si="0"/>
        <v>-35</v>
      </c>
      <c r="AM50" s="331"/>
      <c r="AN50" s="1557">
        <f>ROUND(IF(AI50=0,1,AL50/ABS(AI50)),3)</f>
        <v>-0.66900000000000004</v>
      </c>
      <c r="AO50" s="325"/>
    </row>
    <row r="51" spans="1:41" ht="15.75">
      <c r="A51" s="31"/>
      <c r="B51" s="892" t="s">
        <v>1034</v>
      </c>
      <c r="C51" s="31"/>
      <c r="D51" s="31"/>
      <c r="E51" s="659">
        <f>+'Exhibit I State'!E50+'Exhibit I Federal'!E33</f>
        <v>0</v>
      </c>
      <c r="F51" s="1531"/>
      <c r="G51" s="659">
        <f>+'Exhibit I State'!G50+'Exhibit I Federal'!G33</f>
        <v>0</v>
      </c>
      <c r="H51" s="1531"/>
      <c r="I51" s="659">
        <f>+'Exhibit I State'!I50+'Exhibit I Federal'!I33</f>
        <v>0.1</v>
      </c>
      <c r="J51" s="1531"/>
      <c r="K51" s="659">
        <f>+'Exhibit I State'!K50+'Exhibit I Federal'!K33</f>
        <v>0</v>
      </c>
      <c r="L51" s="66"/>
      <c r="M51" s="659">
        <f>+'Exhibit I State'!M50+'Exhibit I Federal'!M33</f>
        <v>0.30000000000000004</v>
      </c>
      <c r="N51" s="66"/>
      <c r="O51" s="659">
        <f>+'Exhibit I State'!O50+'Exhibit I Federal'!O33</f>
        <v>0</v>
      </c>
      <c r="P51" s="66"/>
      <c r="Q51" s="659">
        <f>+'Exhibit I State'!Q50+'Exhibit I Federal'!Q33</f>
        <v>9.9999999999999978E-2</v>
      </c>
      <c r="R51" s="66"/>
      <c r="S51" s="659">
        <f>+'Exhibit I State'!S50+'Exhibit I Federal'!S33</f>
        <v>0</v>
      </c>
      <c r="T51" s="66"/>
      <c r="U51" s="659">
        <f>+'Exhibit I State'!U50+'Exhibit I Federal'!U33</f>
        <v>0</v>
      </c>
      <c r="V51" s="66"/>
      <c r="W51" s="659">
        <f>+'Exhibit I State'!W50+'Exhibit I Federal'!W33</f>
        <v>9.9999999999999978E-2</v>
      </c>
      <c r="X51" s="66"/>
      <c r="Y51" s="659"/>
      <c r="Z51" s="66"/>
      <c r="AA51" s="659"/>
      <c r="AB51" s="170"/>
      <c r="AC51" s="170">
        <v>0</v>
      </c>
      <c r="AD51" s="66"/>
      <c r="AE51" s="57"/>
      <c r="AF51" s="1080">
        <f>ROUND(SUM(E51:AC51),1)</f>
        <v>0.6</v>
      </c>
      <c r="AG51" s="977"/>
      <c r="AH51" s="60"/>
      <c r="AI51" s="3464">
        <f>+'Exhibit I State'!AG50+'Exhibit I Federal'!AG33</f>
        <v>3.1</v>
      </c>
      <c r="AJ51" s="77"/>
      <c r="AK51" s="333"/>
      <c r="AL51" s="58">
        <f t="shared" si="0"/>
        <v>-2.5</v>
      </c>
      <c r="AM51" s="331"/>
      <c r="AN51" s="8">
        <f>ROUND(IF(AI51=0,0,AL51/ABS(AI51)),3)</f>
        <v>-0.80600000000000005</v>
      </c>
      <c r="AO51" s="325"/>
    </row>
    <row r="52" spans="1:41" ht="15.75">
      <c r="A52" s="31"/>
      <c r="B52" s="892" t="s">
        <v>1035</v>
      </c>
      <c r="C52" s="31"/>
      <c r="D52" s="31"/>
      <c r="E52" s="659">
        <f>+'Exhibit I State'!E51+'Exhibit I Federal'!E34</f>
        <v>0.5</v>
      </c>
      <c r="F52" s="1531"/>
      <c r="G52" s="659">
        <f>+'Exhibit I State'!G51+'Exhibit I Federal'!G34</f>
        <v>1.1000000000000001</v>
      </c>
      <c r="H52" s="1531"/>
      <c r="I52" s="659">
        <f>+'Exhibit I State'!I51+'Exhibit I Federal'!I34</f>
        <v>2.1</v>
      </c>
      <c r="J52" s="1531"/>
      <c r="K52" s="659">
        <f>+'Exhibit I State'!K51+'Exhibit I Federal'!K34</f>
        <v>2.1999999999999993</v>
      </c>
      <c r="L52" s="66"/>
      <c r="M52" s="659">
        <f>+'Exhibit I State'!M51+'Exhibit I Federal'!M34</f>
        <v>3.8000000000000012</v>
      </c>
      <c r="N52" s="66"/>
      <c r="O52" s="659">
        <f>+'Exhibit I State'!O51+'Exhibit I Federal'!O34</f>
        <v>1.1999999999999997</v>
      </c>
      <c r="P52" s="66"/>
      <c r="Q52" s="659">
        <f>+'Exhibit I State'!Q51+'Exhibit I Federal'!Q34</f>
        <v>0.79999999999999927</v>
      </c>
      <c r="R52" s="66"/>
      <c r="S52" s="659">
        <f>+'Exhibit I State'!S51+'Exhibit I Federal'!S34</f>
        <v>0.90000000000000069</v>
      </c>
      <c r="T52" s="66"/>
      <c r="U52" s="659">
        <f>+'Exhibit I State'!U51+'Exhibit I Federal'!U34</f>
        <v>0.90000000000000069</v>
      </c>
      <c r="V52" s="66"/>
      <c r="W52" s="659">
        <f>+'Exhibit I State'!W51+'Exhibit I Federal'!W34</f>
        <v>1.5999999999999996</v>
      </c>
      <c r="X52" s="66"/>
      <c r="Y52" s="659"/>
      <c r="Z52" s="66"/>
      <c r="AA52" s="659"/>
      <c r="AB52" s="170"/>
      <c r="AC52" s="170">
        <v>0</v>
      </c>
      <c r="AD52" s="66"/>
      <c r="AE52" s="57"/>
      <c r="AF52" s="1080">
        <f>ROUND(SUM(E52:AC52),1)</f>
        <v>15.1</v>
      </c>
      <c r="AG52" s="977"/>
      <c r="AH52" s="60"/>
      <c r="AI52" s="3466">
        <f>+'Exhibit I State'!AG51+'Exhibit I Federal'!AG34</f>
        <v>8.1</v>
      </c>
      <c r="AJ52" s="77"/>
      <c r="AK52" s="333"/>
      <c r="AL52" s="58">
        <f t="shared" si="0"/>
        <v>7</v>
      </c>
      <c r="AM52" s="331"/>
      <c r="AN52" s="8">
        <f>ROUND(IF(AI52=0,0,AL52/ABS(AI52)),3)</f>
        <v>0.86399999999999999</v>
      </c>
      <c r="AO52" s="325"/>
    </row>
    <row r="53" spans="1:41" ht="15.75">
      <c r="A53" s="31"/>
      <c r="B53" s="892" t="s">
        <v>1138</v>
      </c>
      <c r="C53" s="31"/>
      <c r="D53" s="31"/>
      <c r="E53" s="659"/>
      <c r="F53" s="1531"/>
      <c r="G53" s="659"/>
      <c r="H53" s="1531"/>
      <c r="I53" s="659"/>
      <c r="J53" s="1531"/>
      <c r="K53" s="659"/>
      <c r="L53" s="66"/>
      <c r="M53" s="659"/>
      <c r="N53" s="66"/>
      <c r="O53" s="659"/>
      <c r="P53" s="66"/>
      <c r="Q53" s="659"/>
      <c r="R53" s="66"/>
      <c r="S53" s="659"/>
      <c r="T53" s="66"/>
      <c r="U53" s="659"/>
      <c r="V53" s="66"/>
      <c r="W53" s="659"/>
      <c r="X53" s="66"/>
      <c r="Y53" s="659"/>
      <c r="Z53" s="66"/>
      <c r="AA53" s="659"/>
      <c r="AB53" s="170"/>
      <c r="AC53" s="659" t="s">
        <v>15</v>
      </c>
      <c r="AD53" s="66"/>
      <c r="AE53" s="57"/>
      <c r="AF53" s="1080"/>
      <c r="AG53" s="977"/>
      <c r="AH53" s="60"/>
      <c r="AI53" s="3464"/>
      <c r="AJ53" s="77"/>
      <c r="AK53" s="333"/>
      <c r="AL53" s="58"/>
      <c r="AM53" s="331"/>
      <c r="AN53" s="8"/>
      <c r="AO53" s="325"/>
    </row>
    <row r="54" spans="1:41" ht="15.75">
      <c r="A54" s="31"/>
      <c r="B54" s="892" t="s">
        <v>1065</v>
      </c>
      <c r="C54" s="31"/>
      <c r="D54" s="31"/>
      <c r="E54" s="659">
        <f>+'Exhibit I State'!E53+'Exhibit I Federal'!E36</f>
        <v>0</v>
      </c>
      <c r="F54" s="1531"/>
      <c r="G54" s="659">
        <f>+'Exhibit I State'!G53+'Exhibit I Federal'!G36</f>
        <v>0</v>
      </c>
      <c r="H54" s="1531"/>
      <c r="I54" s="659">
        <f>+'Exhibit I State'!I53+'Exhibit I Federal'!I36</f>
        <v>0</v>
      </c>
      <c r="J54" s="1531"/>
      <c r="K54" s="659">
        <f>+'Exhibit I State'!K53+'Exhibit I Federal'!K36</f>
        <v>0</v>
      </c>
      <c r="L54" s="66"/>
      <c r="M54" s="659">
        <f>+'Exhibit I State'!M53+'Exhibit I Federal'!M36</f>
        <v>0</v>
      </c>
      <c r="N54" s="66"/>
      <c r="O54" s="659">
        <f>+'Exhibit I State'!O53+'Exhibit I Federal'!O36</f>
        <v>0</v>
      </c>
      <c r="P54" s="66"/>
      <c r="Q54" s="659">
        <f>+'Exhibit I State'!Q53+'Exhibit I Federal'!Q36</f>
        <v>0</v>
      </c>
      <c r="R54" s="66"/>
      <c r="S54" s="659">
        <f>+'Exhibit I State'!S53+'Exhibit I Federal'!S36</f>
        <v>0</v>
      </c>
      <c r="T54" s="66"/>
      <c r="U54" s="659">
        <f>+'Exhibit I State'!U53+'Exhibit I Federal'!U36</f>
        <v>0</v>
      </c>
      <c r="V54" s="66"/>
      <c r="W54" s="659">
        <f>+'Exhibit I State'!W53+'Exhibit I Federal'!W36</f>
        <v>0</v>
      </c>
      <c r="X54" s="66"/>
      <c r="Y54" s="659"/>
      <c r="Z54" s="66"/>
      <c r="AA54" s="659"/>
      <c r="AB54" s="170"/>
      <c r="AC54" s="357">
        <v>0</v>
      </c>
      <c r="AD54" s="118"/>
      <c r="AE54" s="678"/>
      <c r="AF54" s="1080">
        <f t="shared" ref="AF54:AF58" si="2">ROUND(SUM(E54:AC54),1)</f>
        <v>0</v>
      </c>
      <c r="AG54" s="1106"/>
      <c r="AH54" s="68"/>
      <c r="AI54" s="3464">
        <f>+'Exhibit I State'!AG53+'Exhibit I Federal'!AG36</f>
        <v>0</v>
      </c>
      <c r="AJ54" s="77"/>
      <c r="AK54" s="333"/>
      <c r="AL54" s="670">
        <f>ROUND(SUM(+AF54-AI54),1)</f>
        <v>0</v>
      </c>
      <c r="AM54" s="943"/>
      <c r="AN54" s="1426">
        <f>ROUND(IF(AI54=0,0,AL54/ABS(AI54)),3)</f>
        <v>0</v>
      </c>
      <c r="AO54" s="325"/>
    </row>
    <row r="55" spans="1:41" ht="15.75">
      <c r="A55" s="31"/>
      <c r="B55" s="892" t="s">
        <v>1067</v>
      </c>
      <c r="C55" s="31"/>
      <c r="D55" s="31"/>
      <c r="E55" s="659">
        <f>+'Exhibit I State'!E54+'Exhibit I Federal'!E37</f>
        <v>0</v>
      </c>
      <c r="F55" s="1531"/>
      <c r="G55" s="659">
        <f>+'Exhibit I State'!G54+'Exhibit I Federal'!G37</f>
        <v>0.7</v>
      </c>
      <c r="H55" s="1531"/>
      <c r="I55" s="659">
        <f>+'Exhibit I State'!I54+'Exhibit I Federal'!I37</f>
        <v>5.8</v>
      </c>
      <c r="J55" s="1531"/>
      <c r="K55" s="659">
        <f>+'Exhibit I State'!K54+'Exhibit I Federal'!K37</f>
        <v>0</v>
      </c>
      <c r="L55" s="66"/>
      <c r="M55" s="659">
        <f>+'Exhibit I State'!M54+'Exhibit I Federal'!M37</f>
        <v>1.2999999999999998</v>
      </c>
      <c r="N55" s="66"/>
      <c r="O55" s="659">
        <f>+'Exhibit I State'!O54+'Exhibit I Federal'!O37</f>
        <v>1.6000000000000014</v>
      </c>
      <c r="P55" s="66"/>
      <c r="Q55" s="659">
        <f>+'Exhibit I State'!Q54+'Exhibit I Federal'!Q37</f>
        <v>0.79999999999999893</v>
      </c>
      <c r="R55" s="66"/>
      <c r="S55" s="659">
        <f>+'Exhibit I State'!S54+'Exhibit I Federal'!S37</f>
        <v>0.40000000000000036</v>
      </c>
      <c r="T55" s="66"/>
      <c r="U55" s="659">
        <f>+'Exhibit I State'!U54+'Exhibit I Federal'!U37</f>
        <v>1.7000000000000011</v>
      </c>
      <c r="V55" s="66"/>
      <c r="W55" s="659">
        <f>+'Exhibit I State'!W54+'Exhibit I Federal'!W37</f>
        <v>9.9999999999999645E-2</v>
      </c>
      <c r="X55" s="66"/>
      <c r="Y55" s="659"/>
      <c r="Z55" s="66"/>
      <c r="AA55" s="659"/>
      <c r="AB55" s="170"/>
      <c r="AC55" s="357">
        <v>0</v>
      </c>
      <c r="AD55" s="118"/>
      <c r="AE55" s="678"/>
      <c r="AF55" s="1080">
        <f t="shared" si="2"/>
        <v>12.4</v>
      </c>
      <c r="AG55" s="1106"/>
      <c r="AH55" s="68"/>
      <c r="AI55" s="3464">
        <f>+'Exhibit I State'!AG54+'Exhibit I Federal'!AG37</f>
        <v>20.399999999999999</v>
      </c>
      <c r="AJ55" s="77"/>
      <c r="AK55" s="333"/>
      <c r="AL55" s="670">
        <f>ROUND(SUM(+AF55-AI55),1)</f>
        <v>-8</v>
      </c>
      <c r="AM55" s="943"/>
      <c r="AN55" s="1465">
        <f>ROUND(IF(AI55=0,1,AL55/ABS(AI55)),3)</f>
        <v>-0.39200000000000002</v>
      </c>
      <c r="AO55" s="325"/>
    </row>
    <row r="56" spans="1:41" ht="15.75">
      <c r="A56" s="31"/>
      <c r="B56" s="892" t="s">
        <v>1068</v>
      </c>
      <c r="C56" s="31"/>
      <c r="D56" s="31"/>
      <c r="E56" s="659">
        <f>+'Exhibit I State'!E55+'Exhibit I Federal'!E38</f>
        <v>0</v>
      </c>
      <c r="F56" s="1531"/>
      <c r="G56" s="659">
        <f>+'Exhibit I State'!G55+'Exhibit I Federal'!G38</f>
        <v>0</v>
      </c>
      <c r="H56" s="1531"/>
      <c r="I56" s="659">
        <f>+'Exhibit I State'!I55+'Exhibit I Federal'!I38</f>
        <v>0</v>
      </c>
      <c r="J56" s="1531"/>
      <c r="K56" s="659">
        <f>+'Exhibit I State'!K55+'Exhibit I Federal'!K38</f>
        <v>0</v>
      </c>
      <c r="L56" s="66"/>
      <c r="M56" s="659">
        <f>+'Exhibit I State'!M55+'Exhibit I Federal'!M38</f>
        <v>0</v>
      </c>
      <c r="N56" s="66"/>
      <c r="O56" s="659">
        <f>+'Exhibit I State'!O55+'Exhibit I Federal'!O38</f>
        <v>0</v>
      </c>
      <c r="P56" s="66"/>
      <c r="Q56" s="659">
        <f>+'Exhibit I State'!Q55+'Exhibit I Federal'!Q38</f>
        <v>0</v>
      </c>
      <c r="R56" s="66"/>
      <c r="S56" s="659">
        <f>+'Exhibit I State'!S55+'Exhibit I Federal'!S38</f>
        <v>0</v>
      </c>
      <c r="T56" s="66"/>
      <c r="U56" s="659">
        <f>+'Exhibit I State'!U55+'Exhibit I Federal'!U38</f>
        <v>0</v>
      </c>
      <c r="V56" s="66"/>
      <c r="W56" s="659">
        <f>+'Exhibit I State'!W55+'Exhibit I Federal'!W38</f>
        <v>0</v>
      </c>
      <c r="X56" s="66"/>
      <c r="Y56" s="659"/>
      <c r="Z56" s="66"/>
      <c r="AA56" s="659"/>
      <c r="AB56" s="170"/>
      <c r="AC56" s="357">
        <v>0</v>
      </c>
      <c r="AD56" s="118"/>
      <c r="AE56" s="678"/>
      <c r="AF56" s="1080">
        <f t="shared" si="2"/>
        <v>0</v>
      </c>
      <c r="AG56" s="2194"/>
      <c r="AH56" s="68"/>
      <c r="AI56" s="3464">
        <f>+'Exhibit I State'!AG55+'Exhibit I Federal'!AG38</f>
        <v>-0.9</v>
      </c>
      <c r="AJ56" s="77"/>
      <c r="AK56" s="333"/>
      <c r="AL56" s="670">
        <f>ROUND(SUM(+AF56-AI56),1)</f>
        <v>0.9</v>
      </c>
      <c r="AM56" s="943"/>
      <c r="AN56" s="1426">
        <f>ROUND(IF(AI56=0,-1,AL56/ABS(AI56)),3)</f>
        <v>1</v>
      </c>
      <c r="AO56" s="325"/>
    </row>
    <row r="57" spans="1:41" ht="15.75">
      <c r="A57" s="31"/>
      <c r="B57" s="892" t="s">
        <v>1070</v>
      </c>
      <c r="C57" s="31"/>
      <c r="D57" s="31"/>
      <c r="E57" s="659">
        <f>+'Exhibit I State'!E56</f>
        <v>0</v>
      </c>
      <c r="F57" s="1531"/>
      <c r="G57" s="659">
        <f>+'Exhibit I State'!G56</f>
        <v>0</v>
      </c>
      <c r="H57" s="1531"/>
      <c r="I57" s="659">
        <f>+'Exhibit I State'!I56</f>
        <v>0</v>
      </c>
      <c r="J57" s="1531"/>
      <c r="K57" s="659">
        <f>+'Exhibit I State'!K56</f>
        <v>0</v>
      </c>
      <c r="L57" s="66"/>
      <c r="M57" s="659">
        <f>+'Exhibit I State'!M56</f>
        <v>0</v>
      </c>
      <c r="N57" s="66"/>
      <c r="O57" s="659">
        <f>+'Exhibit I State'!O56</f>
        <v>0</v>
      </c>
      <c r="P57" s="66"/>
      <c r="Q57" s="659">
        <f>+'Exhibit I State'!Q56</f>
        <v>0</v>
      </c>
      <c r="R57" s="66"/>
      <c r="S57" s="659">
        <f>+'Exhibit I State'!S56</f>
        <v>0</v>
      </c>
      <c r="T57" s="66"/>
      <c r="U57" s="659">
        <f>+'Exhibit I State'!U56</f>
        <v>0</v>
      </c>
      <c r="V57" s="66"/>
      <c r="W57" s="659">
        <f>+'Exhibit I State'!W56</f>
        <v>0</v>
      </c>
      <c r="X57" s="66"/>
      <c r="Y57" s="659"/>
      <c r="Z57" s="66"/>
      <c r="AA57" s="659"/>
      <c r="AB57" s="170"/>
      <c r="AC57" s="357">
        <v>0</v>
      </c>
      <c r="AD57" s="118"/>
      <c r="AE57" s="678"/>
      <c r="AF57" s="1080">
        <f t="shared" si="2"/>
        <v>0</v>
      </c>
      <c r="AG57" s="2195"/>
      <c r="AH57" s="68"/>
      <c r="AI57" s="3464">
        <f>+'Exhibit I State'!AG56</f>
        <v>0.2</v>
      </c>
      <c r="AJ57" s="77"/>
      <c r="AK57" s="333"/>
      <c r="AL57" s="670">
        <f>ROUND(SUM(+AF57-AI57),1)</f>
        <v>-0.2</v>
      </c>
      <c r="AM57" s="943"/>
      <c r="AN57" s="1426">
        <f>ROUND(IF(AI57=0,0,AL57/ABS(AI57)),3)</f>
        <v>-1</v>
      </c>
      <c r="AO57" s="325"/>
    </row>
    <row r="58" spans="1:41" ht="15.75">
      <c r="A58" s="31"/>
      <c r="B58" s="892" t="s">
        <v>1071</v>
      </c>
      <c r="C58" s="31"/>
      <c r="D58" s="31"/>
      <c r="E58" s="659">
        <f>+'Exhibit I State'!E57+'Exhibit I Federal'!E39</f>
        <v>3.1</v>
      </c>
      <c r="F58" s="1531"/>
      <c r="G58" s="659">
        <f>+'Exhibit I State'!G57+'Exhibit I Federal'!G39</f>
        <v>0.19999999999999973</v>
      </c>
      <c r="H58" s="1531"/>
      <c r="I58" s="659">
        <f>+'Exhibit I State'!I57+'Exhibit I Federal'!I39</f>
        <v>0</v>
      </c>
      <c r="J58" s="1531"/>
      <c r="K58" s="659">
        <f>+'Exhibit I State'!K57+'Exhibit I Federal'!K39</f>
        <v>0.10000000000000009</v>
      </c>
      <c r="L58" s="66"/>
      <c r="M58" s="659">
        <f>+'Exhibit I State'!M57+'Exhibit I Federal'!M39</f>
        <v>0.89999999999999991</v>
      </c>
      <c r="N58" s="66"/>
      <c r="O58" s="659">
        <f>+'Exhibit I State'!O57+'Exhibit I Federal'!O39</f>
        <v>1.4000000000000004</v>
      </c>
      <c r="P58" s="66"/>
      <c r="Q58" s="659">
        <f>+'Exhibit I State'!Q57+'Exhibit I Federal'!Q39</f>
        <v>3.3000000000000007</v>
      </c>
      <c r="R58" s="66"/>
      <c r="S58" s="659">
        <f>+'Exhibit I State'!S57+'Exhibit I Federal'!S39</f>
        <v>0.40000000000000036</v>
      </c>
      <c r="T58" s="66"/>
      <c r="U58" s="659">
        <f>+'Exhibit I State'!U57+'Exhibit I Federal'!U39</f>
        <v>0.79999999999999893</v>
      </c>
      <c r="V58" s="66"/>
      <c r="W58" s="659">
        <f>+'Exhibit I State'!W57+'Exhibit I Federal'!W39</f>
        <v>0.90000000000000036</v>
      </c>
      <c r="X58" s="66"/>
      <c r="Y58" s="659"/>
      <c r="Z58" s="66"/>
      <c r="AA58" s="659"/>
      <c r="AB58" s="170"/>
      <c r="AC58" s="357">
        <v>0</v>
      </c>
      <c r="AD58" s="118"/>
      <c r="AE58" s="678"/>
      <c r="AF58" s="1080">
        <f t="shared" si="2"/>
        <v>11.1</v>
      </c>
      <c r="AG58" s="1106"/>
      <c r="AH58" s="68"/>
      <c r="AI58" s="3464">
        <f>+'Exhibit I State'!AG57+'Exhibit I Federal'!AG39</f>
        <v>12</v>
      </c>
      <c r="AJ58" s="77"/>
      <c r="AK58" s="333"/>
      <c r="AL58" s="58">
        <f t="shared" si="0"/>
        <v>-0.9</v>
      </c>
      <c r="AM58" s="331"/>
      <c r="AN58" s="1877">
        <f>ROUND(IF(AI58=0,1,AL58/ABS(AI58)),3)</f>
        <v>-7.4999999999999997E-2</v>
      </c>
      <c r="AO58" s="325"/>
    </row>
    <row r="59" spans="1:41" ht="15.75">
      <c r="A59" s="31"/>
      <c r="B59" s="892" t="s">
        <v>1073</v>
      </c>
      <c r="C59" s="31"/>
      <c r="D59" s="31"/>
      <c r="E59" s="659">
        <f>+'Exhibit I State'!E58+'Exhibit I Federal'!E40</f>
        <v>0.3</v>
      </c>
      <c r="F59" s="1531"/>
      <c r="G59" s="659">
        <f>+'Exhibit I State'!G58+'Exhibit I Federal'!G40</f>
        <v>1.8</v>
      </c>
      <c r="H59" s="1531"/>
      <c r="I59" s="659">
        <f>+'Exhibit I State'!I58+'Exhibit I Federal'!I40</f>
        <v>11.999999999999998</v>
      </c>
      <c r="J59" s="1531"/>
      <c r="K59" s="659">
        <f>+'Exhibit I State'!K58+'Exhibit I Federal'!K40</f>
        <v>0.20000000000000107</v>
      </c>
      <c r="L59" s="66"/>
      <c r="M59" s="659">
        <f>+'Exhibit I State'!M58+'Exhibit I Federal'!M40</f>
        <v>0.69999999999999929</v>
      </c>
      <c r="N59" s="66"/>
      <c r="O59" s="659">
        <f>+'Exhibit I State'!O58+'Exhibit I Federal'!O40</f>
        <v>13.7</v>
      </c>
      <c r="P59" s="66"/>
      <c r="Q59" s="659">
        <f>+'Exhibit I State'!Q58+'Exhibit I Federal'!Q40</f>
        <v>4.7000000000000028</v>
      </c>
      <c r="R59" s="66"/>
      <c r="S59" s="659">
        <f>+'Exhibit I State'!S58+'Exhibit I Federal'!S40</f>
        <v>1.3000000000000043</v>
      </c>
      <c r="T59" s="66"/>
      <c r="U59" s="659">
        <f>+'Exhibit I State'!U58+'Exhibit I Federal'!U40</f>
        <v>0.79999999999999716</v>
      </c>
      <c r="V59" s="66"/>
      <c r="W59" s="659">
        <f>+'Exhibit I State'!W58+'Exhibit I Federal'!W40</f>
        <v>-12.800000000000004</v>
      </c>
      <c r="X59" s="66"/>
      <c r="Y59" s="659"/>
      <c r="Z59" s="66"/>
      <c r="AA59" s="659"/>
      <c r="AB59" s="170"/>
      <c r="AC59" s="357">
        <v>0</v>
      </c>
      <c r="AD59" s="118"/>
      <c r="AE59" s="678"/>
      <c r="AF59" s="1080">
        <f>ROUND(SUM(E59:AC59),1)</f>
        <v>22.7</v>
      </c>
      <c r="AG59" s="1106"/>
      <c r="AH59" s="68"/>
      <c r="AI59" s="3466">
        <f>+'Exhibit I State'!AG58+'Exhibit I Federal'!AG40</f>
        <v>54.4</v>
      </c>
      <c r="AJ59" s="77"/>
      <c r="AK59" s="333"/>
      <c r="AL59" s="58">
        <f t="shared" si="0"/>
        <v>-31.7</v>
      </c>
      <c r="AM59" s="331"/>
      <c r="AN59" s="1368">
        <f>ROUND(IF(AI59=0,0,AL59/ABS(AI59)),3)</f>
        <v>-0.58299999999999996</v>
      </c>
      <c r="AO59" s="325"/>
    </row>
    <row r="60" spans="1:41" ht="15.75">
      <c r="A60" s="31"/>
      <c r="B60" s="892" t="s">
        <v>1045</v>
      </c>
      <c r="C60" s="31"/>
      <c r="D60" s="31"/>
      <c r="E60" s="659">
        <f>+'Exhibit I State'!E59+'Exhibit I Federal'!E41</f>
        <v>0</v>
      </c>
      <c r="F60" s="1531"/>
      <c r="G60" s="659">
        <f>+'Exhibit I State'!G59+'Exhibit I Federal'!G41</f>
        <v>0</v>
      </c>
      <c r="H60" s="1531"/>
      <c r="I60" s="659">
        <f>+'Exhibit I State'!I59+'Exhibit I Federal'!I41</f>
        <v>0</v>
      </c>
      <c r="J60" s="1531"/>
      <c r="K60" s="659">
        <f>+'Exhibit I State'!K59+'Exhibit I Federal'!K41</f>
        <v>0</v>
      </c>
      <c r="L60" s="66"/>
      <c r="M60" s="659">
        <f>+'Exhibit I State'!M59+'Exhibit I Federal'!M41</f>
        <v>0.1</v>
      </c>
      <c r="N60" s="66"/>
      <c r="O60" s="659">
        <f>+'Exhibit I State'!O59+'Exhibit I Federal'!O41</f>
        <v>0.1</v>
      </c>
      <c r="P60" s="66"/>
      <c r="Q60" s="659">
        <f>+'Exhibit I State'!Q59+'Exhibit I Federal'!Q41</f>
        <v>0</v>
      </c>
      <c r="R60" s="66"/>
      <c r="S60" s="659">
        <f>+'Exhibit I State'!S59+'Exhibit I Federal'!S41</f>
        <v>0</v>
      </c>
      <c r="T60" s="66"/>
      <c r="U60" s="659">
        <f>+'Exhibit I State'!U59+'Exhibit I Federal'!U41</f>
        <v>0</v>
      </c>
      <c r="V60" s="66"/>
      <c r="W60" s="659">
        <f>+'Exhibit I State'!W59+'Exhibit I Federal'!W41</f>
        <v>0.1</v>
      </c>
      <c r="X60" s="66"/>
      <c r="Y60" s="659"/>
      <c r="Z60" s="66"/>
      <c r="AA60" s="659"/>
      <c r="AB60" s="170"/>
      <c r="AC60" s="357">
        <v>0</v>
      </c>
      <c r="AD60" s="118"/>
      <c r="AE60" s="678"/>
      <c r="AF60" s="1080">
        <f>ROUND(SUM(E60:AC60),1)</f>
        <v>0.3</v>
      </c>
      <c r="AG60" s="1106"/>
      <c r="AH60" s="68"/>
      <c r="AI60" s="3464">
        <f>+'Exhibit I State'!AG59+'Exhibit I Federal'!AG41</f>
        <v>4.5999999999999996</v>
      </c>
      <c r="AJ60" s="77"/>
      <c r="AK60" s="333"/>
      <c r="AL60" s="58">
        <f t="shared" si="0"/>
        <v>-4.3</v>
      </c>
      <c r="AM60" s="331"/>
      <c r="AN60" s="1479">
        <f>ROUND(IF(AI60=0,1,AL60/ABS(AI60)),3)</f>
        <v>-0.93500000000000005</v>
      </c>
      <c r="AO60" s="325"/>
    </row>
    <row r="61" spans="1:41" s="330" customFormat="1" ht="15.75">
      <c r="A61" s="29"/>
      <c r="B61" s="310" t="s">
        <v>1177</v>
      </c>
      <c r="C61" s="29"/>
      <c r="D61" s="29"/>
      <c r="E61" s="258">
        <f>ROUND(SUM(E37:E60),1)</f>
        <v>1190.7</v>
      </c>
      <c r="F61" s="922"/>
      <c r="G61" s="258">
        <f>ROUND(SUM(G37:G60),1)</f>
        <v>64.2</v>
      </c>
      <c r="H61" s="1065"/>
      <c r="I61" s="258">
        <f>ROUND(SUM(I37:I60),1)</f>
        <v>415.6</v>
      </c>
      <c r="J61" s="922"/>
      <c r="K61" s="258">
        <f>ROUND(SUM(K37:K60),1)</f>
        <v>365.6</v>
      </c>
      <c r="L61" s="922"/>
      <c r="M61" s="258">
        <f>ROUND(SUM(M37:M60),1)</f>
        <v>134.6</v>
      </c>
      <c r="N61" s="922"/>
      <c r="O61" s="258">
        <f>ROUND(SUM(O37:O60),1)</f>
        <v>480.4</v>
      </c>
      <c r="P61" s="922"/>
      <c r="Q61" s="258">
        <f>ROUND(SUM(Q37:Q60),1)</f>
        <v>978.4</v>
      </c>
      <c r="R61" s="922"/>
      <c r="S61" s="1538">
        <f>ROUND(SUM(S37:S60),1)</f>
        <v>75.400000000000006</v>
      </c>
      <c r="T61" s="922"/>
      <c r="U61" s="258">
        <f>ROUND(SUM(U37:U60),1)</f>
        <v>1055.2</v>
      </c>
      <c r="V61" s="922"/>
      <c r="W61" s="258">
        <f>ROUND(SUM(W37:W60),1)</f>
        <v>78.7</v>
      </c>
      <c r="X61" s="922"/>
      <c r="Y61" s="258">
        <f>ROUND(SUM(Y37:Y60),1)</f>
        <v>0</v>
      </c>
      <c r="Z61" s="922"/>
      <c r="AA61" s="258">
        <f>ROUND(SUM(AA37:AA60),1)</f>
        <v>0</v>
      </c>
      <c r="AB61" s="1532"/>
      <c r="AC61" s="1538">
        <f>ROUND(SUM(AC37:AC60),1)</f>
        <v>0</v>
      </c>
      <c r="AD61" s="112"/>
      <c r="AE61" s="679"/>
      <c r="AF61" s="1538">
        <f>ROUND(SUM(AF37:AF60),1)</f>
        <v>4838.8</v>
      </c>
      <c r="AG61" s="1086"/>
      <c r="AH61" s="115"/>
      <c r="AI61" s="1538">
        <f>ROUND(SUM(AI37:AI60),1)</f>
        <v>4512</v>
      </c>
      <c r="AJ61" s="84"/>
      <c r="AK61" s="333"/>
      <c r="AL61" s="258">
        <f>ROUND(SUM(AL37:AL60),1)</f>
        <v>326.8</v>
      </c>
      <c r="AM61" s="1066"/>
      <c r="AN61" s="1067">
        <f>ROUND(SUM(AL61/AI61),3)</f>
        <v>7.1999999999999995E-2</v>
      </c>
    </row>
    <row r="62" spans="1:41" ht="15.75">
      <c r="A62" s="31"/>
      <c r="B62" s="310"/>
      <c r="C62" s="31"/>
      <c r="D62" s="31"/>
      <c r="E62" s="1531"/>
      <c r="F62" s="1531"/>
      <c r="G62" s="1531"/>
      <c r="H62" s="687"/>
      <c r="I62" s="1531"/>
      <c r="J62" s="1531"/>
      <c r="K62" s="1531"/>
      <c r="L62" s="66"/>
      <c r="M62" s="1531"/>
      <c r="N62" s="66"/>
      <c r="O62" s="1531"/>
      <c r="P62" s="66"/>
      <c r="Q62" s="659"/>
      <c r="R62" s="66"/>
      <c r="S62" s="895"/>
      <c r="T62" s="66"/>
      <c r="U62" s="1531"/>
      <c r="V62" s="66"/>
      <c r="W62" s="1531"/>
      <c r="X62" s="66"/>
      <c r="Y62" s="1531"/>
      <c r="Z62" s="66"/>
      <c r="AA62" s="1531"/>
      <c r="AB62" s="1531"/>
      <c r="AC62" s="895"/>
      <c r="AD62" s="118"/>
      <c r="AE62" s="678"/>
      <c r="AF62" s="1080"/>
      <c r="AG62" s="1085"/>
      <c r="AH62" s="67"/>
      <c r="AI62" s="118"/>
      <c r="AJ62" s="77"/>
      <c r="AK62" s="333"/>
      <c r="AL62" s="58"/>
      <c r="AM62" s="334"/>
      <c r="AN62" s="332"/>
    </row>
    <row r="63" spans="1:41" ht="15.75">
      <c r="A63" s="31"/>
      <c r="B63" s="31" t="s">
        <v>149</v>
      </c>
      <c r="C63" s="31"/>
      <c r="D63" s="31"/>
      <c r="E63" s="687">
        <f>+'Exhibit I State'!E62+'Exhibit I Federal'!E44</f>
        <v>85.7</v>
      </c>
      <c r="F63" s="1531"/>
      <c r="G63" s="687">
        <f>+'Exhibit I State'!G62+'Exhibit I Federal'!G44</f>
        <v>102.7</v>
      </c>
      <c r="H63" s="1531"/>
      <c r="I63" s="687">
        <f>+'Exhibit I State'!I62+'Exhibit I Federal'!I44</f>
        <v>167.9</v>
      </c>
      <c r="J63" s="1531"/>
      <c r="K63" s="687">
        <f>+'Exhibit I State'!K62+'Exhibit I Federal'!K44</f>
        <v>209.1</v>
      </c>
      <c r="L63" s="66"/>
      <c r="M63" s="687">
        <f>+'Exhibit I State'!M62+'Exhibit I Federal'!M44</f>
        <v>186.69999999999996</v>
      </c>
      <c r="N63" s="66"/>
      <c r="O63" s="687">
        <f>+'Exhibit I State'!O62+'Exhibit I Federal'!O44</f>
        <v>177.2</v>
      </c>
      <c r="P63" s="66"/>
      <c r="Q63" s="3582">
        <f>+'Exhibit I State'!Q62+'Exhibit I Federal'!Q44</f>
        <v>167.70000000000007</v>
      </c>
      <c r="R63" s="66"/>
      <c r="S63" s="3582">
        <f>+'Exhibit I State'!S62+'Exhibit I Federal'!S44</f>
        <v>221.89999999999984</v>
      </c>
      <c r="T63" s="66"/>
      <c r="U63" s="3582">
        <f>+'Exhibit I State'!U62+'Exhibit I Federal'!U44</f>
        <v>228.19999999999996</v>
      </c>
      <c r="V63" s="66"/>
      <c r="W63" s="3582">
        <f>+'Exhibit I State'!W62+'Exhibit I Federal'!W44</f>
        <v>125.90000000000018</v>
      </c>
      <c r="X63" s="66"/>
      <c r="Y63" s="3582"/>
      <c r="Z63" s="66"/>
      <c r="AA63" s="3582"/>
      <c r="AB63" s="277"/>
      <c r="AC63" s="1080">
        <v>0</v>
      </c>
      <c r="AD63" s="118"/>
      <c r="AE63" s="678"/>
      <c r="AF63" s="118">
        <f>ROUND(SUM(E63:AC63),1)</f>
        <v>1673</v>
      </c>
      <c r="AG63" s="1081"/>
      <c r="AH63" s="67"/>
      <c r="AI63" s="118">
        <f>+'Exhibit I State'!AG62+'Exhibit I Federal'!AG44</f>
        <v>1850.5</v>
      </c>
      <c r="AJ63" s="77"/>
      <c r="AK63" s="335"/>
      <c r="AL63" s="336">
        <f>ROUND(SUM(+AF63-AI63),1)</f>
        <v>-177.5</v>
      </c>
      <c r="AM63" s="334"/>
      <c r="AN63" s="337">
        <f>ROUND(SUM(AL63/AI63),3)</f>
        <v>-9.6000000000000002E-2</v>
      </c>
    </row>
    <row r="64" spans="1:41" ht="15.75">
      <c r="A64" s="31"/>
      <c r="B64" s="31"/>
      <c r="C64" s="31"/>
      <c r="D64" s="31"/>
      <c r="E64" s="688"/>
      <c r="F64" s="1531"/>
      <c r="G64" s="688"/>
      <c r="H64" s="1531"/>
      <c r="I64" s="688"/>
      <c r="J64" s="1531"/>
      <c r="K64" s="688"/>
      <c r="L64" s="66"/>
      <c r="M64" s="88"/>
      <c r="N64" s="66"/>
      <c r="O64" s="88"/>
      <c r="P64" s="66"/>
      <c r="Q64" s="659"/>
      <c r="R64" s="66"/>
      <c r="S64" s="126"/>
      <c r="T64" s="66"/>
      <c r="U64" s="88"/>
      <c r="V64" s="66"/>
      <c r="W64" s="88"/>
      <c r="X64" s="66"/>
      <c r="Y64" s="88"/>
      <c r="Z64" s="66"/>
      <c r="AA64" s="88"/>
      <c r="AB64" s="56"/>
      <c r="AC64" s="126"/>
      <c r="AD64" s="118"/>
      <c r="AE64" s="678"/>
      <c r="AF64" s="126"/>
      <c r="AG64" s="1081"/>
      <c r="AH64" s="67"/>
      <c r="AI64" s="126"/>
      <c r="AJ64" s="56"/>
      <c r="AK64" s="335"/>
      <c r="AL64" s="58"/>
      <c r="AM64" s="325"/>
      <c r="AN64" s="332"/>
    </row>
    <row r="65" spans="1:44" ht="15.75">
      <c r="A65" s="31"/>
      <c r="B65" s="29" t="s">
        <v>196</v>
      </c>
      <c r="C65" s="31"/>
      <c r="D65" s="31"/>
      <c r="E65" s="1841">
        <f>ROUND(SUM(+E61+E63+E33),1)</f>
        <v>1350.5</v>
      </c>
      <c r="F65" s="922"/>
      <c r="G65" s="1841">
        <f>ROUND(SUM(+G61+G63+G33),1)</f>
        <v>213.2</v>
      </c>
      <c r="H65" s="922"/>
      <c r="I65" s="1841">
        <f>ROUND(SUM(+I61+I63+I33),1)</f>
        <v>691.4</v>
      </c>
      <c r="J65" s="922"/>
      <c r="K65" s="1841">
        <f>ROUND(SUM(+K61+K63+K33),1)</f>
        <v>682.9</v>
      </c>
      <c r="L65" s="62"/>
      <c r="M65" s="312">
        <f>ROUND(SUM(+M61+M63+M33),1)</f>
        <v>425.2</v>
      </c>
      <c r="N65" s="62"/>
      <c r="O65" s="312">
        <f>ROUND(SUM(+O61+O63+O33),1)</f>
        <v>787.9</v>
      </c>
      <c r="P65" s="62"/>
      <c r="Q65" s="312">
        <f>ROUND(SUM(+Q61+Q63+Q33),1)</f>
        <v>1250.7</v>
      </c>
      <c r="R65" s="62"/>
      <c r="S65" s="312">
        <f>ROUND(SUM(+S61+S63+S33),1)</f>
        <v>398</v>
      </c>
      <c r="T65" s="62"/>
      <c r="U65" s="312">
        <f>ROUND(SUM(+U61+U63+U33),1)</f>
        <v>1404</v>
      </c>
      <c r="V65" s="62"/>
      <c r="W65" s="312">
        <f>ROUND(SUM(+W61+W63+W33),1)</f>
        <v>294.5</v>
      </c>
      <c r="X65" s="62"/>
      <c r="Y65" s="312">
        <f>ROUND(SUM(+Y61+Y63+Y33),1)</f>
        <v>0</v>
      </c>
      <c r="Z65" s="62"/>
      <c r="AA65" s="312">
        <f>ROUND(SUM(+AA61+AA63+AA33),1)</f>
        <v>0</v>
      </c>
      <c r="AB65" s="1055"/>
      <c r="AC65" s="312">
        <f>ROUND(SUM(+AC61+AC63+AC33),1)</f>
        <v>0</v>
      </c>
      <c r="AD65" s="62"/>
      <c r="AE65" s="64"/>
      <c r="AF65" s="312">
        <f>ROUND(SUM(+AF61+AF63+AF33),1)</f>
        <v>7498.3</v>
      </c>
      <c r="AG65" s="216"/>
      <c r="AH65" s="76"/>
      <c r="AI65" s="312">
        <f>ROUND(SUM(+AI61+AI63+AI33),1)</f>
        <v>7565.3</v>
      </c>
      <c r="AJ65" s="84"/>
      <c r="AK65" s="335"/>
      <c r="AL65" s="312">
        <f>ROUND(SUM(+AL61+AL63+AL33),1)</f>
        <v>-67</v>
      </c>
      <c r="AM65" s="166"/>
      <c r="AN65" s="900">
        <f>ROUND(SUM(AL65/AI65),3)</f>
        <v>-8.9999999999999993E-3</v>
      </c>
      <c r="AO65" s="330"/>
      <c r="AP65" s="338"/>
      <c r="AQ65" s="330"/>
      <c r="AR65" s="330"/>
    </row>
    <row r="66" spans="1:44" ht="15.75">
      <c r="A66" s="31"/>
      <c r="B66" s="31"/>
      <c r="C66" s="31"/>
      <c r="D66" s="31"/>
      <c r="E66" s="688"/>
      <c r="F66" s="1531"/>
      <c r="G66" s="688"/>
      <c r="H66" s="1531"/>
      <c r="I66" s="688"/>
      <c r="J66" s="1531"/>
      <c r="K66" s="688"/>
      <c r="L66" s="66"/>
      <c r="M66" s="88"/>
      <c r="N66" s="66"/>
      <c r="O66" s="88"/>
      <c r="P66" s="66"/>
      <c r="Q66" s="659"/>
      <c r="R66" s="66"/>
      <c r="S66" s="126"/>
      <c r="T66" s="66"/>
      <c r="U66" s="88"/>
      <c r="V66" s="66"/>
      <c r="W66" s="88"/>
      <c r="X66" s="66"/>
      <c r="Y66" s="88"/>
      <c r="Z66" s="66"/>
      <c r="AA66" s="88"/>
      <c r="AB66" s="56"/>
      <c r="AC66" s="88"/>
      <c r="AD66" s="66"/>
      <c r="AE66" s="57"/>
      <c r="AF66" s="126"/>
      <c r="AG66" s="79"/>
      <c r="AH66" s="56"/>
      <c r="AI66" s="126"/>
      <c r="AJ66" s="56"/>
      <c r="AK66" s="335"/>
      <c r="AL66" s="58"/>
      <c r="AM66" s="325"/>
      <c r="AN66" s="332"/>
    </row>
    <row r="67" spans="1:44" ht="15.75">
      <c r="A67" s="31"/>
      <c r="B67" s="29" t="s">
        <v>23</v>
      </c>
      <c r="C67" s="31"/>
      <c r="D67" s="31"/>
      <c r="E67" s="1531"/>
      <c r="F67" s="1531"/>
      <c r="G67" s="1531"/>
      <c r="H67" s="1531"/>
      <c r="I67" s="1531"/>
      <c r="J67" s="1531"/>
      <c r="K67" s="1531"/>
      <c r="L67" s="66"/>
      <c r="M67" s="66"/>
      <c r="N67" s="66"/>
      <c r="O67" s="66"/>
      <c r="P67" s="66"/>
      <c r="Q67" s="659"/>
      <c r="R67" s="66"/>
      <c r="S67" s="118"/>
      <c r="T67" s="66"/>
      <c r="U67" s="66"/>
      <c r="V67" s="66"/>
      <c r="W67" s="66"/>
      <c r="X67" s="66"/>
      <c r="Y67" s="66"/>
      <c r="Z67" s="66"/>
      <c r="AA67" s="66"/>
      <c r="AB67" s="66"/>
      <c r="AC67" s="66"/>
      <c r="AD67" s="66"/>
      <c r="AE67" s="57"/>
      <c r="AF67" s="118"/>
      <c r="AG67" s="79"/>
      <c r="AH67" s="56"/>
      <c r="AI67" s="118"/>
      <c r="AJ67" s="66"/>
      <c r="AK67" s="335"/>
      <c r="AL67" s="58"/>
      <c r="AM67" s="325"/>
      <c r="AN67" s="332"/>
    </row>
    <row r="68" spans="1:44" ht="15.75">
      <c r="A68" s="31"/>
      <c r="B68" s="31" t="s">
        <v>151</v>
      </c>
      <c r="C68" s="31"/>
      <c r="D68" s="31"/>
      <c r="E68" s="1531"/>
      <c r="F68" s="1531"/>
      <c r="G68" s="1531"/>
      <c r="H68" s="1531"/>
      <c r="I68" s="1531"/>
      <c r="J68" s="1531"/>
      <c r="K68" s="1531"/>
      <c r="L68" s="66"/>
      <c r="M68" s="66"/>
      <c r="N68" s="66"/>
      <c r="O68" s="66"/>
      <c r="P68" s="66"/>
      <c r="Q68" s="659"/>
      <c r="R68" s="66"/>
      <c r="S68" s="118"/>
      <c r="T68" s="66"/>
      <c r="U68" s="66"/>
      <c r="V68" s="66"/>
      <c r="W68" s="66"/>
      <c r="X68" s="66"/>
      <c r="Y68" s="1531" t="s">
        <v>15</v>
      </c>
      <c r="Z68" s="66"/>
      <c r="AA68" s="1531" t="s">
        <v>15</v>
      </c>
      <c r="AB68" s="66"/>
      <c r="AC68" s="66"/>
      <c r="AD68" s="66"/>
      <c r="AE68" s="57"/>
      <c r="AF68" s="119"/>
      <c r="AG68" s="79"/>
      <c r="AH68" s="56"/>
      <c r="AI68" s="118"/>
      <c r="AJ68" s="66"/>
      <c r="AK68" s="335"/>
      <c r="AL68" s="58"/>
      <c r="AM68" s="325"/>
      <c r="AN68" s="332"/>
    </row>
    <row r="69" spans="1:44" ht="15.75">
      <c r="A69" s="31"/>
      <c r="B69" s="31" t="s">
        <v>25</v>
      </c>
      <c r="C69" s="31"/>
      <c r="D69" s="31"/>
      <c r="E69" s="687">
        <f>+'Exhibit I State'!E68+'Exhibit I Federal'!E50</f>
        <v>12</v>
      </c>
      <c r="F69" s="1531"/>
      <c r="G69" s="687">
        <f>+'Exhibit I State'!G68+'Exhibit I Federal'!G50</f>
        <v>0</v>
      </c>
      <c r="H69" s="687"/>
      <c r="I69" s="687">
        <f>+'Exhibit I State'!I68+'Exhibit I Federal'!I50</f>
        <v>4.8999999999999986</v>
      </c>
      <c r="J69" s="1531"/>
      <c r="K69" s="687">
        <f>+'Exhibit I State'!K68+'Exhibit I Federal'!K50</f>
        <v>1</v>
      </c>
      <c r="L69" s="66"/>
      <c r="M69" s="687">
        <f>+'Exhibit I State'!M68+'Exhibit I Federal'!M50</f>
        <v>1</v>
      </c>
      <c r="N69" s="66"/>
      <c r="O69" s="687">
        <f>+'Exhibit I State'!O68+'Exhibit I Federal'!O50</f>
        <v>1.4000000000000021</v>
      </c>
      <c r="P69" s="66"/>
      <c r="Q69" s="687">
        <f>+'Exhibit I State'!Q68+'Exhibit I Federal'!Q50</f>
        <v>20.3</v>
      </c>
      <c r="R69" s="66"/>
      <c r="S69" s="687">
        <f>+'Exhibit I State'!S68+'Exhibit I Federal'!S50</f>
        <v>45.600000000000009</v>
      </c>
      <c r="T69" s="66"/>
      <c r="U69" s="687">
        <f>+'Exhibit I State'!U68+'Exhibit I Federal'!U50</f>
        <v>4.1999999999999886</v>
      </c>
      <c r="V69" s="66"/>
      <c r="W69" s="687">
        <f>+'Exhibit I State'!W68+'Exhibit I Federal'!W50</f>
        <v>1.3000000000000114</v>
      </c>
      <c r="X69" s="66"/>
      <c r="Y69" s="687"/>
      <c r="Z69" s="66"/>
      <c r="AA69" s="687"/>
      <c r="AB69" s="277"/>
      <c r="AC69" s="277">
        <v>0</v>
      </c>
      <c r="AD69" s="66"/>
      <c r="AE69" s="57"/>
      <c r="AF69" s="118">
        <f>ROUND(SUM(E69:AC69),1)</f>
        <v>91.7</v>
      </c>
      <c r="AG69" s="79"/>
      <c r="AH69" s="56"/>
      <c r="AI69" s="118">
        <f>+'Exhibit I State'!AG68+'Exhibit I Federal'!AG50</f>
        <v>165.2</v>
      </c>
      <c r="AJ69" s="77"/>
      <c r="AK69" s="333"/>
      <c r="AL69" s="58">
        <f>ROUND(SUM(+AF69-AI69),1)</f>
        <v>-73.5</v>
      </c>
      <c r="AM69" s="334"/>
      <c r="AN69" s="1877">
        <f>ROUND(IF(AI69=0,1,AL69/ABS(AI69)),3)</f>
        <v>-0.44500000000000001</v>
      </c>
    </row>
    <row r="70" spans="1:44" ht="15.75">
      <c r="A70" s="31"/>
      <c r="B70" s="31" t="s">
        <v>26</v>
      </c>
      <c r="C70" s="31"/>
      <c r="D70" s="31"/>
      <c r="E70" s="687">
        <f>+'Exhibit I State'!E69+'Exhibit I Federal'!E51</f>
        <v>4.4000000000000004</v>
      </c>
      <c r="F70" s="1531"/>
      <c r="G70" s="687">
        <f>+'Exhibit I State'!G69+'Exhibit I Federal'!G51</f>
        <v>3.1999999999999993</v>
      </c>
      <c r="H70" s="1531"/>
      <c r="I70" s="687">
        <f>+'Exhibit I State'!I69+'Exhibit I Federal'!I51</f>
        <v>14.000000000000004</v>
      </c>
      <c r="J70" s="1531"/>
      <c r="K70" s="687">
        <f>+'Exhibit I State'!K69+'Exhibit I Federal'!K51</f>
        <v>12.600000000000001</v>
      </c>
      <c r="L70" s="66"/>
      <c r="M70" s="687">
        <f>+'Exhibit I State'!M69+'Exhibit I Federal'!M51</f>
        <v>20.6</v>
      </c>
      <c r="N70" s="66"/>
      <c r="O70" s="687">
        <f>+'Exhibit I State'!O69+'Exhibit I Federal'!O51</f>
        <v>15.299999999999983</v>
      </c>
      <c r="P70" s="66"/>
      <c r="Q70" s="687">
        <f>+'Exhibit I State'!Q69+'Exhibit I Federal'!Q51</f>
        <v>6.9000000000000057</v>
      </c>
      <c r="R70" s="66"/>
      <c r="S70" s="687">
        <f>+'Exhibit I State'!S69+'Exhibit I Federal'!S51</f>
        <v>9.7999999999999972</v>
      </c>
      <c r="T70" s="66"/>
      <c r="U70" s="687">
        <f>+'Exhibit I State'!U69+'Exhibit I Federal'!U51</f>
        <v>20.400000000000013</v>
      </c>
      <c r="V70" s="66"/>
      <c r="W70" s="687">
        <f>+'Exhibit I State'!W69+'Exhibit I Federal'!W51</f>
        <v>36.300000000000018</v>
      </c>
      <c r="X70" s="66"/>
      <c r="Y70" s="687"/>
      <c r="Z70" s="66"/>
      <c r="AA70" s="687"/>
      <c r="AB70" s="277"/>
      <c r="AC70" s="277">
        <v>0</v>
      </c>
      <c r="AD70" s="66"/>
      <c r="AE70" s="57"/>
      <c r="AF70" s="118">
        <f>ROUND(SUM(E70:AC70),1)</f>
        <v>143.5</v>
      </c>
      <c r="AG70" s="79"/>
      <c r="AH70" s="56"/>
      <c r="AI70" s="118">
        <f>+'Exhibit I State'!AG69+'Exhibit I Federal'!AG51</f>
        <v>379.9</v>
      </c>
      <c r="AJ70" s="77"/>
      <c r="AK70" s="333"/>
      <c r="AL70" s="58">
        <f t="shared" ref="AL70:AL77" si="3">ROUND(SUM(+AF70-AI70),1)</f>
        <v>-236.4</v>
      </c>
      <c r="AM70" s="334"/>
      <c r="AN70" s="1426">
        <f>ROUND(IF(AI70=0,0,AL70/ABS(AI70)),3)</f>
        <v>-0.622</v>
      </c>
    </row>
    <row r="71" spans="1:44" ht="15.75">
      <c r="A71" s="31"/>
      <c r="B71" s="31" t="s">
        <v>27</v>
      </c>
      <c r="C71" s="31"/>
      <c r="D71" s="31"/>
      <c r="E71" s="687">
        <f>+'Exhibit I State'!E70+'Exhibit I Federal'!E52</f>
        <v>30.4</v>
      </c>
      <c r="F71" s="1531"/>
      <c r="G71" s="687">
        <f>+'Exhibit I State'!G70+'Exhibit I Federal'!G52</f>
        <v>10.899999999999999</v>
      </c>
      <c r="H71" s="1531"/>
      <c r="I71" s="687">
        <f>+'Exhibit I State'!I70+'Exhibit I Federal'!I52</f>
        <v>41.5</v>
      </c>
      <c r="J71" s="1531"/>
      <c r="K71" s="687">
        <f>+'Exhibit I State'!K70+'Exhibit I Federal'!K52</f>
        <v>36</v>
      </c>
      <c r="L71" s="66"/>
      <c r="M71" s="687">
        <f>+'Exhibit I State'!M70+'Exhibit I Federal'!M52</f>
        <v>69</v>
      </c>
      <c r="N71" s="66"/>
      <c r="O71" s="687">
        <f>+'Exhibit I State'!O70+'Exhibit I Federal'!O52</f>
        <v>18.699999999999989</v>
      </c>
      <c r="P71" s="66"/>
      <c r="Q71" s="687">
        <f>+'Exhibit I State'!Q70+'Exhibit I Federal'!Q52</f>
        <v>90.4</v>
      </c>
      <c r="R71" s="66"/>
      <c r="S71" s="687">
        <f>+'Exhibit I State'!S70+'Exhibit I Federal'!S52</f>
        <v>55.600000000000051</v>
      </c>
      <c r="T71" s="66"/>
      <c r="U71" s="687">
        <f>+'Exhibit I State'!U70+'Exhibit I Federal'!U52</f>
        <v>51.199999999999989</v>
      </c>
      <c r="V71" s="66"/>
      <c r="W71" s="687">
        <f>+'Exhibit I State'!W70+'Exhibit I Federal'!W52</f>
        <v>60.399999999999977</v>
      </c>
      <c r="X71" s="66"/>
      <c r="Y71" s="687"/>
      <c r="Z71" s="66"/>
      <c r="AA71" s="687"/>
      <c r="AB71" s="687" t="s">
        <v>1256</v>
      </c>
      <c r="AC71" s="687">
        <v>0</v>
      </c>
      <c r="AD71" s="66"/>
      <c r="AE71" s="57"/>
      <c r="AF71" s="118">
        <f>ROUND(SUM(E71:AC71),1)</f>
        <v>464.1</v>
      </c>
      <c r="AG71" s="79"/>
      <c r="AH71" s="56"/>
      <c r="AI71" s="118">
        <f>+'Exhibit I State'!AG70+'Exhibit I Federal'!AG52</f>
        <v>761.2</v>
      </c>
      <c r="AJ71" s="77"/>
      <c r="AK71" s="333"/>
      <c r="AL71" s="58">
        <f t="shared" si="3"/>
        <v>-297.10000000000002</v>
      </c>
      <c r="AM71" s="334"/>
      <c r="AN71" s="1426">
        <f>ROUND(IF(AI71=0,0,AL71/ABS(AI71)),3)</f>
        <v>-0.39</v>
      </c>
      <c r="AO71" s="325"/>
    </row>
    <row r="72" spans="1:44" ht="15.75">
      <c r="A72" s="31"/>
      <c r="B72" s="31" t="s">
        <v>28</v>
      </c>
      <c r="C72" s="31"/>
      <c r="D72" s="31"/>
      <c r="E72" s="687"/>
      <c r="F72" s="1531"/>
      <c r="G72" s="687"/>
      <c r="H72" s="1531"/>
      <c r="I72" s="687"/>
      <c r="J72" s="1531"/>
      <c r="K72" s="687"/>
      <c r="L72" s="66"/>
      <c r="M72" s="687"/>
      <c r="N72" s="66"/>
      <c r="O72" s="687"/>
      <c r="P72" s="66"/>
      <c r="Q72" s="687"/>
      <c r="R72" s="66"/>
      <c r="S72" s="687"/>
      <c r="T72" s="66"/>
      <c r="U72" s="687"/>
      <c r="V72" s="66"/>
      <c r="W72" s="687"/>
      <c r="X72" s="66"/>
      <c r="Y72" s="687"/>
      <c r="Z72" s="66"/>
      <c r="AA72" s="687"/>
      <c r="AB72" s="277"/>
      <c r="AC72" s="277"/>
      <c r="AD72" s="66"/>
      <c r="AE72" s="57"/>
      <c r="AF72" s="895" t="s">
        <v>15</v>
      </c>
      <c r="AG72" s="79"/>
      <c r="AH72" s="56"/>
      <c r="AI72" s="127"/>
      <c r="AJ72" s="66"/>
      <c r="AK72" s="335"/>
      <c r="AL72" s="58" t="s">
        <v>15</v>
      </c>
      <c r="AM72" s="334"/>
      <c r="AN72" s="339" t="s">
        <v>15</v>
      </c>
      <c r="AO72" s="325"/>
    </row>
    <row r="73" spans="1:44" ht="15.75">
      <c r="A73" s="31"/>
      <c r="B73" s="31" t="s">
        <v>29</v>
      </c>
      <c r="C73" s="29"/>
      <c r="D73" s="31"/>
      <c r="E73" s="687">
        <f>+'Exhibit I State'!E72+'Exhibit I Federal'!E54</f>
        <v>0</v>
      </c>
      <c r="F73" s="1531"/>
      <c r="G73" s="687">
        <f>+'Exhibit I State'!G72+'Exhibit I Federal'!G54</f>
        <v>0</v>
      </c>
      <c r="H73" s="1531"/>
      <c r="I73" s="687">
        <f>+'Exhibit I State'!I72+'Exhibit I Federal'!I54</f>
        <v>0</v>
      </c>
      <c r="J73" s="1531"/>
      <c r="K73" s="687">
        <f>+'Exhibit I State'!K72+'Exhibit I Federal'!K54</f>
        <v>0</v>
      </c>
      <c r="L73" s="66"/>
      <c r="M73" s="687">
        <f>+'Exhibit I State'!M72+'Exhibit I Federal'!M54</f>
        <v>0</v>
      </c>
      <c r="N73" s="66"/>
      <c r="O73" s="687">
        <f>+'Exhibit I State'!O72+'Exhibit I Federal'!O54</f>
        <v>0</v>
      </c>
      <c r="P73" s="66"/>
      <c r="Q73" s="687">
        <f>+'Exhibit I State'!Q72+'Exhibit I Federal'!Q54</f>
        <v>0</v>
      </c>
      <c r="R73" s="66"/>
      <c r="S73" s="687">
        <f>+'Exhibit I State'!S72+'Exhibit I Federal'!S54</f>
        <v>0</v>
      </c>
      <c r="T73" s="66"/>
      <c r="U73" s="687">
        <f>+'Exhibit I State'!U72+'Exhibit I Federal'!U54</f>
        <v>0</v>
      </c>
      <c r="V73" s="66"/>
      <c r="W73" s="687">
        <f>+'Exhibit I State'!W72+'Exhibit I Federal'!W54</f>
        <v>0</v>
      </c>
      <c r="X73" s="66"/>
      <c r="Y73" s="687"/>
      <c r="Z73" s="66"/>
      <c r="AA73" s="687"/>
      <c r="AB73" s="277"/>
      <c r="AC73" s="277">
        <v>0</v>
      </c>
      <c r="AD73" s="66"/>
      <c r="AE73" s="57"/>
      <c r="AF73" s="118">
        <f t="shared" ref="AF73:AF77" si="4">ROUND(SUM(E73:AC73),1)</f>
        <v>0</v>
      </c>
      <c r="AG73" s="79"/>
      <c r="AH73" s="56"/>
      <c r="AI73" s="127">
        <f>+'Exhibit I State'!AG72+'Exhibit I Federal'!AG54</f>
        <v>0</v>
      </c>
      <c r="AJ73" s="66"/>
      <c r="AK73" s="335"/>
      <c r="AL73" s="58">
        <f t="shared" si="3"/>
        <v>0</v>
      </c>
      <c r="AM73" s="334"/>
      <c r="AN73" s="8">
        <f>ROUND(IF(AI73=0,0,AL73/ABS(AI73)),3)</f>
        <v>0</v>
      </c>
      <c r="AO73" s="325"/>
    </row>
    <row r="74" spans="1:44" ht="15.75">
      <c r="A74" s="31"/>
      <c r="B74" s="31" t="s">
        <v>30</v>
      </c>
      <c r="C74" s="31"/>
      <c r="D74" s="31"/>
      <c r="E74" s="687">
        <f>+'Exhibit I State'!E73+'Exhibit I Federal'!E55</f>
        <v>29</v>
      </c>
      <c r="F74" s="1531"/>
      <c r="G74" s="687">
        <f>+'Exhibit I State'!G73+'Exhibit I Federal'!G55</f>
        <v>58.2</v>
      </c>
      <c r="H74" s="1531"/>
      <c r="I74" s="687">
        <f>+'Exhibit I State'!I73+'Exhibit I Federal'!I55</f>
        <v>30.899999999999991</v>
      </c>
      <c r="J74" s="1531"/>
      <c r="K74" s="687">
        <f>+'Exhibit I State'!K73+'Exhibit I Federal'!K55</f>
        <v>38.700000000000003</v>
      </c>
      <c r="L74" s="66"/>
      <c r="M74" s="687">
        <f>+'Exhibit I State'!M73+'Exhibit I Federal'!M55</f>
        <v>76.100000000000009</v>
      </c>
      <c r="N74" s="66"/>
      <c r="O74" s="687">
        <f>+'Exhibit I State'!O73+'Exhibit I Federal'!O55</f>
        <v>25.700000000000038</v>
      </c>
      <c r="P74" s="66"/>
      <c r="Q74" s="687">
        <f>+'Exhibit I State'!Q73+'Exhibit I Federal'!Q55</f>
        <v>50.900000000000034</v>
      </c>
      <c r="R74" s="66"/>
      <c r="S74" s="687">
        <f>+'Exhibit I State'!S73+'Exhibit I Federal'!S55</f>
        <v>41.499999999999943</v>
      </c>
      <c r="T74" s="66"/>
      <c r="U74" s="687">
        <f>+'Exhibit I State'!U73+'Exhibit I Federal'!U55</f>
        <v>45.499999999999986</v>
      </c>
      <c r="V74" s="66"/>
      <c r="W74" s="687">
        <f>+'Exhibit I State'!W73+'Exhibit I Federal'!W55</f>
        <v>41</v>
      </c>
      <c r="X74" s="66"/>
      <c r="Y74" s="687"/>
      <c r="Z74" s="66"/>
      <c r="AA74" s="687"/>
      <c r="AB74" s="277"/>
      <c r="AC74" s="277">
        <v>0</v>
      </c>
      <c r="AD74" s="66"/>
      <c r="AE74" s="57"/>
      <c r="AF74" s="895">
        <f t="shared" si="4"/>
        <v>437.5</v>
      </c>
      <c r="AG74" s="79"/>
      <c r="AH74" s="56"/>
      <c r="AI74" s="127">
        <f>+'Exhibit I State'!AG73+'Exhibit I Federal'!AG55</f>
        <v>446.7</v>
      </c>
      <c r="AJ74" s="77"/>
      <c r="AK74" s="333"/>
      <c r="AL74" s="58">
        <f t="shared" si="3"/>
        <v>-9.1999999999999993</v>
      </c>
      <c r="AM74" s="334"/>
      <c r="AN74" s="8">
        <f>ROUND(IF(AI74=0,0,AL74/ABS(AI74)),3)</f>
        <v>-2.1000000000000001E-2</v>
      </c>
    </row>
    <row r="75" spans="1:44" ht="15.75">
      <c r="A75" s="31"/>
      <c r="B75" s="31" t="s">
        <v>31</v>
      </c>
      <c r="C75" s="31"/>
      <c r="D75" s="31"/>
      <c r="E75" s="687">
        <f>+'Exhibit I State'!E74+'Exhibit I Federal'!E56</f>
        <v>0</v>
      </c>
      <c r="F75" s="1531"/>
      <c r="G75" s="687">
        <f>+'Exhibit I State'!G74+'Exhibit I Federal'!G56</f>
        <v>0</v>
      </c>
      <c r="H75" s="1531"/>
      <c r="I75" s="687">
        <f>+'Exhibit I State'!I74+'Exhibit I Federal'!I56</f>
        <v>3.8</v>
      </c>
      <c r="J75" s="1531"/>
      <c r="K75" s="687">
        <f>+'Exhibit I State'!K74+'Exhibit I Federal'!K56</f>
        <v>0.90000000000000013</v>
      </c>
      <c r="L75" s="66"/>
      <c r="M75" s="687">
        <f>+'Exhibit I State'!M74+'Exhibit I Federal'!M56</f>
        <v>1.0999999999999999</v>
      </c>
      <c r="N75" s="66"/>
      <c r="O75" s="687">
        <f>+'Exhibit I State'!O74+'Exhibit I Federal'!O56</f>
        <v>0.69999999999999973</v>
      </c>
      <c r="P75" s="66"/>
      <c r="Q75" s="687">
        <f>+'Exhibit I State'!Q74+'Exhibit I Federal'!Q56</f>
        <v>0.29999999999999982</v>
      </c>
      <c r="R75" s="66"/>
      <c r="S75" s="687">
        <f>+'Exhibit I State'!S74+'Exhibit I Federal'!S56</f>
        <v>34</v>
      </c>
      <c r="T75" s="66"/>
      <c r="U75" s="687">
        <f>+'Exhibit I State'!U74+'Exhibit I Federal'!U56</f>
        <v>1.300000000000006</v>
      </c>
      <c r="V75" s="66"/>
      <c r="W75" s="687">
        <f>+'Exhibit I State'!W74+'Exhibit I Federal'!W56</f>
        <v>3.2999999999999972</v>
      </c>
      <c r="X75" s="66"/>
      <c r="Y75" s="687"/>
      <c r="Z75" s="66"/>
      <c r="AA75" s="687"/>
      <c r="AB75" s="277"/>
      <c r="AC75" s="277">
        <v>0</v>
      </c>
      <c r="AD75" s="66"/>
      <c r="AE75" s="57"/>
      <c r="AF75" s="118">
        <f>ROUND(SUM(E75:AC75),1)</f>
        <v>45.4</v>
      </c>
      <c r="AG75" s="79"/>
      <c r="AH75" s="56"/>
      <c r="AI75" s="127">
        <f>+'Exhibit I State'!AG74+'Exhibit I Federal'!AG56</f>
        <v>84.1</v>
      </c>
      <c r="AJ75" s="77"/>
      <c r="AK75" s="333"/>
      <c r="AL75" s="58">
        <f t="shared" si="3"/>
        <v>-38.700000000000003</v>
      </c>
      <c r="AM75" s="334"/>
      <c r="AN75" s="1465">
        <f>ROUND(IF(AI75=0,1,AL75/ABS(AI75)),3)</f>
        <v>-0.46</v>
      </c>
      <c r="AO75" s="325"/>
    </row>
    <row r="76" spans="1:44" ht="15.75">
      <c r="A76" s="31"/>
      <c r="B76" s="31" t="s">
        <v>32</v>
      </c>
      <c r="C76" s="31"/>
      <c r="D76" s="31"/>
      <c r="E76" s="687">
        <f>+'Exhibit I State'!E75+'Exhibit I Federal'!E57</f>
        <v>0</v>
      </c>
      <c r="F76" s="1531"/>
      <c r="G76" s="687">
        <f>+'Exhibit I State'!G75+'Exhibit I Federal'!G57</f>
        <v>33.799999999999997</v>
      </c>
      <c r="H76" s="1531"/>
      <c r="I76" s="687">
        <f>+'Exhibit I State'!I75+'Exhibit I Federal'!I57</f>
        <v>73.7</v>
      </c>
      <c r="J76" s="1531"/>
      <c r="K76" s="687">
        <f>+'Exhibit I State'!K75+'Exhibit I Federal'!K57</f>
        <v>71.699999999999974</v>
      </c>
      <c r="L76" s="66"/>
      <c r="M76" s="687">
        <f>+'Exhibit I State'!M75+'Exhibit I Federal'!M57</f>
        <v>53.100000000000023</v>
      </c>
      <c r="N76" s="66"/>
      <c r="O76" s="687">
        <f>+'Exhibit I State'!O75+'Exhibit I Federal'!O57</f>
        <v>110.39999999999998</v>
      </c>
      <c r="P76" s="66"/>
      <c r="Q76" s="687">
        <f>+'Exhibit I State'!Q75+'Exhibit I Federal'!Q57</f>
        <v>24.600000000000023</v>
      </c>
      <c r="R76" s="66"/>
      <c r="S76" s="687">
        <f>+'Exhibit I State'!S75+'Exhibit I Federal'!S57</f>
        <v>7.8000000000000114</v>
      </c>
      <c r="T76" s="66"/>
      <c r="U76" s="687">
        <f>+'Exhibit I State'!U75+'Exhibit I Federal'!U57</f>
        <v>96.299999999999955</v>
      </c>
      <c r="V76" s="66"/>
      <c r="W76" s="687">
        <f>+'Exhibit I State'!W75+'Exhibit I Federal'!W57</f>
        <v>16.800000000000011</v>
      </c>
      <c r="X76" s="66"/>
      <c r="Y76" s="687"/>
      <c r="Z76" s="66"/>
      <c r="AA76" s="687"/>
      <c r="AB76" s="277"/>
      <c r="AC76" s="277">
        <v>0</v>
      </c>
      <c r="AD76" s="66"/>
      <c r="AE76" s="57"/>
      <c r="AF76" s="118">
        <f t="shared" si="4"/>
        <v>488.2</v>
      </c>
      <c r="AG76" s="79"/>
      <c r="AH76" s="56"/>
      <c r="AI76" s="127">
        <f>+'Exhibit I State'!AG75+'Exhibit I Federal'!AG57</f>
        <v>353.4</v>
      </c>
      <c r="AJ76" s="66"/>
      <c r="AK76" s="335"/>
      <c r="AL76" s="58">
        <f t="shared" si="3"/>
        <v>134.80000000000001</v>
      </c>
      <c r="AM76" s="334"/>
      <c r="AN76" s="1557">
        <f>ROUND(IF(AI76=0,0,AL76/ABS(AI76)),3)</f>
        <v>0.38100000000000001</v>
      </c>
      <c r="AO76" s="325"/>
    </row>
    <row r="77" spans="1:44" ht="15.75">
      <c r="A77" s="31"/>
      <c r="B77" s="31" t="s">
        <v>33</v>
      </c>
      <c r="C77" s="29"/>
      <c r="D77" s="31"/>
      <c r="E77" s="687">
        <f>+'Exhibit I State'!E76+'Exhibit I Federal'!E58</f>
        <v>43.2</v>
      </c>
      <c r="F77" s="1531"/>
      <c r="G77" s="687">
        <f>+'Exhibit I State'!G76+'Exhibit I Federal'!G58</f>
        <v>7.6999999999999957</v>
      </c>
      <c r="H77" s="1531"/>
      <c r="I77" s="687">
        <f>+'Exhibit I State'!I76+'Exhibit I Federal'!I58</f>
        <v>24.800000000000004</v>
      </c>
      <c r="J77" s="1531"/>
      <c r="K77" s="687">
        <f>+'Exhibit I State'!K76+'Exhibit I Federal'!K58</f>
        <v>20.899999999999991</v>
      </c>
      <c r="L77" s="66"/>
      <c r="M77" s="687">
        <f>+'Exhibit I State'!M76+'Exhibit I Federal'!M58</f>
        <v>71.59999999999998</v>
      </c>
      <c r="N77" s="66"/>
      <c r="O77" s="687">
        <f>+'Exhibit I State'!O76+'Exhibit I Federal'!O58</f>
        <v>11.400000000000006</v>
      </c>
      <c r="P77" s="66"/>
      <c r="Q77" s="687">
        <f>+'Exhibit I State'!Q76+'Exhibit I Federal'!Q58</f>
        <v>53.500000000000014</v>
      </c>
      <c r="R77" s="66"/>
      <c r="S77" s="687">
        <f>+'Exhibit I State'!S76+'Exhibit I Federal'!S58</f>
        <v>28</v>
      </c>
      <c r="T77" s="66"/>
      <c r="U77" s="687">
        <f>+'Exhibit I State'!U76+'Exhibit I Federal'!U58</f>
        <v>133.80000000000001</v>
      </c>
      <c r="V77" s="66"/>
      <c r="W77" s="687">
        <f>+'Exhibit I State'!W76+'Exhibit I Federal'!W58</f>
        <v>20.800000000000011</v>
      </c>
      <c r="X77" s="66"/>
      <c r="Y77" s="687"/>
      <c r="Z77" s="66"/>
      <c r="AA77" s="687"/>
      <c r="AB77" s="277"/>
      <c r="AC77" s="277">
        <v>0</v>
      </c>
      <c r="AD77" s="66"/>
      <c r="AE77" s="57"/>
      <c r="AF77" s="118">
        <f t="shared" si="4"/>
        <v>415.7</v>
      </c>
      <c r="AG77" s="79"/>
      <c r="AH77" s="56"/>
      <c r="AI77" s="127">
        <f>+'Exhibit I State'!AG76+'Exhibit I Federal'!AG58</f>
        <v>731.5</v>
      </c>
      <c r="AJ77" s="66"/>
      <c r="AK77" s="335"/>
      <c r="AL77" s="58">
        <f t="shared" si="3"/>
        <v>-315.8</v>
      </c>
      <c r="AM77" s="334"/>
      <c r="AN77" s="1557">
        <f>ROUND(IF(AI77=0,0,AL77/ABS(AI77)),3)</f>
        <v>-0.432</v>
      </c>
      <c r="AO77" s="325"/>
    </row>
    <row r="78" spans="1:44" ht="15.75">
      <c r="A78" s="31"/>
      <c r="B78" s="31" t="s">
        <v>34</v>
      </c>
      <c r="C78" s="31"/>
      <c r="D78" s="31"/>
      <c r="E78" s="687">
        <f>+'Exhibit I State'!E77+'Exhibit I Federal'!E59</f>
        <v>24.4</v>
      </c>
      <c r="F78" s="1531"/>
      <c r="G78" s="687">
        <f>+'Exhibit I State'!G77+'Exhibit I Federal'!G59</f>
        <v>46.2</v>
      </c>
      <c r="H78" s="1531"/>
      <c r="I78" s="687">
        <f>+'Exhibit I State'!I77+'Exhibit I Federal'!I59</f>
        <v>49.999999999999993</v>
      </c>
      <c r="J78" s="1531"/>
      <c r="K78" s="687">
        <f>+'Exhibit I State'!K77+'Exhibit I Federal'!K59</f>
        <v>91.9</v>
      </c>
      <c r="L78" s="66"/>
      <c r="M78" s="687">
        <f>+'Exhibit I State'!M77+'Exhibit I Federal'!M59</f>
        <v>146.70000000000002</v>
      </c>
      <c r="N78" s="66"/>
      <c r="O78" s="687">
        <f>+'Exhibit I State'!O77+'Exhibit I Federal'!O59</f>
        <v>369.30000000000007</v>
      </c>
      <c r="P78" s="66"/>
      <c r="Q78" s="687">
        <f>+'Exhibit I State'!Q77+'Exhibit I Federal'!Q59</f>
        <v>483.59999999999991</v>
      </c>
      <c r="R78" s="66"/>
      <c r="S78" s="687">
        <f>+'Exhibit I State'!S77+'Exhibit I Federal'!S59</f>
        <v>503.89999999999975</v>
      </c>
      <c r="T78" s="66"/>
      <c r="U78" s="687">
        <f>+'Exhibit I State'!U77+'Exhibit I Federal'!U59</f>
        <v>220.4</v>
      </c>
      <c r="V78" s="66"/>
      <c r="W78" s="687">
        <f>+'Exhibit I State'!W77+'Exhibit I Federal'!W59</f>
        <v>200.59999999999988</v>
      </c>
      <c r="X78" s="66"/>
      <c r="Y78" s="687"/>
      <c r="Z78" s="66"/>
      <c r="AA78" s="687"/>
      <c r="AB78" s="277"/>
      <c r="AC78" s="277">
        <v>0</v>
      </c>
      <c r="AD78" s="66"/>
      <c r="AE78" s="57"/>
      <c r="AF78" s="118">
        <f>ROUND(SUM(E78:AC78),1)</f>
        <v>2137</v>
      </c>
      <c r="AG78" s="79"/>
      <c r="AH78" s="56"/>
      <c r="AI78" s="1044">
        <f>+'Exhibit I State'!AG77+'Exhibit I Federal'!AG59</f>
        <v>1407</v>
      </c>
      <c r="AJ78" s="56"/>
      <c r="AK78" s="335"/>
      <c r="AL78" s="58">
        <f>ROUND(SUM(+AF78-AI78),1)</f>
        <v>730</v>
      </c>
      <c r="AM78" s="325"/>
      <c r="AN78" s="1427">
        <f>ROUND(IF(AI78=0,0,AL78/ABS(AI78)),3)</f>
        <v>0.51900000000000002</v>
      </c>
      <c r="AO78" s="325"/>
    </row>
    <row r="79" spans="1:44" ht="15.75">
      <c r="A79" s="31"/>
      <c r="B79" s="29" t="s">
        <v>197</v>
      </c>
      <c r="C79" s="31"/>
      <c r="D79" s="31"/>
      <c r="E79" s="294">
        <f>ROUND(SUM(E69:E78),1)</f>
        <v>143.4</v>
      </c>
      <c r="F79" s="922"/>
      <c r="G79" s="294">
        <f>ROUND(SUM(G69:G78),1)</f>
        <v>160</v>
      </c>
      <c r="H79" s="922"/>
      <c r="I79" s="294">
        <f>ROUND(SUM(I69:I78),1)</f>
        <v>243.6</v>
      </c>
      <c r="J79" s="1532"/>
      <c r="K79" s="294">
        <f>ROUND(SUM(K69:K78),1)</f>
        <v>273.7</v>
      </c>
      <c r="L79" s="76"/>
      <c r="M79" s="294">
        <f>ROUND(SUM(M69:M78),1)</f>
        <v>439.2</v>
      </c>
      <c r="N79" s="76"/>
      <c r="O79" s="294">
        <f>ROUND(SUM(O69:O78),1)</f>
        <v>552.9</v>
      </c>
      <c r="P79" s="62"/>
      <c r="Q79" s="294">
        <f>ROUND(SUM(Q69:Q78),1)</f>
        <v>730.5</v>
      </c>
      <c r="R79" s="62"/>
      <c r="S79" s="1096">
        <f>ROUND(SUM(S69:S78),1)</f>
        <v>726.2</v>
      </c>
      <c r="T79" s="62"/>
      <c r="U79" s="294">
        <f>ROUND(SUM(U69:U78),1)</f>
        <v>573.1</v>
      </c>
      <c r="V79" s="62"/>
      <c r="W79" s="294">
        <f>ROUND(SUM(W69:W78),1)</f>
        <v>380.5</v>
      </c>
      <c r="X79" s="62"/>
      <c r="Y79" s="294">
        <f>ROUND(SUM(Y69:Y78),1)</f>
        <v>0</v>
      </c>
      <c r="Z79" s="62"/>
      <c r="AA79" s="294">
        <f>ROUND(SUM(AA69:AA78),1)</f>
        <v>0</v>
      </c>
      <c r="AB79" s="1532"/>
      <c r="AC79" s="294">
        <f>ROUND(SUM(AC69:AC78),1)</f>
        <v>0</v>
      </c>
      <c r="AD79" s="62"/>
      <c r="AE79" s="64"/>
      <c r="AF79" s="1096">
        <f>ROUND(SUM(AF69:AF78),1)</f>
        <v>4223.1000000000004</v>
      </c>
      <c r="AG79" s="216"/>
      <c r="AH79" s="76"/>
      <c r="AI79" s="1096">
        <f>ROUND(SUM(AI69:AI78),1)</f>
        <v>4329</v>
      </c>
      <c r="AJ79" s="76"/>
      <c r="AK79" s="335"/>
      <c r="AL79" s="294">
        <f>ROUND(SUM(AL69:AL78),1)</f>
        <v>-105.9</v>
      </c>
      <c r="AM79" s="341"/>
      <c r="AN79" s="900">
        <f>ROUND(SUM(AL79/AI79),3)</f>
        <v>-2.4E-2</v>
      </c>
      <c r="AO79" s="330"/>
      <c r="AP79" s="338"/>
      <c r="AQ79" s="330"/>
      <c r="AR79" s="330"/>
    </row>
    <row r="80" spans="1:44" ht="15.75">
      <c r="A80" s="31"/>
      <c r="B80" s="31" t="s">
        <v>198</v>
      </c>
      <c r="C80" s="31"/>
      <c r="D80" s="31"/>
      <c r="E80" s="1531"/>
      <c r="F80" s="1531"/>
      <c r="G80" s="1531"/>
      <c r="H80" s="1531"/>
      <c r="I80" s="1531"/>
      <c r="J80" s="1531"/>
      <c r="K80" s="1531"/>
      <c r="L80" s="66"/>
      <c r="M80" s="66"/>
      <c r="N80" s="66"/>
      <c r="O80" s="66"/>
      <c r="P80" s="66"/>
      <c r="Q80" s="66"/>
      <c r="R80" s="66"/>
      <c r="S80" s="118"/>
      <c r="T80" s="66"/>
      <c r="U80" s="66"/>
      <c r="V80" s="66"/>
      <c r="W80" s="66"/>
      <c r="X80" s="66"/>
      <c r="Y80" s="66"/>
      <c r="Z80" s="66"/>
      <c r="AA80" s="66"/>
      <c r="AB80" s="66"/>
      <c r="AC80" s="66"/>
      <c r="AD80" s="66"/>
      <c r="AE80" s="57"/>
      <c r="AF80" s="118"/>
      <c r="AG80" s="79"/>
      <c r="AH80" s="56"/>
      <c r="AI80" s="118"/>
      <c r="AJ80" s="66"/>
      <c r="AK80" s="335"/>
      <c r="AL80" s="58"/>
      <c r="AM80" s="325"/>
      <c r="AN80" s="332"/>
    </row>
    <row r="81" spans="1:44" ht="15.75">
      <c r="A81" s="31"/>
      <c r="B81" s="31" t="s">
        <v>199</v>
      </c>
      <c r="C81" s="31"/>
      <c r="D81" s="31"/>
      <c r="E81" s="687">
        <f>+'Exhibit I State'!E80+'Exhibit I Federal'!E62</f>
        <v>0</v>
      </c>
      <c r="F81" s="1531"/>
      <c r="G81" s="687">
        <f>+'Exhibit I State'!G80+'Exhibit I Federal'!G62</f>
        <v>0</v>
      </c>
      <c r="H81" s="1531"/>
      <c r="I81" s="687">
        <f>+'Exhibit I State'!I80+'Exhibit I Federal'!I62</f>
        <v>0</v>
      </c>
      <c r="J81" s="1531"/>
      <c r="K81" s="687">
        <f>+'Exhibit I State'!K80+'Exhibit I Federal'!K62</f>
        <v>0</v>
      </c>
      <c r="L81" s="66"/>
      <c r="M81" s="687">
        <f>+'Exhibit I State'!M80+'Exhibit I Federal'!M62</f>
        <v>0</v>
      </c>
      <c r="N81" s="66"/>
      <c r="O81" s="687">
        <f>+'Exhibit I State'!O80+'Exhibit I Federal'!O62</f>
        <v>0</v>
      </c>
      <c r="P81" s="66"/>
      <c r="Q81" s="687">
        <f>+'Exhibit I State'!Q80+'Exhibit I Federal'!Q62</f>
        <v>0</v>
      </c>
      <c r="R81" s="66"/>
      <c r="S81" s="687">
        <f>+'Exhibit I State'!S80+'Exhibit I Federal'!S62</f>
        <v>0</v>
      </c>
      <c r="T81" s="66"/>
      <c r="U81" s="687">
        <f>+'Exhibit I State'!U80+'Exhibit I Federal'!U62</f>
        <v>0</v>
      </c>
      <c r="V81" s="66"/>
      <c r="W81" s="687">
        <f>+'Exhibit I State'!W80+'Exhibit I Federal'!W62</f>
        <v>0</v>
      </c>
      <c r="X81" s="66"/>
      <c r="Y81" s="687"/>
      <c r="Z81" s="66"/>
      <c r="AA81" s="687"/>
      <c r="AB81" s="277"/>
      <c r="AC81" s="277">
        <v>0</v>
      </c>
      <c r="AD81" s="66"/>
      <c r="AE81" s="57"/>
      <c r="AF81" s="119">
        <f>ROUND(SUM(E81:AC81),1)</f>
        <v>0</v>
      </c>
      <c r="AG81" s="79"/>
      <c r="AH81" s="56"/>
      <c r="AI81" s="357">
        <f>+'Exhibit I State'!AG80+'Exhibit I Federal'!AG62</f>
        <v>0</v>
      </c>
      <c r="AJ81" s="69"/>
      <c r="AK81" s="342"/>
      <c r="AL81" s="340">
        <f>ROUND(SUM(+AF81-AI81),1)</f>
        <v>0</v>
      </c>
      <c r="AM81" s="325"/>
      <c r="AN81" s="8">
        <f>ROUND(IF(AI81=0,0,AL81/ABS(AI81)),3)</f>
        <v>0</v>
      </c>
    </row>
    <row r="82" spans="1:44" ht="15.75">
      <c r="A82" s="31"/>
      <c r="B82" s="31" t="s">
        <v>200</v>
      </c>
      <c r="C82" s="31"/>
      <c r="D82" s="31"/>
      <c r="E82" s="687">
        <f>+'Exhibit I State'!E81+'Exhibit I Federal'!E63</f>
        <v>0</v>
      </c>
      <c r="F82" s="1531"/>
      <c r="G82" s="687">
        <f>+'Exhibit I State'!G81+'Exhibit I Federal'!G63</f>
        <v>0</v>
      </c>
      <c r="H82" s="1531"/>
      <c r="I82" s="687">
        <f>+'Exhibit I State'!I81+'Exhibit I Federal'!I63</f>
        <v>0</v>
      </c>
      <c r="J82" s="1531"/>
      <c r="K82" s="687">
        <f>+'Exhibit I State'!K81+'Exhibit I Federal'!K63</f>
        <v>0</v>
      </c>
      <c r="L82" s="66"/>
      <c r="M82" s="687">
        <f>+'Exhibit I State'!M81+'Exhibit I Federal'!M63</f>
        <v>0</v>
      </c>
      <c r="N82" s="66"/>
      <c r="O82" s="687">
        <f>+'Exhibit I State'!O81+'Exhibit I Federal'!O63</f>
        <v>0</v>
      </c>
      <c r="P82" s="66"/>
      <c r="Q82" s="687">
        <f>+'Exhibit I State'!Q81+'Exhibit I Federal'!Q63</f>
        <v>0</v>
      </c>
      <c r="R82" s="66"/>
      <c r="S82" s="687">
        <f>+'Exhibit I State'!S81+'Exhibit I Federal'!S63</f>
        <v>0</v>
      </c>
      <c r="T82" s="66"/>
      <c r="U82" s="687">
        <f>+'Exhibit I State'!U81+'Exhibit I Federal'!U63</f>
        <v>0</v>
      </c>
      <c r="V82" s="66"/>
      <c r="W82" s="687">
        <f>+'Exhibit I State'!W81+'Exhibit I Federal'!W63</f>
        <v>0</v>
      </c>
      <c r="X82" s="66"/>
      <c r="Y82" s="687"/>
      <c r="Z82" s="66"/>
      <c r="AA82" s="687"/>
      <c r="AB82" s="277"/>
      <c r="AC82" s="277">
        <v>0</v>
      </c>
      <c r="AD82" s="66"/>
      <c r="AE82" s="57"/>
      <c r="AF82" s="3885">
        <f>ROUND(SUM(E82:AC82),1)</f>
        <v>0</v>
      </c>
      <c r="AG82" s="79"/>
      <c r="AH82" s="56"/>
      <c r="AI82" s="357">
        <f>+'Exhibit I State'!AG81+'Exhibit I Federal'!AG63</f>
        <v>0</v>
      </c>
      <c r="AJ82" s="69"/>
      <c r="AK82" s="342"/>
      <c r="AL82" s="340">
        <f>ROUND(SUM(+AF82-AI82),1)</f>
        <v>0</v>
      </c>
      <c r="AM82" s="325"/>
      <c r="AN82" s="8">
        <f>ROUND(IF(AI82=0,0,AL82/ABS(AI82)),3)</f>
        <v>0</v>
      </c>
    </row>
    <row r="83" spans="1:44" ht="15.75">
      <c r="A83" s="31"/>
      <c r="B83" s="31" t="s">
        <v>201</v>
      </c>
      <c r="C83" s="31"/>
      <c r="D83" s="31"/>
      <c r="E83" s="687">
        <f>+'Exhibit I State'!E82+'Exhibit I Federal'!E64</f>
        <v>0</v>
      </c>
      <c r="F83" s="1531"/>
      <c r="G83" s="687">
        <f>+'Exhibit I State'!G82+'Exhibit I Federal'!G64</f>
        <v>0</v>
      </c>
      <c r="H83" s="1531"/>
      <c r="I83" s="687">
        <f>+'Exhibit I State'!I82+'Exhibit I Federal'!I64</f>
        <v>0</v>
      </c>
      <c r="J83" s="1531"/>
      <c r="K83" s="687">
        <f>+'Exhibit I State'!K82+'Exhibit I Federal'!K64</f>
        <v>0</v>
      </c>
      <c r="L83" s="66"/>
      <c r="M83" s="687">
        <f>+'Exhibit I State'!M82+'Exhibit I Federal'!M64</f>
        <v>0</v>
      </c>
      <c r="N83" s="66"/>
      <c r="O83" s="687">
        <f>+'Exhibit I State'!O82+'Exhibit I Federal'!O64</f>
        <v>0</v>
      </c>
      <c r="P83" s="66"/>
      <c r="Q83" s="687">
        <f>+'Exhibit I State'!Q82+'Exhibit I Federal'!Q64</f>
        <v>0</v>
      </c>
      <c r="R83" s="66"/>
      <c r="S83" s="687">
        <f>+'Exhibit I State'!S82+'Exhibit I Federal'!S64</f>
        <v>0</v>
      </c>
      <c r="T83" s="66"/>
      <c r="U83" s="687">
        <f>+'Exhibit I State'!U82+'Exhibit I Federal'!U64</f>
        <v>0</v>
      </c>
      <c r="V83" s="66"/>
      <c r="W83" s="687">
        <f>+'Exhibit I State'!W82+'Exhibit I Federal'!W64</f>
        <v>0</v>
      </c>
      <c r="X83" s="66"/>
      <c r="Y83" s="687"/>
      <c r="Z83" s="343"/>
      <c r="AA83" s="687"/>
      <c r="AB83" s="277"/>
      <c r="AC83" s="277">
        <v>0</v>
      </c>
      <c r="AD83" s="343"/>
      <c r="AE83" s="344"/>
      <c r="AF83" s="119">
        <f>ROUND(SUM(E83:AC83),1)</f>
        <v>0</v>
      </c>
      <c r="AG83" s="79"/>
      <c r="AH83" s="56"/>
      <c r="AI83" s="357">
        <f>+'Exhibit I State'!AG82+'Exhibit I Federal'!AG64</f>
        <v>0</v>
      </c>
      <c r="AJ83" s="69"/>
      <c r="AK83" s="342"/>
      <c r="AL83" s="340">
        <f>ROUND(SUM(+AF83-AI83),1)</f>
        <v>0</v>
      </c>
      <c r="AM83" s="325"/>
      <c r="AN83" s="8">
        <f>ROUND(IF(AI83=0,0,AL83/ABS(AI83)),3)</f>
        <v>0</v>
      </c>
    </row>
    <row r="84" spans="1:44" ht="15.75">
      <c r="A84" s="31"/>
      <c r="B84" s="54" t="s">
        <v>172</v>
      </c>
      <c r="C84" s="31"/>
      <c r="D84" s="31"/>
      <c r="E84" s="687">
        <f>+'Exhibit I State'!E83+'Exhibit I Federal'!E65</f>
        <v>509.8</v>
      </c>
      <c r="F84" s="1531"/>
      <c r="G84" s="687">
        <f>+'Exhibit I State'!G83+'Exhibit I Federal'!G65</f>
        <v>406</v>
      </c>
      <c r="H84" s="659"/>
      <c r="I84" s="687">
        <f>+'Exhibit I State'!I83+'Exhibit I Federal'!I65</f>
        <v>681.80000000000007</v>
      </c>
      <c r="J84" s="659"/>
      <c r="K84" s="687">
        <f>+'Exhibit I State'!K83+'Exhibit I Federal'!K65</f>
        <v>641.4000000000002</v>
      </c>
      <c r="L84" s="66"/>
      <c r="M84" s="687">
        <f>+'Exhibit I State'!M83+'Exhibit I Federal'!M65</f>
        <v>665.39999999999964</v>
      </c>
      <c r="N84" s="66"/>
      <c r="O84" s="687">
        <f>+'Exhibit I State'!O83+'Exhibit I Federal'!O65</f>
        <v>706.7</v>
      </c>
      <c r="P84" s="66"/>
      <c r="Q84" s="687">
        <f>+'Exhibit I State'!Q83+'Exhibit I Federal'!Q65</f>
        <v>533.60000000000025</v>
      </c>
      <c r="R84" s="66"/>
      <c r="S84" s="687">
        <f>+'Exhibit I State'!S83+'Exhibit I Federal'!S65</f>
        <v>609.79999999999961</v>
      </c>
      <c r="T84" s="66"/>
      <c r="U84" s="687">
        <f>+'Exhibit I State'!U83+'Exhibit I Federal'!U65</f>
        <v>630.5</v>
      </c>
      <c r="V84" s="66"/>
      <c r="W84" s="687">
        <f>+'Exhibit I State'!W83+'Exhibit I Federal'!W65</f>
        <v>453.49999999999977</v>
      </c>
      <c r="X84" s="66"/>
      <c r="Y84" s="687"/>
      <c r="Z84" s="66"/>
      <c r="AA84" s="687"/>
      <c r="AB84" s="277"/>
      <c r="AC84" s="277">
        <v>0</v>
      </c>
      <c r="AD84" s="66"/>
      <c r="AE84" s="57"/>
      <c r="AF84" s="119">
        <f>ROUND(SUM(E84:AC84),1)</f>
        <v>5838.5</v>
      </c>
      <c r="AG84" s="79"/>
      <c r="AH84" s="56"/>
      <c r="AI84" s="3467">
        <f>+'Exhibit I State'!AG83+'Exhibit I Federal'!AG65</f>
        <v>5976.8</v>
      </c>
      <c r="AJ84" s="78"/>
      <c r="AK84" s="333"/>
      <c r="AL84" s="336">
        <f>ROUND(SUM(+AF84-AI84),1)</f>
        <v>-138.30000000000001</v>
      </c>
      <c r="AM84" s="325"/>
      <c r="AN84" s="1427">
        <f>ROUND(IF(AI84=0,1,AL84/ABS(AI84)),3)</f>
        <v>-2.3E-2</v>
      </c>
    </row>
    <row r="85" spans="1:44" ht="15.75">
      <c r="A85" s="31"/>
      <c r="B85" s="31"/>
      <c r="C85" s="31"/>
      <c r="D85" s="31"/>
      <c r="E85" s="688"/>
      <c r="F85" s="1531"/>
      <c r="G85" s="688"/>
      <c r="H85" s="1531"/>
      <c r="I85" s="688"/>
      <c r="J85" s="1531"/>
      <c r="K85" s="688"/>
      <c r="L85" s="66"/>
      <c r="M85" s="88"/>
      <c r="N85" s="66"/>
      <c r="O85" s="88"/>
      <c r="P85" s="66"/>
      <c r="Q85" s="88"/>
      <c r="R85" s="66"/>
      <c r="S85" s="126"/>
      <c r="T85" s="66"/>
      <c r="U85" s="88"/>
      <c r="V85" s="66"/>
      <c r="W85" s="88"/>
      <c r="X85" s="66"/>
      <c r="Y85" s="88"/>
      <c r="Z85" s="66"/>
      <c r="AA85" s="88"/>
      <c r="AB85" s="56"/>
      <c r="AC85" s="88"/>
      <c r="AD85" s="66"/>
      <c r="AE85" s="57"/>
      <c r="AF85" s="126"/>
      <c r="AG85" s="79"/>
      <c r="AH85" s="56"/>
      <c r="AI85" s="358"/>
      <c r="AJ85" s="58"/>
      <c r="AK85" s="345"/>
      <c r="AL85" s="58"/>
      <c r="AM85" s="325"/>
      <c r="AN85" s="332"/>
    </row>
    <row r="86" spans="1:44" ht="15.75">
      <c r="A86" s="31"/>
      <c r="B86" s="29" t="s">
        <v>202</v>
      </c>
      <c r="C86" s="31"/>
      <c r="D86" s="31"/>
      <c r="E86" s="922">
        <f>ROUND(SUM(+E84+E79),1)</f>
        <v>653.20000000000005</v>
      </c>
      <c r="F86" s="922"/>
      <c r="G86" s="922">
        <f>ROUND(SUM(+G84+G79),1)</f>
        <v>566</v>
      </c>
      <c r="H86" s="922"/>
      <c r="I86" s="922">
        <f>ROUND(SUM(+I84+I79),1)</f>
        <v>925.4</v>
      </c>
      <c r="J86" s="922"/>
      <c r="K86" s="922">
        <f>ROUND(SUM(+K84+K79),1)</f>
        <v>915.1</v>
      </c>
      <c r="L86" s="62"/>
      <c r="M86" s="922">
        <f>ROUND(SUM(+M84+M79),1)</f>
        <v>1104.5999999999999</v>
      </c>
      <c r="N86" s="62"/>
      <c r="O86" s="922">
        <f>ROUND(SUM(+O84+O79),1)</f>
        <v>1259.5999999999999</v>
      </c>
      <c r="P86" s="62"/>
      <c r="Q86" s="922">
        <f>ROUND(SUM(+Q84+Q79),1)</f>
        <v>1264.0999999999999</v>
      </c>
      <c r="R86" s="62"/>
      <c r="S86" s="112">
        <f>ROUND(SUM(+S84+S79),1)</f>
        <v>1336</v>
      </c>
      <c r="T86" s="62"/>
      <c r="U86" s="922">
        <f>ROUND(SUM(+U84+U79),1)</f>
        <v>1203.5999999999999</v>
      </c>
      <c r="V86" s="62"/>
      <c r="W86" s="922">
        <f>ROUND(SUM(+W84+W79),1)</f>
        <v>834</v>
      </c>
      <c r="X86" s="62"/>
      <c r="Y86" s="922">
        <f>ROUND(SUM(+Y84+Y79),1)</f>
        <v>0</v>
      </c>
      <c r="Z86" s="62"/>
      <c r="AA86" s="922">
        <f>ROUND(SUM(+AA84+AA79),1)</f>
        <v>0</v>
      </c>
      <c r="AB86" s="922"/>
      <c r="AC86" s="922">
        <f>ROUND(SUM(+AC84+AC79),1)</f>
        <v>0</v>
      </c>
      <c r="AD86" s="62"/>
      <c r="AE86" s="64"/>
      <c r="AF86" s="112">
        <f>ROUND(SUM(+AF84+AF79),1)</f>
        <v>10061.6</v>
      </c>
      <c r="AG86" s="216"/>
      <c r="AH86" s="76"/>
      <c r="AI86" s="112">
        <f>ROUND(SUM(+AI84+AI79),1)</f>
        <v>10305.799999999999</v>
      </c>
      <c r="AJ86" s="76"/>
      <c r="AK86" s="335"/>
      <c r="AL86" s="74">
        <f>ROUND(SUM(AL79+AL84),1)</f>
        <v>-244.2</v>
      </c>
      <c r="AM86" s="341"/>
      <c r="AN86" s="299">
        <f>ROUND(SUM(AL86/AI86),3)</f>
        <v>-2.4E-2</v>
      </c>
      <c r="AO86" s="330"/>
      <c r="AP86" s="338"/>
      <c r="AQ86" s="330"/>
      <c r="AR86" s="330"/>
    </row>
    <row r="87" spans="1:44" ht="15.75">
      <c r="A87" s="31"/>
      <c r="B87" s="31"/>
      <c r="C87" s="31"/>
      <c r="D87" s="31"/>
      <c r="E87" s="688"/>
      <c r="F87" s="1531"/>
      <c r="G87" s="688"/>
      <c r="H87" s="1531"/>
      <c r="I87" s="688"/>
      <c r="J87" s="1531"/>
      <c r="K87" s="688"/>
      <c r="L87" s="66"/>
      <c r="M87" s="88"/>
      <c r="N87" s="66"/>
      <c r="O87" s="88"/>
      <c r="P87" s="66"/>
      <c r="Q87" s="88"/>
      <c r="R87" s="66"/>
      <c r="S87" s="126"/>
      <c r="T87" s="66"/>
      <c r="U87" s="88"/>
      <c r="V87" s="66"/>
      <c r="W87" s="88"/>
      <c r="X87" s="66"/>
      <c r="Y87" s="88"/>
      <c r="Z87" s="66"/>
      <c r="AA87" s="88"/>
      <c r="AB87" s="56"/>
      <c r="AC87" s="88"/>
      <c r="AD87" s="66"/>
      <c r="AE87" s="57"/>
      <c r="AF87" s="126"/>
      <c r="AG87" s="79"/>
      <c r="AH87" s="56"/>
      <c r="AI87" s="126"/>
      <c r="AJ87" s="56"/>
      <c r="AK87" s="335"/>
      <c r="AL87" s="58"/>
      <c r="AM87" s="325"/>
      <c r="AN87" s="332"/>
    </row>
    <row r="88" spans="1:44" ht="15.75">
      <c r="A88" s="31"/>
      <c r="B88" s="29" t="s">
        <v>203</v>
      </c>
      <c r="C88" s="31"/>
      <c r="D88" s="31"/>
      <c r="E88" s="1531"/>
      <c r="F88" s="1531"/>
      <c r="G88" s="1531"/>
      <c r="H88" s="1531"/>
      <c r="I88" s="1531"/>
      <c r="J88" s="1531"/>
      <c r="K88" s="1531"/>
      <c r="L88" s="66"/>
      <c r="M88" s="66"/>
      <c r="N88" s="66"/>
      <c r="O88" s="66"/>
      <c r="P88" s="66"/>
      <c r="Q88" s="66"/>
      <c r="R88" s="66"/>
      <c r="S88" s="118"/>
      <c r="T88" s="66"/>
      <c r="U88" s="66"/>
      <c r="V88" s="66"/>
      <c r="W88" s="66"/>
      <c r="X88" s="66"/>
      <c r="Y88" s="66"/>
      <c r="Z88" s="66"/>
      <c r="AA88" s="66"/>
      <c r="AB88" s="66"/>
      <c r="AC88" s="66"/>
      <c r="AD88" s="66"/>
      <c r="AE88" s="57"/>
      <c r="AF88" s="358"/>
      <c r="AG88" s="79"/>
      <c r="AH88" s="56"/>
      <c r="AI88" s="358"/>
      <c r="AJ88" s="58"/>
      <c r="AK88" s="345"/>
      <c r="AL88" s="58"/>
      <c r="AM88" s="325"/>
      <c r="AN88" s="332"/>
    </row>
    <row r="89" spans="1:44" ht="15.75">
      <c r="A89" s="31"/>
      <c r="B89" s="29" t="s">
        <v>204</v>
      </c>
      <c r="C89" s="31"/>
      <c r="D89" s="31"/>
      <c r="E89" s="922">
        <f>ROUND(SUM(E65-E86),1)</f>
        <v>697.3</v>
      </c>
      <c r="F89" s="922"/>
      <c r="G89" s="922">
        <f>ROUND(SUM(G65-G86),1)</f>
        <v>-352.8</v>
      </c>
      <c r="H89" s="922"/>
      <c r="I89" s="922">
        <f>ROUND(SUM(I65-I86),1)</f>
        <v>-234</v>
      </c>
      <c r="J89" s="922"/>
      <c r="K89" s="922">
        <f>ROUND(SUM(K65-K86),1)</f>
        <v>-232.2</v>
      </c>
      <c r="L89" s="62"/>
      <c r="M89" s="922">
        <f>ROUND(SUM(M65-M86),1)</f>
        <v>-679.4</v>
      </c>
      <c r="N89" s="62"/>
      <c r="O89" s="922">
        <f>ROUND(SUM(O65-O86),1)</f>
        <v>-471.7</v>
      </c>
      <c r="P89" s="62"/>
      <c r="Q89" s="922">
        <f>ROUND(SUM(Q65-Q86),1)</f>
        <v>-13.4</v>
      </c>
      <c r="R89" s="62"/>
      <c r="S89" s="112">
        <f>ROUND(SUM(S65-S86),1)</f>
        <v>-938</v>
      </c>
      <c r="T89" s="62"/>
      <c r="U89" s="922">
        <f>ROUND(SUM(U65-U86),1)</f>
        <v>200.4</v>
      </c>
      <c r="V89" s="62"/>
      <c r="W89" s="922">
        <f>ROUND(SUM(W65-W86),1)</f>
        <v>-539.5</v>
      </c>
      <c r="X89" s="62"/>
      <c r="Y89" s="922">
        <f>ROUND(SUM(Y65-Y86),1)</f>
        <v>0</v>
      </c>
      <c r="Z89" s="62"/>
      <c r="AA89" s="922">
        <f>ROUND(SUM(AA65-AA86),1)</f>
        <v>0</v>
      </c>
      <c r="AB89" s="922"/>
      <c r="AC89" s="922">
        <f>ROUND(SUM(AC65-AC86),1)</f>
        <v>0</v>
      </c>
      <c r="AD89" s="62"/>
      <c r="AE89" s="64"/>
      <c r="AF89" s="112">
        <f>ROUND(SUM(AF65-AF86),1)</f>
        <v>-2563.3000000000002</v>
      </c>
      <c r="AG89" s="216"/>
      <c r="AH89" s="76"/>
      <c r="AI89" s="112">
        <f>ROUND(SUM(AI65-AI86),1)</f>
        <v>-2740.5</v>
      </c>
      <c r="AJ89" s="76"/>
      <c r="AK89" s="335"/>
      <c r="AL89" s="74">
        <f>ROUND(SUM(AL65-AL86),1)</f>
        <v>177.2</v>
      </c>
      <c r="AM89" s="341"/>
      <c r="AN89" s="299">
        <f>ROUND(IF(AI89=0,0,AL89/ABS(AI89)),3)</f>
        <v>6.5000000000000002E-2</v>
      </c>
      <c r="AO89" s="330"/>
      <c r="AP89" s="330"/>
      <c r="AQ89" s="330"/>
      <c r="AR89" s="330"/>
    </row>
    <row r="90" spans="1:44" ht="15.75">
      <c r="A90" s="31"/>
      <c r="B90" s="31"/>
      <c r="C90" s="31"/>
      <c r="D90" s="31"/>
      <c r="E90" s="688"/>
      <c r="F90" s="1531"/>
      <c r="G90" s="688"/>
      <c r="H90" s="1531"/>
      <c r="I90" s="688"/>
      <c r="J90" s="1531"/>
      <c r="K90" s="688"/>
      <c r="L90" s="66"/>
      <c r="M90" s="88"/>
      <c r="N90" s="66"/>
      <c r="O90" s="88"/>
      <c r="P90" s="66"/>
      <c r="Q90" s="88"/>
      <c r="R90" s="66"/>
      <c r="S90" s="126"/>
      <c r="T90" s="66"/>
      <c r="U90" s="88"/>
      <c r="V90" s="66"/>
      <c r="W90" s="88"/>
      <c r="X90" s="66"/>
      <c r="Y90" s="88"/>
      <c r="Z90" s="66"/>
      <c r="AA90" s="88"/>
      <c r="AB90" s="56"/>
      <c r="AC90" s="88"/>
      <c r="AD90" s="66"/>
      <c r="AE90" s="57"/>
      <c r="AF90" s="126"/>
      <c r="AG90" s="79"/>
      <c r="AH90" s="56"/>
      <c r="AI90" s="126"/>
      <c r="AJ90" s="56"/>
      <c r="AK90" s="335"/>
      <c r="AL90" s="58"/>
      <c r="AM90" s="325"/>
      <c r="AN90" s="332"/>
    </row>
    <row r="91" spans="1:44" ht="15.75">
      <c r="A91" s="31"/>
      <c r="B91" s="29" t="s">
        <v>205</v>
      </c>
      <c r="C91" s="31"/>
      <c r="D91" s="31"/>
      <c r="E91" s="1531"/>
      <c r="F91" s="1531"/>
      <c r="G91" s="1531"/>
      <c r="H91" s="1531"/>
      <c r="I91" s="1531"/>
      <c r="J91" s="1531"/>
      <c r="K91" s="1531"/>
      <c r="L91" s="66"/>
      <c r="M91" s="66"/>
      <c r="N91" s="66"/>
      <c r="O91" s="66"/>
      <c r="P91" s="66"/>
      <c r="Q91" s="66"/>
      <c r="R91" s="66"/>
      <c r="S91" s="118"/>
      <c r="T91" s="66"/>
      <c r="U91" s="66"/>
      <c r="V91" s="66"/>
      <c r="W91" s="66"/>
      <c r="X91" s="66"/>
      <c r="Y91" s="66"/>
      <c r="Z91" s="66"/>
      <c r="AA91" s="66"/>
      <c r="AB91" s="66"/>
      <c r="AC91" s="118"/>
      <c r="AD91" s="66"/>
      <c r="AE91" s="57"/>
      <c r="AF91" s="118"/>
      <c r="AG91" s="79"/>
      <c r="AH91" s="56"/>
      <c r="AI91" s="127"/>
      <c r="AJ91" s="69"/>
      <c r="AK91" s="342"/>
      <c r="AL91" s="58"/>
      <c r="AM91" s="325"/>
      <c r="AN91" s="332"/>
    </row>
    <row r="92" spans="1:44" s="1090" customFormat="1" ht="15.75">
      <c r="A92" s="107"/>
      <c r="B92" s="994" t="s">
        <v>1480</v>
      </c>
      <c r="C92" s="107"/>
      <c r="D92" s="107"/>
      <c r="E92" s="687">
        <f>+'Exhibit I State'!E91+'Exhibit I Federal'!E73</f>
        <v>0</v>
      </c>
      <c r="F92" s="1531"/>
      <c r="G92" s="687">
        <f>+'Exhibit I State'!G91+'Exhibit I Federal'!G73</f>
        <v>0</v>
      </c>
      <c r="H92" s="659"/>
      <c r="I92" s="687">
        <f>+'Exhibit I State'!I91+'Exhibit I Federal'!I73</f>
        <v>0</v>
      </c>
      <c r="J92" s="1531"/>
      <c r="K92" s="687">
        <f>+'Exhibit I State'!K91+'Exhibit I Federal'!K73</f>
        <v>0</v>
      </c>
      <c r="L92" s="118"/>
      <c r="M92" s="687">
        <f>+'Exhibit I State'!M91+'Exhibit I Federal'!M73</f>
        <v>0</v>
      </c>
      <c r="N92" s="357"/>
      <c r="O92" s="687">
        <f>+'Exhibit I State'!O91+'Exhibit I Federal'!O73</f>
        <v>0</v>
      </c>
      <c r="P92" s="118"/>
      <c r="Q92" s="687">
        <f>+'Exhibit I State'!Q91+'Exhibit I Federal'!Q73</f>
        <v>0</v>
      </c>
      <c r="R92" s="118"/>
      <c r="S92" s="687">
        <f>+'Exhibit I State'!S91+'Exhibit I Federal'!S73</f>
        <v>0</v>
      </c>
      <c r="T92" s="118"/>
      <c r="U92" s="687">
        <f>+'Exhibit I State'!U91+'Exhibit I Federal'!U73</f>
        <v>0</v>
      </c>
      <c r="V92" s="118"/>
      <c r="W92" s="687">
        <f>+'Exhibit I State'!W91+'Exhibit I Federal'!W73</f>
        <v>0</v>
      </c>
      <c r="X92" s="118"/>
      <c r="Y92" s="687"/>
      <c r="Z92" s="118"/>
      <c r="AA92" s="687"/>
      <c r="AB92" s="1080"/>
      <c r="AC92" s="1080">
        <v>0</v>
      </c>
      <c r="AD92" s="118"/>
      <c r="AE92" s="678"/>
      <c r="AF92" s="119">
        <f>ROUND(SUM(E92:AC92),1)</f>
        <v>0</v>
      </c>
      <c r="AG92" s="1081"/>
      <c r="AH92" s="67"/>
      <c r="AI92" s="127">
        <f>+'Exhibit I State'!AG91+'Exhibit I Federal'!AG73</f>
        <v>0</v>
      </c>
      <c r="AJ92" s="127"/>
      <c r="AK92" s="1108"/>
      <c r="AL92" s="1793">
        <f>ROUND(SUM(+AF92-AI92),1)</f>
        <v>0</v>
      </c>
      <c r="AM92" s="1083"/>
      <c r="AN92" s="1650">
        <f>ROUND(IF(AI92=0,0,AL92/ABS(AI92)),3)</f>
        <v>0</v>
      </c>
    </row>
    <row r="93" spans="1:44" s="1090" customFormat="1" ht="15.75">
      <c r="A93" s="107"/>
      <c r="B93" s="1726" t="s">
        <v>173</v>
      </c>
      <c r="C93" s="107"/>
      <c r="D93" s="107"/>
      <c r="E93" s="687">
        <f>+'Exhibit I State'!E92+'Exhibit I Federal'!E73</f>
        <v>-805.1</v>
      </c>
      <c r="F93" s="1531"/>
      <c r="G93" s="687">
        <f>+'Exhibit I State'!G92+'Exhibit I Federal'!G73</f>
        <v>198</v>
      </c>
      <c r="H93" s="687"/>
      <c r="I93" s="687">
        <f>+'Exhibit I State'!I92+'Exhibit I Federal'!I73</f>
        <v>360.6</v>
      </c>
      <c r="J93" s="1531"/>
      <c r="K93" s="687">
        <f>+'Exhibit I State'!K92+'Exhibit I Federal'!K73</f>
        <v>523.4</v>
      </c>
      <c r="L93" s="118"/>
      <c r="M93" s="687">
        <f>+'Exhibit I State'!M92+'Exhibit I Federal'!M73</f>
        <v>566.29999999999984</v>
      </c>
      <c r="N93" s="118"/>
      <c r="O93" s="687">
        <f>+'Exhibit I State'!O92+'Exhibit I Federal'!O73</f>
        <v>250.00000000000045</v>
      </c>
      <c r="P93" s="118"/>
      <c r="Q93" s="687">
        <f>+'Exhibit I State'!Q92+'Exhibit I Federal'!Q73</f>
        <v>91.299999999999727</v>
      </c>
      <c r="R93" s="118"/>
      <c r="S93" s="687">
        <f>+'Exhibit I State'!S92+'Exhibit I Federal'!S73</f>
        <v>908.30000000000018</v>
      </c>
      <c r="T93" s="118"/>
      <c r="U93" s="687">
        <f>+'Exhibit I State'!U92+'Exhibit I Federal'!U73</f>
        <v>124.09999999999991</v>
      </c>
      <c r="V93" s="118"/>
      <c r="W93" s="687">
        <f>+'Exhibit I State'!W92+'Exhibit I Federal'!W73</f>
        <v>481.90000000000009</v>
      </c>
      <c r="X93" s="118"/>
      <c r="Y93" s="687"/>
      <c r="Z93" s="118"/>
      <c r="AA93" s="687"/>
      <c r="AB93" s="3434"/>
      <c r="AC93" s="1789">
        <v>0</v>
      </c>
      <c r="AD93" s="118"/>
      <c r="AE93" s="678"/>
      <c r="AF93" s="119">
        <f>ROUND(SUM(E93:AC93),1)</f>
        <v>2698.8</v>
      </c>
      <c r="AG93" s="1081"/>
      <c r="AH93" s="67"/>
      <c r="AI93" s="118">
        <v>3671.8</v>
      </c>
      <c r="AJ93" s="119"/>
      <c r="AK93" s="1082"/>
      <c r="AL93" s="1793">
        <f>ROUND(SUM(+AF93-AI93),1)</f>
        <v>-973</v>
      </c>
      <c r="AM93" s="1102"/>
      <c r="AN93" s="1794">
        <f>ROUND(IF(AI93=0,0,AL93/ABS(AI93)),3)</f>
        <v>-0.26500000000000001</v>
      </c>
      <c r="AO93" s="1102"/>
      <c r="AP93" s="1103"/>
    </row>
    <row r="94" spans="1:44" ht="15.75">
      <c r="A94" s="31"/>
      <c r="B94" s="54" t="s">
        <v>206</v>
      </c>
      <c r="C94" s="31"/>
      <c r="D94" s="31"/>
      <c r="E94" s="687">
        <f>+'Exhibit I State'!E93+'Exhibit I Federal'!E74</f>
        <v>-12.3</v>
      </c>
      <c r="F94" s="1531"/>
      <c r="G94" s="687">
        <f>+'Exhibit I State'!G93+'Exhibit I Federal'!G74</f>
        <v>-12.399999999999999</v>
      </c>
      <c r="H94" s="1531"/>
      <c r="I94" s="687">
        <f>+'Exhibit I State'!I93+'Exhibit I Federal'!I74</f>
        <v>-12.3</v>
      </c>
      <c r="J94" s="1531"/>
      <c r="K94" s="687">
        <f>+'Exhibit I State'!K93+'Exhibit I Federal'!K74</f>
        <v>-14.000000000000004</v>
      </c>
      <c r="L94" s="118"/>
      <c r="M94" s="687">
        <f>+'Exhibit I State'!M93+'Exhibit I Federal'!M74</f>
        <v>-36.400000000000006</v>
      </c>
      <c r="N94" s="118"/>
      <c r="O94" s="687">
        <f>+'Exhibit I State'!O93+'Exhibit I Federal'!O74</f>
        <v>-186.99999999999994</v>
      </c>
      <c r="P94" s="118"/>
      <c r="Q94" s="687">
        <f>+'Exhibit I State'!Q93+'Exhibit I Federal'!Q74</f>
        <v>-12.100000000000051</v>
      </c>
      <c r="R94" s="118"/>
      <c r="S94" s="687">
        <f>+'Exhibit I State'!S93+'Exhibit I Federal'!S74</f>
        <v>-12.100000000000023</v>
      </c>
      <c r="T94" s="118"/>
      <c r="U94" s="687">
        <f>+'Exhibit I State'!U93+'Exhibit I Federal'!U74</f>
        <v>-54.299999999999983</v>
      </c>
      <c r="V94" s="118"/>
      <c r="W94" s="687">
        <f>+'Exhibit I State'!W93+'Exhibit I Federal'!W74</f>
        <v>-11.600000000000023</v>
      </c>
      <c r="X94" s="118"/>
      <c r="Y94" s="687"/>
      <c r="Z94" s="118"/>
      <c r="AA94" s="687"/>
      <c r="AB94" s="3434"/>
      <c r="AC94" s="3423">
        <v>0</v>
      </c>
      <c r="AD94" s="66"/>
      <c r="AE94" s="57"/>
      <c r="AF94" s="119">
        <f>ROUND(SUM(E94:AC94),1)</f>
        <v>-364.5</v>
      </c>
      <c r="AG94" s="79"/>
      <c r="AH94" s="56"/>
      <c r="AI94" s="3861">
        <v>-740.3</v>
      </c>
      <c r="AJ94" s="56"/>
      <c r="AK94" s="335"/>
      <c r="AL94" s="897">
        <f>ROUND(-SUM(+AF94-AI94),1)</f>
        <v>-375.8</v>
      </c>
      <c r="AM94" s="325"/>
      <c r="AN94" s="903">
        <f>ROUND(IF(AI94=0,0,AL94/ABS(AI94)),3)</f>
        <v>-0.50800000000000001</v>
      </c>
      <c r="AO94" s="325"/>
      <c r="AP94" s="167"/>
    </row>
    <row r="95" spans="1:44" ht="15.75">
      <c r="A95" s="31"/>
      <c r="B95" s="31"/>
      <c r="C95" s="31"/>
      <c r="D95" s="31"/>
      <c r="E95" s="88"/>
      <c r="F95" s="66"/>
      <c r="G95" s="88"/>
      <c r="H95" s="66"/>
      <c r="I95" s="88"/>
      <c r="J95" s="66"/>
      <c r="K95" s="88"/>
      <c r="L95" s="66"/>
      <c r="M95" s="88"/>
      <c r="N95" s="66"/>
      <c r="O95" s="88"/>
      <c r="P95" s="66"/>
      <c r="Q95" s="88"/>
      <c r="R95" s="66"/>
      <c r="S95" s="126"/>
      <c r="T95" s="66"/>
      <c r="U95" s="88"/>
      <c r="V95" s="66"/>
      <c r="W95" s="88"/>
      <c r="X95" s="66"/>
      <c r="Y95" s="88"/>
      <c r="Z95" s="66"/>
      <c r="AA95" s="88"/>
      <c r="AB95" s="56"/>
      <c r="AC95" s="67"/>
      <c r="AD95" s="66"/>
      <c r="AE95" s="57"/>
      <c r="AF95" s="126"/>
      <c r="AG95" s="79"/>
      <c r="AH95" s="56"/>
      <c r="AI95" s="358"/>
      <c r="AJ95" s="58"/>
      <c r="AK95" s="345"/>
      <c r="AL95" s="58"/>
      <c r="AM95" s="325"/>
      <c r="AN95" s="332"/>
      <c r="AO95" s="167"/>
    </row>
    <row r="96" spans="1:44" ht="15.75">
      <c r="A96" s="31"/>
      <c r="B96" s="29" t="s">
        <v>1184</v>
      </c>
      <c r="C96" s="31"/>
      <c r="D96" s="31"/>
      <c r="E96" s="62">
        <f>ROUND(SUM(E92:E95),1)</f>
        <v>-817.4</v>
      </c>
      <c r="F96" s="62"/>
      <c r="G96" s="922">
        <f>ROUND(SUM(G92:G95),1)</f>
        <v>185.6</v>
      </c>
      <c r="H96" s="62"/>
      <c r="I96" s="922">
        <f>ROUND(SUM(I92:I95),1)</f>
        <v>348.3</v>
      </c>
      <c r="J96" s="62"/>
      <c r="K96" s="922">
        <f>ROUND(SUM(K92:K95),1)</f>
        <v>509.4</v>
      </c>
      <c r="L96" s="62"/>
      <c r="M96" s="922">
        <f>ROUND(SUM(M92:M95),1)</f>
        <v>529.9</v>
      </c>
      <c r="N96" s="62"/>
      <c r="O96" s="922">
        <f>ROUND(SUM(O92:O95),1)</f>
        <v>63</v>
      </c>
      <c r="P96" s="62"/>
      <c r="Q96" s="922">
        <f>ROUND(SUM(Q92:Q95),1)</f>
        <v>79.2</v>
      </c>
      <c r="R96" s="62"/>
      <c r="S96" s="112">
        <f>ROUND(SUM(S92:S95),1)</f>
        <v>896.2</v>
      </c>
      <c r="T96" s="62"/>
      <c r="U96" s="922">
        <f>ROUND(SUM(U92:U95),1)</f>
        <v>69.8</v>
      </c>
      <c r="V96" s="62"/>
      <c r="W96" s="922">
        <f>ROUND(SUM(W92:W95),1)</f>
        <v>470.3</v>
      </c>
      <c r="X96" s="62"/>
      <c r="Y96" s="922">
        <f>ROUND(SUM(Y92:Y95),1)</f>
        <v>0</v>
      </c>
      <c r="Z96" s="62"/>
      <c r="AA96" s="922">
        <f>ROUND(SUM(AA92:AA95),1)</f>
        <v>0</v>
      </c>
      <c r="AB96" s="922"/>
      <c r="AC96" s="922">
        <f>ROUND(SUM(AC92:AC95),1)</f>
        <v>0</v>
      </c>
      <c r="AD96" s="62"/>
      <c r="AE96" s="64"/>
      <c r="AF96" s="112">
        <f>ROUND(SUM(AF92:AF95),1)</f>
        <v>2334.3000000000002</v>
      </c>
      <c r="AG96" s="216"/>
      <c r="AH96" s="76"/>
      <c r="AI96" s="112">
        <f>ROUND(SUM(AI92:AI95),1)</f>
        <v>2931.5</v>
      </c>
      <c r="AJ96" s="76"/>
      <c r="AK96" s="335"/>
      <c r="AL96" s="74">
        <f>ROUND(SUM(AF96-AI96),1)</f>
        <v>-597.20000000000005</v>
      </c>
      <c r="AM96" s="341"/>
      <c r="AN96" s="348">
        <f>ROUND(SUM(AL96/ABS(AI96)),3)</f>
        <v>-0.20399999999999999</v>
      </c>
      <c r="AO96" s="330"/>
      <c r="AP96" s="330"/>
      <c r="AQ96" s="330"/>
      <c r="AR96" s="330"/>
    </row>
    <row r="97" spans="1:55" ht="15.75">
      <c r="A97" s="31"/>
      <c r="B97" s="31"/>
      <c r="C97" s="31"/>
      <c r="D97" s="31"/>
      <c r="E97" s="88"/>
      <c r="F97" s="66"/>
      <c r="G97" s="88"/>
      <c r="H97" s="66"/>
      <c r="I97" s="88"/>
      <c r="J97" s="66"/>
      <c r="K97" s="88"/>
      <c r="L97" s="66"/>
      <c r="M97" s="88"/>
      <c r="N97" s="66"/>
      <c r="O97" s="88"/>
      <c r="P97" s="66"/>
      <c r="Q97" s="88"/>
      <c r="R97" s="66"/>
      <c r="S97" s="88"/>
      <c r="T97" s="66"/>
      <c r="U97" s="88"/>
      <c r="V97" s="66"/>
      <c r="W97" s="88"/>
      <c r="X97" s="66"/>
      <c r="Y97" s="88"/>
      <c r="Z97" s="66"/>
      <c r="AA97" s="88"/>
      <c r="AB97" s="56"/>
      <c r="AC97" s="88"/>
      <c r="AD97" s="66"/>
      <c r="AE97" s="57"/>
      <c r="AF97" s="88"/>
      <c r="AG97" s="79"/>
      <c r="AH97" s="56"/>
      <c r="AI97" s="126"/>
      <c r="AJ97" s="56"/>
      <c r="AK97" s="335"/>
      <c r="AL97" s="58"/>
      <c r="AM97" s="325"/>
      <c r="AN97" s="332"/>
    </row>
    <row r="98" spans="1:55" ht="15.75">
      <c r="A98" s="31"/>
      <c r="B98" s="31"/>
      <c r="C98" s="31"/>
      <c r="D98" s="31"/>
      <c r="E98" s="66"/>
      <c r="F98" s="66"/>
      <c r="G98" s="66"/>
      <c r="H98" s="66"/>
      <c r="I98" s="66" t="s">
        <v>15</v>
      </c>
      <c r="J98" s="66"/>
      <c r="K98" s="66" t="s">
        <v>15</v>
      </c>
      <c r="L98" s="66"/>
      <c r="M98" s="66" t="s">
        <v>15</v>
      </c>
      <c r="N98" s="66"/>
      <c r="O98" s="66" t="s">
        <v>15</v>
      </c>
      <c r="P98" s="66"/>
      <c r="Q98" s="66" t="s">
        <v>15</v>
      </c>
      <c r="R98" s="66"/>
      <c r="S98" s="66" t="s">
        <v>15</v>
      </c>
      <c r="T98" s="66"/>
      <c r="U98" s="66" t="s">
        <v>15</v>
      </c>
      <c r="V98" s="66"/>
      <c r="W98" s="66" t="s">
        <v>15</v>
      </c>
      <c r="X98" s="66"/>
      <c r="Y98" s="66" t="s">
        <v>15</v>
      </c>
      <c r="Z98" s="66"/>
      <c r="AA98" s="66" t="s">
        <v>15</v>
      </c>
      <c r="AB98" s="66"/>
      <c r="AC98" s="1531" t="s">
        <v>15</v>
      </c>
      <c r="AD98" s="66"/>
      <c r="AE98" s="57"/>
      <c r="AF98" s="66" t="s">
        <v>15</v>
      </c>
      <c r="AG98" s="79"/>
      <c r="AH98" s="56"/>
      <c r="AI98" s="118" t="s">
        <v>15</v>
      </c>
      <c r="AJ98" s="66"/>
      <c r="AK98" s="335"/>
      <c r="AL98" s="58" t="s">
        <v>15</v>
      </c>
      <c r="AM98" s="325"/>
      <c r="AN98" s="332"/>
    </row>
    <row r="99" spans="1:55" ht="15.75">
      <c r="A99" s="31"/>
      <c r="B99" s="29" t="s">
        <v>208</v>
      </c>
      <c r="C99" s="31"/>
      <c r="D99" s="31"/>
      <c r="E99" s="66"/>
      <c r="F99" s="66"/>
      <c r="G99" s="66"/>
      <c r="H99" s="66"/>
      <c r="I99" s="66" t="s">
        <v>15</v>
      </c>
      <c r="J99" s="66"/>
      <c r="K99" s="66" t="s">
        <v>15</v>
      </c>
      <c r="L99" s="66"/>
      <c r="M99" s="66" t="s">
        <v>15</v>
      </c>
      <c r="N99" s="66"/>
      <c r="O99" s="66" t="s">
        <v>15</v>
      </c>
      <c r="P99" s="66"/>
      <c r="Q99" s="66" t="s">
        <v>15</v>
      </c>
      <c r="R99" s="66"/>
      <c r="S99" s="66" t="s">
        <v>15</v>
      </c>
      <c r="T99" s="66"/>
      <c r="U99" s="66" t="s">
        <v>15</v>
      </c>
      <c r="V99" s="66"/>
      <c r="W99" s="66" t="s">
        <v>15</v>
      </c>
      <c r="X99" s="66"/>
      <c r="Y99" s="66" t="s">
        <v>15</v>
      </c>
      <c r="Z99" s="66"/>
      <c r="AA99" s="66" t="s">
        <v>15</v>
      </c>
      <c r="AB99" s="66"/>
      <c r="AC99" s="66" t="s">
        <v>15</v>
      </c>
      <c r="AD99" s="66"/>
      <c r="AE99" s="57"/>
      <c r="AF99" s="66"/>
      <c r="AG99" s="79"/>
      <c r="AH99" s="56"/>
      <c r="AI99" s="118" t="s">
        <v>15</v>
      </c>
      <c r="AJ99" s="66"/>
      <c r="AK99" s="335"/>
      <c r="AL99" s="58"/>
      <c r="AM99" s="325"/>
      <c r="AN99" s="332"/>
    </row>
    <row r="100" spans="1:55" ht="15.75">
      <c r="A100" s="31"/>
      <c r="B100" s="29" t="s">
        <v>209</v>
      </c>
      <c r="C100" s="31"/>
      <c r="D100" s="31"/>
      <c r="E100" s="62" t="s">
        <v>15</v>
      </c>
      <c r="F100" s="62"/>
      <c r="G100" s="922" t="s">
        <v>15</v>
      </c>
      <c r="H100" s="62"/>
      <c r="I100" s="62"/>
      <c r="J100" s="62"/>
      <c r="K100" s="922"/>
      <c r="L100" s="62"/>
      <c r="M100" s="922"/>
      <c r="N100" s="62"/>
      <c r="O100" s="922"/>
      <c r="P100" s="62"/>
      <c r="Q100" s="922"/>
      <c r="R100" s="62"/>
      <c r="S100" s="922"/>
      <c r="T100" s="62"/>
      <c r="U100" s="922"/>
      <c r="V100" s="62"/>
      <c r="W100" s="922"/>
      <c r="X100" s="62"/>
      <c r="Y100" s="922"/>
      <c r="Z100" s="62"/>
      <c r="AA100" s="922"/>
      <c r="AB100" s="922"/>
      <c r="AC100" s="922"/>
      <c r="AD100" s="62"/>
      <c r="AE100" s="64"/>
      <c r="AF100" s="62" t="s">
        <v>15</v>
      </c>
      <c r="AG100" s="216"/>
      <c r="AH100" s="76"/>
      <c r="AI100" s="3468"/>
      <c r="AJ100" s="346"/>
      <c r="AK100" s="345"/>
      <c r="AL100" s="346"/>
      <c r="AM100" s="341"/>
      <c r="AN100" s="329"/>
      <c r="AO100" s="330"/>
      <c r="AP100" s="330"/>
      <c r="AQ100" s="330"/>
      <c r="AR100" s="330"/>
      <c r="AS100" s="330"/>
      <c r="AT100" s="330"/>
      <c r="AU100" s="330"/>
      <c r="AV100" s="330"/>
      <c r="AW100" s="330"/>
      <c r="AX100" s="330"/>
      <c r="AY100" s="330"/>
    </row>
    <row r="101" spans="1:55" ht="15.75">
      <c r="A101" s="31"/>
      <c r="B101" s="29" t="s">
        <v>1175</v>
      </c>
      <c r="C101" s="31"/>
      <c r="D101" s="31"/>
      <c r="E101" s="347">
        <f>ROUND(SUM(E89+E96),1)</f>
        <v>-120.1</v>
      </c>
      <c r="F101" s="62"/>
      <c r="G101" s="347">
        <f>ROUND(SUM(G89+G96),1)</f>
        <v>-167.2</v>
      </c>
      <c r="H101" s="62"/>
      <c r="I101" s="347">
        <f>ROUND(SUM(I89+I96),1)</f>
        <v>114.3</v>
      </c>
      <c r="J101" s="62"/>
      <c r="K101" s="347">
        <f>ROUND(SUM(K89+K96),1)</f>
        <v>277.2</v>
      </c>
      <c r="L101" s="62"/>
      <c r="M101" s="347">
        <f>ROUND(SUM(M89+M96),1)</f>
        <v>-149.5</v>
      </c>
      <c r="N101" s="62"/>
      <c r="O101" s="347">
        <f>ROUND(SUM(O89+O96),1)</f>
        <v>-408.7</v>
      </c>
      <c r="P101" s="62"/>
      <c r="Q101" s="347">
        <f>ROUND(SUM(Q89+Q96),1)</f>
        <v>65.8</v>
      </c>
      <c r="R101" s="62"/>
      <c r="S101" s="347">
        <f>ROUND(SUM(S89+S96),1)</f>
        <v>-41.8</v>
      </c>
      <c r="T101" s="62"/>
      <c r="U101" s="347">
        <f>ROUND(SUM(U89+U96),1)</f>
        <v>270.2</v>
      </c>
      <c r="V101" s="62"/>
      <c r="W101" s="347">
        <f>ROUND(SUM(W89+W96),1)</f>
        <v>-69.2</v>
      </c>
      <c r="X101" s="62"/>
      <c r="Y101" s="347">
        <f>ROUND(SUM(Y89+Y96),1)</f>
        <v>0</v>
      </c>
      <c r="Z101" s="62"/>
      <c r="AA101" s="347">
        <f>ROUND(SUM(AA89+AA96),1)</f>
        <v>0</v>
      </c>
      <c r="AB101" s="1951"/>
      <c r="AC101" s="347">
        <f>ROUND(SUM(AC89+AC96),1)</f>
        <v>0</v>
      </c>
      <c r="AD101" s="62"/>
      <c r="AE101" s="64"/>
      <c r="AF101" s="347">
        <f>ROUND(AF89+AF96,1)</f>
        <v>-229</v>
      </c>
      <c r="AG101" s="216"/>
      <c r="AH101" s="76"/>
      <c r="AI101" s="3862">
        <f>ROUND(SUM(AI89+AI96),1)</f>
        <v>191</v>
      </c>
      <c r="AJ101" s="346"/>
      <c r="AK101" s="345"/>
      <c r="AL101" s="347">
        <f>ROUND(SUM(+AF101-AI101),1)</f>
        <v>-420</v>
      </c>
      <c r="AM101" s="341"/>
      <c r="AN101" s="1618">
        <f>ROUND(IF(AI101=0,0,AL101/ABS(AI101)),3)</f>
        <v>-2.1989999999999998</v>
      </c>
      <c r="AO101" s="330"/>
      <c r="AP101" s="349"/>
      <c r="AQ101" s="330"/>
      <c r="AR101" s="330"/>
      <c r="AS101" s="330"/>
      <c r="AT101" s="330"/>
      <c r="AU101" s="330"/>
      <c r="AV101" s="330"/>
      <c r="AW101" s="330"/>
      <c r="AX101" s="330"/>
      <c r="AY101" s="330"/>
    </row>
    <row r="102" spans="1:55">
      <c r="A102" s="31"/>
      <c r="B102" s="31" t="s">
        <v>15</v>
      </c>
      <c r="C102" s="31"/>
      <c r="D102" s="31"/>
      <c r="E102" s="36"/>
      <c r="F102" s="36"/>
      <c r="G102" s="36"/>
      <c r="H102" s="36"/>
      <c r="I102" s="36"/>
      <c r="J102" s="36"/>
      <c r="K102" s="36"/>
      <c r="L102" s="36"/>
      <c r="M102" s="36"/>
      <c r="N102" s="36"/>
      <c r="O102" s="36"/>
      <c r="P102" s="36"/>
      <c r="Q102" s="36"/>
      <c r="R102" s="36"/>
      <c r="S102" s="287" t="s">
        <v>15</v>
      </c>
      <c r="T102" s="36"/>
      <c r="U102" s="287" t="s">
        <v>15</v>
      </c>
      <c r="V102" s="36"/>
      <c r="W102" s="287" t="s">
        <v>15</v>
      </c>
      <c r="X102" s="36"/>
      <c r="Y102" s="287" t="s">
        <v>15</v>
      </c>
      <c r="Z102" s="36"/>
      <c r="AA102" s="36"/>
      <c r="AB102" s="36"/>
      <c r="AC102" s="36"/>
      <c r="AD102" s="99"/>
      <c r="AE102" s="350"/>
      <c r="AF102" s="36"/>
      <c r="AG102" s="99"/>
      <c r="AH102" s="350"/>
      <c r="AI102" s="996" t="s">
        <v>183</v>
      </c>
      <c r="AJ102" s="274"/>
      <c r="AK102" s="37"/>
      <c r="AL102" s="325"/>
      <c r="AM102" s="325"/>
      <c r="AN102" s="332"/>
      <c r="AO102" s="325"/>
      <c r="AP102" s="325"/>
    </row>
    <row r="103" spans="1:55" s="30" customFormat="1" ht="15" customHeight="1" thickBot="1">
      <c r="A103" s="31"/>
      <c r="B103" s="29" t="s">
        <v>1185</v>
      </c>
      <c r="C103" s="31"/>
      <c r="E103" s="267">
        <f>ROUND(SUM(+E101+E15),1)</f>
        <v>-1155</v>
      </c>
      <c r="F103" s="94"/>
      <c r="G103" s="267">
        <f>ROUND(SUM(+G101+G15),1)</f>
        <v>-1322.2</v>
      </c>
      <c r="H103" s="94"/>
      <c r="I103" s="267">
        <f>ROUND(SUM(+I101+I15),1)</f>
        <v>-1207.9000000000001</v>
      </c>
      <c r="J103" s="94"/>
      <c r="K103" s="267">
        <f>ROUND(SUM(+K101+K15),1)</f>
        <v>-930.7</v>
      </c>
      <c r="L103" s="94"/>
      <c r="M103" s="267">
        <f>ROUND(SUM(+M101+M15),1)</f>
        <v>-1080.2</v>
      </c>
      <c r="N103" s="94"/>
      <c r="O103" s="267">
        <f>ROUND(SUM(+O101+O15),1)</f>
        <v>-1488.9</v>
      </c>
      <c r="P103" s="94"/>
      <c r="Q103" s="267">
        <f>ROUND(SUM(+Q101+Q15),1)</f>
        <v>-1423.1</v>
      </c>
      <c r="R103" s="94"/>
      <c r="S103" s="267">
        <f>ROUND(SUM(+S101+S15),1)</f>
        <v>-1464.9</v>
      </c>
      <c r="T103" s="94"/>
      <c r="U103" s="267">
        <f>ROUND(SUM(+U101+U15),1)</f>
        <v>-1194.7</v>
      </c>
      <c r="V103" s="94"/>
      <c r="W103" s="267">
        <f>ROUND(SUM(+W101+W15),1)</f>
        <v>-1263.9000000000001</v>
      </c>
      <c r="X103" s="94"/>
      <c r="Y103" s="267">
        <f>ROUND(SUM(+Y101+Y15),1)</f>
        <v>0</v>
      </c>
      <c r="Z103" s="94"/>
      <c r="AA103" s="267">
        <f>ROUND(SUM(+AA101+AA15),1)</f>
        <v>0</v>
      </c>
      <c r="AB103" s="219"/>
      <c r="AC103" s="267">
        <f>ROUND(SUM(+AC101+AC15),1)</f>
        <v>0</v>
      </c>
      <c r="AD103" s="94"/>
      <c r="AE103" s="95"/>
      <c r="AF103" s="267">
        <f>ROUND(SUM(+AF101+AF15),1)</f>
        <v>-1263.9000000000001</v>
      </c>
      <c r="AG103" s="94"/>
      <c r="AH103" s="95"/>
      <c r="AI103" s="262">
        <f>ROUND(SUM(+AI101+AI15),1)</f>
        <v>-946.9</v>
      </c>
      <c r="AJ103" s="272"/>
      <c r="AK103" s="219"/>
      <c r="AL103" s="267">
        <f>ROUND(SUM(+AL101+AL15),1)</f>
        <v>-317</v>
      </c>
      <c r="AM103" s="182"/>
      <c r="AN103" s="286">
        <f>ROUND(SUM(-(+AF103-AI103)/AI103),3)</f>
        <v>-0.33500000000000002</v>
      </c>
      <c r="AO103" s="341"/>
      <c r="AP103" s="341"/>
      <c r="AQ103" s="330"/>
      <c r="AR103" s="330"/>
      <c r="AS103" s="268"/>
      <c r="AT103" s="268"/>
      <c r="AU103" s="268"/>
      <c r="AV103" s="268"/>
      <c r="AW103" s="268"/>
      <c r="AX103" s="268"/>
      <c r="AY103" s="268"/>
      <c r="AZ103" s="268"/>
      <c r="BA103" s="268"/>
      <c r="BB103" s="268"/>
      <c r="BC103" s="268"/>
    </row>
    <row r="104" spans="1:55" ht="15.75" thickTop="1">
      <c r="B104" s="220"/>
    </row>
    <row r="105" spans="1:55">
      <c r="B105" s="1199" t="s">
        <v>1284</v>
      </c>
      <c r="C105" s="352"/>
      <c r="D105" s="352"/>
      <c r="E105" s="353"/>
      <c r="F105" s="353"/>
      <c r="G105" s="353"/>
      <c r="AI105" s="3469"/>
      <c r="AL105" s="167"/>
    </row>
    <row r="106" spans="1:55">
      <c r="B106" s="351"/>
      <c r="C106" s="352"/>
      <c r="D106" s="352"/>
      <c r="E106" s="353"/>
      <c r="F106" s="353"/>
      <c r="G106" s="353"/>
      <c r="AL106" s="167"/>
    </row>
    <row r="107" spans="1:55">
      <c r="B107" s="354"/>
      <c r="AL107" s="167"/>
    </row>
    <row r="108" spans="1:55">
      <c r="B108" s="354"/>
    </row>
    <row r="109" spans="1:55">
      <c r="B109" s="351"/>
    </row>
    <row r="110" spans="1:55">
      <c r="B110" s="354"/>
    </row>
    <row r="111" spans="1:55">
      <c r="B111" s="354"/>
    </row>
    <row r="112" spans="1:55">
      <c r="B112" s="351"/>
    </row>
  </sheetData>
  <mergeCells count="1">
    <mergeCell ref="AF11:AN11"/>
  </mergeCells>
  <pageMargins left="0.25" right="0.25" top="0.5" bottom="0.25" header="0" footer="0.25"/>
  <pageSetup scale="40" firstPageNumber="29" orientation="landscape" useFirstPageNumber="1" r:id="rId1"/>
  <headerFooter scaleWithDoc="0" alignWithMargins="0">
    <oddFooter>&amp;C&amp;8&amp;P</oddFooter>
  </headerFooter>
  <rowBreaks count="1" manualBreakCount="1">
    <brk id="66" min="1" max="39" man="1"/>
  </rowBreaks>
  <ignoredErrors>
    <ignoredError sqref="AN40 AN61:AN62 AN29 AN32 AN34:AN36 AN64:AN68 AN90:AN91 AN72:AN74 AN51:AN52 AN20:AN21 AN93:AN95 AN23:AN25 AN79:AN83 AN85:AN88" unlockedFormula="1"/>
    <ignoredError sqref="AN47 AN53 AN58:AN59 AN26 AN55" formula="1" unlockedFormula="1"/>
    <ignoredError sqref="AN49:AN50 AN75"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O109"/>
  <sheetViews>
    <sheetView showGridLines="0" zoomScale="90" zoomScaleNormal="60" workbookViewId="0"/>
  </sheetViews>
  <sheetFormatPr defaultColWidth="8.6640625" defaultRowHeight="15"/>
  <cols>
    <col min="1" max="1" width="2.5546875" style="2580" customWidth="1"/>
    <col min="2" max="2" width="14.109375" style="2580" customWidth="1"/>
    <col min="3" max="3" width="26.109375" style="2580" customWidth="1"/>
    <col min="4" max="4" width="2" style="2580" customWidth="1"/>
    <col min="5" max="5" width="11.109375" style="2580" bestFit="1" customWidth="1"/>
    <col min="6" max="6" width="1.6640625" style="2580" customWidth="1"/>
    <col min="7" max="7" width="11.6640625" style="2580" customWidth="1"/>
    <col min="8" max="8" width="1.6640625" style="2580" customWidth="1"/>
    <col min="9" max="9" width="11.109375" style="2580" bestFit="1" customWidth="1"/>
    <col min="10" max="10" width="1.6640625" style="2580" customWidth="1"/>
    <col min="11" max="11" width="12" style="2580" customWidth="1"/>
    <col min="12" max="12" width="1.109375" style="2580" customWidth="1"/>
    <col min="13" max="13" width="10.109375" style="2580" bestFit="1" customWidth="1"/>
    <col min="14" max="14" width="1.6640625" style="2580" customWidth="1"/>
    <col min="15" max="15" width="11.109375" style="2580" customWidth="1"/>
    <col min="16" max="16" width="1.6640625" style="2580" customWidth="1"/>
    <col min="17" max="17" width="12.6640625" style="2580" customWidth="1"/>
    <col min="18" max="18" width="1.6640625" style="2580" customWidth="1"/>
    <col min="19" max="19" width="10.5546875" style="2580" customWidth="1"/>
    <col min="20" max="20" width="1.6640625" style="2580" customWidth="1"/>
    <col min="21" max="21" width="10.6640625" style="2580" customWidth="1"/>
    <col min="22" max="22" width="1.6640625" style="2580" customWidth="1"/>
    <col min="23" max="23" width="10.6640625" style="2580" customWidth="1"/>
    <col min="24" max="24" width="1.6640625" style="2580" customWidth="1"/>
    <col min="25" max="25" width="10.6640625" style="2580" customWidth="1"/>
    <col min="26" max="26" width="1.6640625" style="2580" customWidth="1"/>
    <col min="27" max="27" width="9" style="2580" bestFit="1" customWidth="1"/>
    <col min="28" max="29" width="1.6640625" style="2580" customWidth="1"/>
    <col min="30" max="30" width="11.109375" style="2580" bestFit="1" customWidth="1"/>
    <col min="31" max="32" width="1.109375" style="2580" customWidth="1"/>
    <col min="33" max="33" width="11.109375" style="2580" customWidth="1"/>
    <col min="34" max="35" width="1" style="2580" customWidth="1"/>
    <col min="36" max="36" width="13.44140625" style="2580" bestFit="1" customWidth="1"/>
    <col min="37" max="37" width="1.109375" style="2580" customWidth="1"/>
    <col min="38" max="38" width="12.6640625" style="2580" customWidth="1"/>
    <col min="39" max="40" width="8.6640625" style="2580"/>
    <col min="41" max="41" width="19.6640625" style="2580" bestFit="1" customWidth="1"/>
    <col min="42" max="16384" width="8.6640625" style="2580"/>
  </cols>
  <sheetData>
    <row r="1" spans="1:39">
      <c r="B1" s="2335" t="s">
        <v>963</v>
      </c>
    </row>
    <row r="2" spans="1:39">
      <c r="B2" s="3657"/>
    </row>
    <row r="3" spans="1:39" ht="19.5" customHeight="1">
      <c r="A3" s="3658"/>
      <c r="B3" s="1473" t="s">
        <v>0</v>
      </c>
      <c r="C3" s="2581"/>
      <c r="D3" s="2581"/>
      <c r="E3" s="2581"/>
      <c r="F3" s="2582"/>
      <c r="G3" s="2582"/>
      <c r="H3" s="2582"/>
      <c r="I3" s="2582"/>
      <c r="J3" s="2582"/>
      <c r="K3" s="2582"/>
      <c r="L3" s="2582"/>
      <c r="M3" s="2582"/>
      <c r="N3" s="2582"/>
      <c r="O3" s="2582"/>
      <c r="P3" s="2582"/>
      <c r="Q3" s="2582"/>
      <c r="R3" s="2582"/>
      <c r="S3" s="2582"/>
      <c r="T3" s="2582"/>
      <c r="U3" s="2582"/>
      <c r="V3" s="2582"/>
      <c r="W3" s="2582"/>
      <c r="X3" s="2582"/>
      <c r="Y3" s="2582"/>
      <c r="Z3" s="2582"/>
      <c r="AA3" s="2582"/>
      <c r="AB3" s="2582"/>
      <c r="AC3" s="2582"/>
      <c r="AD3" s="2582"/>
      <c r="AE3" s="2582"/>
      <c r="AF3" s="2582"/>
      <c r="AG3" s="2582"/>
      <c r="AH3" s="2582"/>
      <c r="AI3" s="2582"/>
      <c r="AL3" s="3110" t="s">
        <v>194</v>
      </c>
    </row>
    <row r="4" spans="1:39" ht="19.5" customHeight="1">
      <c r="A4" s="3658"/>
      <c r="B4" s="1473" t="s">
        <v>210</v>
      </c>
      <c r="C4" s="2581"/>
      <c r="D4" s="2581"/>
      <c r="E4" s="2581"/>
      <c r="F4" s="2582"/>
      <c r="G4" s="2582"/>
      <c r="H4" s="2582"/>
      <c r="I4" s="2582"/>
      <c r="J4" s="2582"/>
      <c r="K4" s="2582"/>
      <c r="L4" s="2582"/>
      <c r="M4" s="2582"/>
      <c r="N4" s="2582"/>
      <c r="O4" s="2582"/>
      <c r="P4" s="2582"/>
      <c r="Q4" s="2582"/>
      <c r="R4" s="2582"/>
      <c r="S4" s="2582"/>
      <c r="T4" s="2582"/>
      <c r="U4" s="2582"/>
      <c r="V4" s="2582"/>
      <c r="W4" s="2582"/>
      <c r="X4" s="2582"/>
      <c r="Y4" s="2582"/>
      <c r="Z4" s="2582"/>
      <c r="AA4" s="2582"/>
      <c r="AB4" s="2582"/>
      <c r="AC4" s="2582"/>
      <c r="AE4" s="3186"/>
      <c r="AF4" s="3186"/>
    </row>
    <row r="5" spans="1:39" ht="19.5" customHeight="1">
      <c r="A5" s="3658"/>
      <c r="B5" s="1474" t="s">
        <v>148</v>
      </c>
      <c r="C5" s="2581"/>
      <c r="D5" s="2581"/>
      <c r="E5" s="2581"/>
      <c r="F5" s="2582"/>
      <c r="G5" s="2582"/>
      <c r="H5" s="2582"/>
      <c r="I5" s="2582"/>
      <c r="J5" s="2582"/>
      <c r="K5" s="2582"/>
      <c r="L5" s="2582"/>
      <c r="M5" s="2582"/>
      <c r="N5" s="2582"/>
      <c r="O5" s="2582"/>
      <c r="P5" s="2582"/>
      <c r="Q5" s="2582"/>
      <c r="R5" s="2582"/>
      <c r="S5" s="2582"/>
      <c r="T5" s="2582"/>
      <c r="U5" s="2582"/>
      <c r="V5" s="2582"/>
      <c r="W5" s="2582"/>
      <c r="X5" s="2582"/>
      <c r="Y5" s="2582"/>
      <c r="Z5" s="2582"/>
      <c r="AA5" s="2582"/>
      <c r="AB5" s="2582"/>
      <c r="AC5" s="2582"/>
      <c r="AD5" s="2582"/>
      <c r="AE5" s="2582"/>
      <c r="AF5" s="2582"/>
      <c r="AG5" s="2582"/>
      <c r="AH5" s="2582"/>
      <c r="AI5" s="2582"/>
      <c r="AL5" s="3659"/>
    </row>
    <row r="6" spans="1:39" ht="19.5" customHeight="1">
      <c r="A6" s="3658"/>
      <c r="B6" s="1474" t="str">
        <f>'Cashflow Governmental'!A6</f>
        <v xml:space="preserve">FISCAL YEAR 2020-2021   </v>
      </c>
      <c r="C6" s="2581"/>
      <c r="D6" s="2581"/>
      <c r="E6" s="2581"/>
      <c r="F6" s="2582"/>
      <c r="G6" s="2582"/>
      <c r="H6" s="2583"/>
      <c r="I6" s="2582"/>
      <c r="J6" s="2582"/>
      <c r="K6" s="2582"/>
      <c r="L6" s="2582"/>
      <c r="M6" s="2582"/>
      <c r="N6" s="2582"/>
      <c r="O6" s="2582"/>
      <c r="P6" s="2582"/>
      <c r="Q6" s="2582"/>
      <c r="R6" s="2582"/>
      <c r="S6" s="2582"/>
      <c r="T6" s="2582"/>
      <c r="U6" s="2582"/>
      <c r="V6" s="2582"/>
      <c r="W6" s="2582"/>
      <c r="X6" s="2582"/>
      <c r="Y6" s="2582"/>
      <c r="Z6" s="2582"/>
      <c r="AA6" s="2582"/>
      <c r="AB6" s="2582"/>
      <c r="AC6" s="2582"/>
      <c r="AD6" s="2582"/>
      <c r="AE6" s="2584"/>
      <c r="AF6" s="2584"/>
      <c r="AG6" s="2584"/>
      <c r="AH6" s="2584"/>
      <c r="AI6" s="2584"/>
    </row>
    <row r="7" spans="1:39" ht="19.5" customHeight="1">
      <c r="A7" s="3658"/>
      <c r="B7" s="1473" t="s">
        <v>1364</v>
      </c>
      <c r="C7" s="2581"/>
      <c r="D7" s="2581"/>
      <c r="E7" s="2581"/>
      <c r="F7" s="2582"/>
      <c r="G7" s="2582"/>
      <c r="H7" s="2583"/>
      <c r="I7" s="2582"/>
      <c r="J7" s="2582"/>
      <c r="K7" s="2582"/>
      <c r="L7" s="2582"/>
      <c r="M7" s="2582"/>
      <c r="N7" s="2582"/>
      <c r="O7" s="2582"/>
      <c r="P7" s="2582"/>
      <c r="Q7" s="2582"/>
      <c r="R7" s="2582"/>
      <c r="S7" s="2582"/>
      <c r="T7" s="2582"/>
      <c r="U7" s="2582"/>
      <c r="V7" s="2582"/>
      <c r="W7" s="2582"/>
      <c r="X7" s="2582"/>
      <c r="Y7" s="2582"/>
      <c r="Z7" s="2582"/>
      <c r="AA7" s="2582"/>
      <c r="AB7" s="2582"/>
      <c r="AC7" s="2582"/>
      <c r="AD7" s="2582"/>
      <c r="AE7" s="2584"/>
      <c r="AF7" s="2584"/>
      <c r="AG7" s="2584"/>
      <c r="AH7" s="2584"/>
      <c r="AI7" s="2584"/>
    </row>
    <row r="8" spans="1:39" ht="19.5" customHeight="1">
      <c r="A8" s="3658"/>
      <c r="C8" s="2581"/>
      <c r="D8" s="2581"/>
      <c r="E8" s="2581"/>
      <c r="F8" s="2582"/>
      <c r="G8" s="2582"/>
      <c r="H8" s="2582"/>
      <c r="I8" s="2582"/>
      <c r="J8" s="2582"/>
      <c r="K8" s="2582"/>
      <c r="L8" s="2582"/>
      <c r="M8" s="2582"/>
      <c r="N8" s="2582"/>
      <c r="O8" s="2582"/>
      <c r="P8" s="2582"/>
      <c r="Q8" s="2582"/>
      <c r="R8" s="2582"/>
      <c r="S8" s="2582"/>
      <c r="T8" s="2582"/>
      <c r="U8" s="2582"/>
      <c r="V8" s="2582"/>
      <c r="W8" s="2582"/>
      <c r="X8" s="2582"/>
      <c r="Y8" s="2582"/>
      <c r="Z8" s="2582"/>
      <c r="AA8" s="2582"/>
      <c r="AB8" s="2582"/>
      <c r="AC8" s="2585"/>
    </row>
    <row r="9" spans="1:39" ht="15.75" customHeight="1">
      <c r="A9" s="3658"/>
      <c r="B9" s="1473"/>
      <c r="C9" s="2581"/>
      <c r="D9" s="2581"/>
      <c r="E9" s="2581"/>
      <c r="F9" s="2582"/>
      <c r="G9" s="2582"/>
      <c r="H9" s="2582"/>
      <c r="I9" s="2582"/>
      <c r="J9" s="2582"/>
      <c r="K9" s="2582"/>
      <c r="L9" s="2582"/>
      <c r="M9" s="2582"/>
      <c r="N9" s="2582"/>
      <c r="O9" s="2582"/>
      <c r="P9" s="2582"/>
      <c r="Q9" s="2582"/>
      <c r="R9" s="2582"/>
      <c r="S9" s="2582"/>
      <c r="T9" s="2582"/>
      <c r="U9" s="2582"/>
      <c r="V9" s="2582"/>
      <c r="W9" s="2582"/>
      <c r="X9" s="2582"/>
      <c r="Y9" s="2582"/>
      <c r="Z9" s="2582"/>
      <c r="AA9" s="2582"/>
      <c r="AB9" s="2582"/>
      <c r="AC9" s="2585"/>
    </row>
    <row r="10" spans="1:39" ht="15.75" customHeight="1">
      <c r="A10" s="3658"/>
      <c r="B10" s="3660"/>
      <c r="C10" s="2581"/>
      <c r="D10" s="2581"/>
      <c r="E10" s="2581"/>
      <c r="F10" s="2582"/>
      <c r="G10" s="2582"/>
      <c r="H10" s="2582"/>
      <c r="I10" s="2582"/>
      <c r="J10" s="2582"/>
      <c r="K10" s="2582"/>
      <c r="L10" s="2582"/>
      <c r="M10" s="2582"/>
      <c r="N10" s="2582"/>
      <c r="O10" s="2582"/>
      <c r="P10" s="2582"/>
      <c r="Q10" s="2582"/>
      <c r="R10" s="2582"/>
      <c r="S10" s="2582"/>
      <c r="T10" s="2582"/>
      <c r="U10" s="2582"/>
      <c r="V10" s="2582"/>
      <c r="W10" s="2582"/>
      <c r="X10" s="2582"/>
      <c r="Y10" s="2582"/>
      <c r="Z10" s="2582"/>
      <c r="AA10" s="2582"/>
      <c r="AB10" s="2582"/>
      <c r="AC10" s="2585"/>
      <c r="AD10" s="3960" t="s">
        <v>1558</v>
      </c>
      <c r="AE10" s="3960"/>
      <c r="AF10" s="3960"/>
      <c r="AG10" s="3960"/>
      <c r="AH10" s="3960"/>
      <c r="AI10" s="3960"/>
      <c r="AJ10" s="3960"/>
      <c r="AK10" s="3960"/>
      <c r="AL10" s="3960"/>
    </row>
    <row r="11" spans="1:39" ht="15.75" customHeight="1">
      <c r="A11" s="3661"/>
      <c r="B11" s="3661"/>
      <c r="C11" s="3661"/>
      <c r="D11" s="3661"/>
      <c r="E11" s="2586" t="str">
        <f>'Cashflow Governmental'!C13</f>
        <v>2020</v>
      </c>
      <c r="F11" s="2587"/>
      <c r="G11" s="2587"/>
      <c r="H11" s="2587"/>
      <c r="I11" s="2587"/>
      <c r="J11" s="2587"/>
      <c r="K11" s="2587"/>
      <c r="L11" s="2587"/>
      <c r="M11" s="2587"/>
      <c r="N11" s="2587"/>
      <c r="O11" s="2587"/>
      <c r="P11" s="2587"/>
      <c r="Q11" s="2587"/>
      <c r="R11" s="2587"/>
      <c r="S11" s="2587"/>
      <c r="T11" s="2587"/>
      <c r="U11" s="2587"/>
      <c r="V11" s="2587"/>
      <c r="W11" s="2586">
        <f>'Cashflow Governmental'!U13</f>
        <v>2021</v>
      </c>
      <c r="X11" s="2587"/>
      <c r="Y11" s="2587"/>
      <c r="Z11" s="2587"/>
      <c r="AA11" s="2587"/>
      <c r="AB11" s="2587"/>
      <c r="AC11" s="2587"/>
      <c r="AD11" s="2588"/>
      <c r="AE11" s="2588"/>
      <c r="AF11" s="2588"/>
      <c r="AG11" s="2588"/>
      <c r="AH11" s="2588"/>
      <c r="AI11" s="2588"/>
      <c r="AJ11" s="2589" t="s">
        <v>8</v>
      </c>
      <c r="AK11" s="2589"/>
      <c r="AL11" s="3662" t="s">
        <v>9</v>
      </c>
      <c r="AM11" s="3663"/>
    </row>
    <row r="12" spans="1:39" ht="15.75" customHeight="1">
      <c r="A12" s="2465"/>
      <c r="B12" s="2465"/>
      <c r="C12" s="2465"/>
      <c r="D12" s="2465"/>
      <c r="E12" s="2590" t="s">
        <v>124</v>
      </c>
      <c r="F12" s="2553"/>
      <c r="G12" s="2590" t="s">
        <v>125</v>
      </c>
      <c r="H12" s="2553"/>
      <c r="I12" s="2590" t="s">
        <v>126</v>
      </c>
      <c r="J12" s="2553"/>
      <c r="K12" s="2590" t="s">
        <v>127</v>
      </c>
      <c r="L12" s="2553"/>
      <c r="M12" s="2590" t="s">
        <v>128</v>
      </c>
      <c r="N12" s="2553"/>
      <c r="O12" s="2590" t="s">
        <v>143</v>
      </c>
      <c r="P12" s="2553"/>
      <c r="Q12" s="2590" t="s">
        <v>144</v>
      </c>
      <c r="R12" s="2553"/>
      <c r="S12" s="2590" t="s">
        <v>131</v>
      </c>
      <c r="T12" s="2553"/>
      <c r="U12" s="2590" t="s">
        <v>132</v>
      </c>
      <c r="V12" s="2553"/>
      <c r="W12" s="2590" t="s">
        <v>133</v>
      </c>
      <c r="X12" s="2553"/>
      <c r="Y12" s="2590" t="s">
        <v>134</v>
      </c>
      <c r="Z12" s="2553"/>
      <c r="AA12" s="2590" t="s">
        <v>185</v>
      </c>
      <c r="AB12" s="2553"/>
      <c r="AC12" s="2553"/>
      <c r="AD12" s="2590">
        <f>'Cashflow Governmental'!AB14</f>
        <v>2021</v>
      </c>
      <c r="AE12" s="2553"/>
      <c r="AF12" s="2553"/>
      <c r="AG12" s="2590">
        <f>'Cashflow Governmental'!AE14</f>
        <v>2020</v>
      </c>
      <c r="AH12" s="2591"/>
      <c r="AI12" s="2591"/>
      <c r="AJ12" s="2592" t="s">
        <v>12</v>
      </c>
      <c r="AK12" s="3664"/>
      <c r="AL12" s="2592" t="s">
        <v>13</v>
      </c>
      <c r="AM12" s="3663"/>
    </row>
    <row r="13" spans="1:39" ht="5.25" customHeight="1">
      <c r="A13" s="2465"/>
      <c r="B13" s="2553"/>
      <c r="C13" s="2553"/>
      <c r="D13" s="2465"/>
      <c r="E13" s="1991"/>
      <c r="F13" s="1991"/>
      <c r="G13" s="1991"/>
      <c r="H13" s="1991"/>
      <c r="I13" s="1991"/>
      <c r="J13" s="1991"/>
      <c r="K13" s="1991"/>
      <c r="L13" s="1991"/>
      <c r="M13" s="1991"/>
      <c r="N13" s="1991"/>
      <c r="O13" s="1991"/>
      <c r="P13" s="1991"/>
      <c r="Q13" s="1991"/>
      <c r="R13" s="1991"/>
      <c r="S13" s="1991"/>
      <c r="T13" s="1991"/>
      <c r="U13" s="1991"/>
      <c r="V13" s="1991"/>
      <c r="W13" s="1991"/>
      <c r="X13" s="1991"/>
      <c r="Y13" s="1991"/>
      <c r="Z13" s="1991"/>
      <c r="AA13" s="1991"/>
      <c r="AB13" s="1991"/>
      <c r="AC13" s="1996"/>
      <c r="AD13" s="1991"/>
      <c r="AE13" s="1991"/>
      <c r="AF13" s="2186"/>
      <c r="AG13" s="1991"/>
      <c r="AH13" s="1991"/>
      <c r="AI13" s="2593"/>
      <c r="AJ13" s="2594"/>
      <c r="AK13" s="2594"/>
      <c r="AL13" s="2594"/>
    </row>
    <row r="14" spans="1:39" ht="15.75">
      <c r="A14" s="2465"/>
      <c r="B14" s="1851" t="s">
        <v>1253</v>
      </c>
      <c r="C14" s="2553"/>
      <c r="D14" s="2465"/>
      <c r="E14" s="2453">
        <v>-472.2</v>
      </c>
      <c r="F14" s="1991"/>
      <c r="G14" s="2029">
        <f>E102</f>
        <v>-598.4</v>
      </c>
      <c r="H14" s="2595"/>
      <c r="I14" s="2029">
        <f>G102</f>
        <v>-754.3</v>
      </c>
      <c r="J14" s="2595"/>
      <c r="K14" s="2029">
        <f>I102</f>
        <v>-629.29999999999995</v>
      </c>
      <c r="L14" s="2595"/>
      <c r="M14" s="2029">
        <f>K102</f>
        <v>-389.5</v>
      </c>
      <c r="N14" s="1991"/>
      <c r="O14" s="2029">
        <f>M102</f>
        <v>-564.6</v>
      </c>
      <c r="P14" s="1991"/>
      <c r="Q14" s="2029">
        <f>O102</f>
        <v>-935.6</v>
      </c>
      <c r="R14" s="2029"/>
      <c r="S14" s="2029">
        <f>Q102</f>
        <v>-883.5</v>
      </c>
      <c r="T14" s="2029"/>
      <c r="U14" s="2029">
        <f>S102</f>
        <v>-1005.9</v>
      </c>
      <c r="V14" s="2029"/>
      <c r="W14" s="2029">
        <f>U102</f>
        <v>-843</v>
      </c>
      <c r="X14" s="2029"/>
      <c r="Y14" s="2029"/>
      <c r="Z14" s="2029"/>
      <c r="AA14" s="2029"/>
      <c r="AB14" s="1991"/>
      <c r="AC14" s="1996"/>
      <c r="AD14" s="2029">
        <f>E14</f>
        <v>-472.2</v>
      </c>
      <c r="AE14" s="1991"/>
      <c r="AF14" s="2186"/>
      <c r="AG14" s="3460">
        <v>-633.20000000000005</v>
      </c>
      <c r="AH14" s="1991"/>
      <c r="AI14" s="2593"/>
      <c r="AJ14" s="2029">
        <f>ROUND(AD14-AG14,1)</f>
        <v>161</v>
      </c>
      <c r="AK14" s="2596"/>
      <c r="AL14" s="2597">
        <f>ROUND(IF(AG14=0,0,AJ14/ABS(AG14)),3)</f>
        <v>0.254</v>
      </c>
    </row>
    <row r="15" spans="1:39" ht="15.75">
      <c r="A15" s="2465"/>
      <c r="B15" s="2553"/>
      <c r="C15" s="2553"/>
      <c r="D15" s="2465"/>
      <c r="E15" s="1991"/>
      <c r="F15" s="1991"/>
      <c r="G15" s="1991"/>
      <c r="H15" s="1991"/>
      <c r="I15" s="1991"/>
      <c r="J15" s="1991"/>
      <c r="K15" s="1991"/>
      <c r="L15" s="1991"/>
      <c r="M15" s="1991"/>
      <c r="N15" s="1991"/>
      <c r="O15" s="1991"/>
      <c r="P15" s="1991"/>
      <c r="Q15" s="1991"/>
      <c r="R15" s="1991"/>
      <c r="S15" s="1991"/>
      <c r="T15" s="1991"/>
      <c r="U15" s="1991"/>
      <c r="V15" s="1991"/>
      <c r="W15" s="1991"/>
      <c r="X15" s="1991"/>
      <c r="Y15" s="1991"/>
      <c r="Z15" s="1991"/>
      <c r="AA15" s="1991"/>
      <c r="AB15" s="1991"/>
      <c r="AC15" s="1996"/>
      <c r="AD15" s="1991"/>
      <c r="AE15" s="1991"/>
      <c r="AF15" s="2186"/>
      <c r="AG15" s="1991"/>
      <c r="AH15" s="1991"/>
      <c r="AI15" s="2593"/>
      <c r="AJ15" s="2594"/>
      <c r="AK15" s="2594"/>
      <c r="AL15" s="2594"/>
    </row>
    <row r="16" spans="1:39" ht="15.75">
      <c r="A16" s="2465"/>
      <c r="B16" s="2553" t="s">
        <v>195</v>
      </c>
      <c r="C16" s="2465"/>
      <c r="D16" s="2465"/>
      <c r="E16" s="1991"/>
      <c r="F16" s="1991"/>
      <c r="G16" s="1991"/>
      <c r="H16" s="1991"/>
      <c r="I16" s="1991"/>
      <c r="J16" s="1991"/>
      <c r="K16" s="1991"/>
      <c r="L16" s="1991"/>
      <c r="M16" s="1991"/>
      <c r="N16" s="1991"/>
      <c r="O16" s="1991"/>
      <c r="P16" s="1991"/>
      <c r="Q16" s="1991"/>
      <c r="R16" s="1991"/>
      <c r="S16" s="1991"/>
      <c r="T16" s="1991"/>
      <c r="U16" s="1991"/>
      <c r="V16" s="1991"/>
      <c r="W16" s="1991"/>
      <c r="X16" s="1991"/>
      <c r="Y16" s="1991"/>
      <c r="Z16" s="1991"/>
      <c r="AA16" s="1991"/>
      <c r="AB16" s="1991"/>
      <c r="AC16" s="1996"/>
      <c r="AD16" s="1991"/>
      <c r="AE16" s="3187"/>
      <c r="AF16" s="2018"/>
      <c r="AG16" s="1991"/>
      <c r="AH16" s="1991"/>
      <c r="AI16" s="2593"/>
      <c r="AJ16" s="2598"/>
      <c r="AK16" s="2598"/>
      <c r="AL16" s="2598"/>
    </row>
    <row r="17" spans="1:39" ht="15.75">
      <c r="A17" s="2465"/>
      <c r="B17" s="2462" t="s">
        <v>1078</v>
      </c>
      <c r="C17" s="2465"/>
      <c r="D17" s="2465"/>
      <c r="E17" s="1991"/>
      <c r="F17" s="1991"/>
      <c r="G17" s="1991"/>
      <c r="H17" s="1991"/>
      <c r="I17" s="1991"/>
      <c r="J17" s="1991"/>
      <c r="K17" s="1991"/>
      <c r="L17" s="1991"/>
      <c r="M17" s="1991"/>
      <c r="N17" s="1991"/>
      <c r="O17" s="1991"/>
      <c r="P17" s="1991"/>
      <c r="Q17" s="1991"/>
      <c r="R17" s="1991"/>
      <c r="S17" s="1991"/>
      <c r="T17" s="1991"/>
      <c r="U17" s="1991"/>
      <c r="V17" s="1991"/>
      <c r="W17" s="1991"/>
      <c r="X17" s="1991"/>
      <c r="Y17" s="1991"/>
      <c r="Z17" s="1991"/>
      <c r="AA17" s="1991"/>
      <c r="AB17" s="1991"/>
      <c r="AC17" s="1996"/>
      <c r="AD17" s="1991"/>
      <c r="AE17" s="3188"/>
      <c r="AF17" s="2018"/>
      <c r="AG17" s="1991"/>
      <c r="AH17" s="1991"/>
      <c r="AI17" s="2593"/>
      <c r="AJ17" s="2598"/>
      <c r="AK17" s="2598"/>
      <c r="AL17" s="2598"/>
    </row>
    <row r="18" spans="1:39" ht="15.75">
      <c r="A18" s="2465"/>
      <c r="B18" s="2541" t="s">
        <v>1091</v>
      </c>
      <c r="C18" s="2465"/>
      <c r="D18" s="2465"/>
      <c r="E18" s="2599"/>
      <c r="F18" s="1991"/>
      <c r="G18" s="1995"/>
      <c r="H18" s="1995"/>
      <c r="I18" s="1995"/>
      <c r="J18" s="1995"/>
      <c r="K18" s="1995"/>
      <c r="L18" s="1995"/>
      <c r="M18" s="1995"/>
      <c r="N18" s="1995"/>
      <c r="O18" s="1995"/>
      <c r="P18" s="1995"/>
      <c r="Q18" s="1995"/>
      <c r="R18" s="1995"/>
      <c r="S18" s="1995"/>
      <c r="T18" s="1995"/>
      <c r="U18" s="1995"/>
      <c r="V18" s="1995"/>
      <c r="W18" s="1995"/>
      <c r="X18" s="1995"/>
      <c r="Y18" s="1995"/>
      <c r="Z18" s="1995"/>
      <c r="AA18" s="1995"/>
      <c r="AB18" s="1995"/>
      <c r="AC18" s="2039"/>
      <c r="AD18" s="3189" t="s">
        <v>15</v>
      </c>
      <c r="AE18" s="3190"/>
      <c r="AF18" s="1977"/>
      <c r="AG18" s="1995" t="s">
        <v>15</v>
      </c>
      <c r="AH18" s="1995"/>
      <c r="AI18" s="2600"/>
      <c r="AJ18" s="2601"/>
      <c r="AK18" s="2598"/>
      <c r="AL18" s="2598"/>
    </row>
    <row r="19" spans="1:39">
      <c r="A19" s="2465"/>
      <c r="B19" s="2335" t="s">
        <v>1094</v>
      </c>
      <c r="C19" s="2465"/>
      <c r="D19" s="2602" t="s">
        <v>15</v>
      </c>
      <c r="E19" s="2000">
        <v>0.6</v>
      </c>
      <c r="F19" s="2000"/>
      <c r="G19" s="2000">
        <v>9.9999999999999978E-2</v>
      </c>
      <c r="H19" s="2000"/>
      <c r="I19" s="2000">
        <v>10.100000000000001</v>
      </c>
      <c r="J19" s="2000"/>
      <c r="K19" s="2000">
        <v>0</v>
      </c>
      <c r="L19" s="1998"/>
      <c r="M19" s="2000">
        <v>0</v>
      </c>
      <c r="N19" s="1987"/>
      <c r="O19" s="2000">
        <v>15.599999999999994</v>
      </c>
      <c r="P19" s="1987"/>
      <c r="Q19" s="1789">
        <v>0.10000000000000142</v>
      </c>
      <c r="R19" s="1987"/>
      <c r="S19" s="1789">
        <v>0</v>
      </c>
      <c r="T19" s="1987"/>
      <c r="U19" s="1789">
        <v>15.299999999999997</v>
      </c>
      <c r="V19" s="1987"/>
      <c r="W19" s="1789">
        <f>$AD19-$E19-$G19-$I19-$K19-$M19-$O19-$Q19-$S19-$U19</f>
        <v>0</v>
      </c>
      <c r="X19" s="1987"/>
      <c r="Y19" s="1789"/>
      <c r="Z19" s="1987"/>
      <c r="AA19" s="1789"/>
      <c r="AB19" s="2000"/>
      <c r="AC19" s="2001"/>
      <c r="AD19" s="2000">
        <v>41.8</v>
      </c>
      <c r="AE19" s="3191"/>
      <c r="AF19" s="3192"/>
      <c r="AG19" s="2000">
        <v>70.599999999999994</v>
      </c>
      <c r="AH19" s="2603"/>
      <c r="AI19" s="2604"/>
      <c r="AJ19" s="2000">
        <f>ROUND(AD19-AG19,1)</f>
        <v>-28.8</v>
      </c>
      <c r="AK19" s="2605"/>
      <c r="AL19" s="2617">
        <f>ROUND(IF(AG19=0,0,AJ19/ABS(AG19)),3)</f>
        <v>-0.40799999999999997</v>
      </c>
    </row>
    <row r="20" spans="1:39" ht="15.75">
      <c r="A20" s="2465"/>
      <c r="B20" s="2335" t="s">
        <v>1096</v>
      </c>
      <c r="C20" s="2465"/>
      <c r="D20" s="2465"/>
      <c r="E20" s="2000">
        <v>23.799999999999997</v>
      </c>
      <c r="F20" s="2000"/>
      <c r="G20" s="2000">
        <v>16.700000000000003</v>
      </c>
      <c r="H20" s="2000"/>
      <c r="I20" s="2000">
        <v>24.900000000000006</v>
      </c>
      <c r="J20" s="2000"/>
      <c r="K20" s="2000">
        <v>31.199999999999989</v>
      </c>
      <c r="L20" s="2606"/>
      <c r="M20" s="2000">
        <v>33.400000000000006</v>
      </c>
      <c r="N20" s="2606"/>
      <c r="O20" s="2000">
        <v>32.700000000000031</v>
      </c>
      <c r="P20" s="2606"/>
      <c r="Q20" s="1789">
        <v>31.299999999999969</v>
      </c>
      <c r="R20" s="2606"/>
      <c r="S20" s="1789">
        <v>31.100000000000023</v>
      </c>
      <c r="T20" s="2606"/>
      <c r="U20" s="1789">
        <v>33.699999999999989</v>
      </c>
      <c r="V20" s="2606"/>
      <c r="W20" s="1789">
        <f t="shared" ref="W20:W21" si="0">$AD20-$E20-$G20-$I20-$K20-$M20-$O20-$Q20-$S20-$U20</f>
        <v>23.5</v>
      </c>
      <c r="X20" s="2606"/>
      <c r="Y20" s="1789"/>
      <c r="Z20" s="2606"/>
      <c r="AA20" s="1789"/>
      <c r="AB20" s="2000"/>
      <c r="AC20" s="2039"/>
      <c r="AD20" s="2000">
        <v>282.3</v>
      </c>
      <c r="AE20" s="3190"/>
      <c r="AF20" s="1977"/>
      <c r="AG20" s="2000">
        <v>345.2</v>
      </c>
      <c r="AH20" s="1995"/>
      <c r="AI20" s="2600"/>
      <c r="AJ20" s="1995">
        <f>ROUND(AD20-AG20,1)</f>
        <v>-62.9</v>
      </c>
      <c r="AK20" s="2607"/>
      <c r="AL20" s="1650">
        <f>ROUND(IF(AG20=0,0,AJ20/ABS(AG20)),3)</f>
        <v>-0.182</v>
      </c>
      <c r="AM20" s="2598"/>
    </row>
    <row r="21" spans="1:39" ht="15.75">
      <c r="A21" s="2465"/>
      <c r="B21" s="2335" t="s">
        <v>1098</v>
      </c>
      <c r="C21" s="2465"/>
      <c r="D21" s="2465"/>
      <c r="E21" s="2000">
        <v>11.6</v>
      </c>
      <c r="F21" s="2000"/>
      <c r="G21" s="2000">
        <v>8.7999999999999989</v>
      </c>
      <c r="H21" s="2000"/>
      <c r="I21" s="2000">
        <v>12.399999999999997</v>
      </c>
      <c r="J21" s="2000"/>
      <c r="K21" s="2000">
        <v>12.400000000000007</v>
      </c>
      <c r="L21" s="2606"/>
      <c r="M21" s="2000">
        <v>10.199999999999994</v>
      </c>
      <c r="N21" s="2606"/>
      <c r="O21" s="2000">
        <v>12.699999999999998</v>
      </c>
      <c r="P21" s="2606"/>
      <c r="Q21" s="1789">
        <v>10.600000000000014</v>
      </c>
      <c r="R21" s="2606"/>
      <c r="S21" s="1789">
        <v>11.399999999999993</v>
      </c>
      <c r="T21" s="2606"/>
      <c r="U21" s="1789">
        <v>12.600000000000014</v>
      </c>
      <c r="V21" s="2606"/>
      <c r="W21" s="1789">
        <f t="shared" si="0"/>
        <v>11.599999999999996</v>
      </c>
      <c r="X21" s="2606"/>
      <c r="Y21" s="1789"/>
      <c r="Z21" s="2606"/>
      <c r="AA21" s="1789"/>
      <c r="AB21" s="2000"/>
      <c r="AC21" s="2039"/>
      <c r="AD21" s="2000">
        <v>114.3</v>
      </c>
      <c r="AE21" s="3190"/>
      <c r="AF21" s="1977"/>
      <c r="AG21" s="2000">
        <v>122</v>
      </c>
      <c r="AH21" s="1995"/>
      <c r="AI21" s="2600"/>
      <c r="AJ21" s="1995">
        <f>ROUND(AD21-AG21,1)</f>
        <v>-7.7</v>
      </c>
      <c r="AK21" s="2607"/>
      <c r="AL21" s="2196">
        <f>ROUND(IF(AG21=0,0,AJ21/ABS(AG21)),3)</f>
        <v>-6.3E-2</v>
      </c>
    </row>
    <row r="22" spans="1:39" ht="15.75">
      <c r="A22" s="2465"/>
      <c r="B22" s="2473" t="s">
        <v>1181</v>
      </c>
      <c r="C22" s="2465"/>
      <c r="D22" s="2465"/>
      <c r="E22" s="1460">
        <f>ROUND(SUM(E19:E21),1)</f>
        <v>36</v>
      </c>
      <c r="F22" s="2000"/>
      <c r="G22" s="1460">
        <f>ROUND(SUM(G19:G21),1)</f>
        <v>25.6</v>
      </c>
      <c r="H22" s="2000"/>
      <c r="I22" s="1460">
        <f>ROUND(SUM(I19:I21),1)</f>
        <v>47.4</v>
      </c>
      <c r="J22" s="2000"/>
      <c r="K22" s="1460">
        <f>ROUND(SUM(K19:K21),1)</f>
        <v>43.6</v>
      </c>
      <c r="L22" s="2000"/>
      <c r="M22" s="1460">
        <f>ROUND(SUM(M19:M21),1)</f>
        <v>43.6</v>
      </c>
      <c r="N22" s="2000"/>
      <c r="O22" s="1460">
        <f>ROUND(SUM(O19:O21),1)</f>
        <v>61</v>
      </c>
      <c r="P22" s="1995"/>
      <c r="Q22" s="1460">
        <f>ROUND(SUM(Q19:Q21),1)</f>
        <v>42</v>
      </c>
      <c r="R22" s="1995"/>
      <c r="S22" s="1460">
        <f>ROUND(SUM(S19:S21),1)</f>
        <v>42.5</v>
      </c>
      <c r="T22" s="1995"/>
      <c r="U22" s="1460">
        <f>ROUND(SUM(U19:U21),1)</f>
        <v>61.6</v>
      </c>
      <c r="V22" s="1995"/>
      <c r="W22" s="1460">
        <f>ROUND(SUM(W19:W21),1)</f>
        <v>35.1</v>
      </c>
      <c r="X22" s="1995"/>
      <c r="Y22" s="1460">
        <f>ROUND(SUM(Y19:Y21),1)</f>
        <v>0</v>
      </c>
      <c r="Z22" s="1995"/>
      <c r="AA22" s="1460">
        <f>ROUND(SUM(AA19:AA21),1)</f>
        <v>0</v>
      </c>
      <c r="AB22" s="1995"/>
      <c r="AC22" s="2039"/>
      <c r="AD22" s="1460">
        <f>ROUND(SUM(AD19:AD21),1)</f>
        <v>438.4</v>
      </c>
      <c r="AE22" s="3193"/>
      <c r="AF22" s="1977"/>
      <c r="AG22" s="1460">
        <f>ROUND(SUM(AG19:AG21),1)</f>
        <v>537.79999999999995</v>
      </c>
      <c r="AH22" s="1995"/>
      <c r="AI22" s="2600"/>
      <c r="AJ22" s="1460">
        <f>ROUND(SUM(AJ19:AJ21),1)</f>
        <v>-99.4</v>
      </c>
      <c r="AK22" s="2607"/>
      <c r="AL22" s="2197">
        <f>ROUND(IF(AG22=0,0,AJ22/ABS(AG22)),3)</f>
        <v>-0.185</v>
      </c>
    </row>
    <row r="23" spans="1:39" ht="15.75">
      <c r="A23" s="2465"/>
      <c r="B23" s="2541" t="s">
        <v>1082</v>
      </c>
      <c r="C23" s="2465"/>
      <c r="D23" s="2465"/>
      <c r="E23" s="2000"/>
      <c r="F23" s="2000"/>
      <c r="G23" s="2000"/>
      <c r="H23" s="2000"/>
      <c r="I23" s="2000"/>
      <c r="J23" s="2000"/>
      <c r="K23" s="2000"/>
      <c r="L23" s="2000"/>
      <c r="M23" s="2000"/>
      <c r="N23" s="2000"/>
      <c r="O23" s="2000"/>
      <c r="P23" s="1995"/>
      <c r="Q23" s="2613"/>
      <c r="R23" s="1995"/>
      <c r="S23" s="2613"/>
      <c r="T23" s="1995"/>
      <c r="U23" s="2613"/>
      <c r="V23" s="1995"/>
      <c r="W23" s="3665"/>
      <c r="X23" s="1995"/>
      <c r="Y23" s="2613"/>
      <c r="Z23" s="1995"/>
      <c r="AA23" s="3665"/>
      <c r="AB23" s="1995"/>
      <c r="AC23" s="2039"/>
      <c r="AD23" s="1994"/>
      <c r="AE23" s="3190"/>
      <c r="AF23" s="1977"/>
      <c r="AG23" s="1994"/>
      <c r="AH23" s="1995"/>
      <c r="AI23" s="2600"/>
      <c r="AJ23" s="1994"/>
      <c r="AK23" s="2598"/>
      <c r="AL23" s="1798"/>
    </row>
    <row r="24" spans="1:39" ht="15.75">
      <c r="A24" s="2465"/>
      <c r="B24" s="2335" t="s">
        <v>1100</v>
      </c>
      <c r="C24" s="2465"/>
      <c r="D24" s="2465"/>
      <c r="E24" s="2000">
        <v>0</v>
      </c>
      <c r="F24" s="2000"/>
      <c r="G24" s="2000">
        <v>0</v>
      </c>
      <c r="H24" s="2000"/>
      <c r="I24" s="2000">
        <v>0</v>
      </c>
      <c r="J24" s="2000"/>
      <c r="K24" s="2000">
        <v>0</v>
      </c>
      <c r="L24" s="2606"/>
      <c r="M24" s="2000">
        <v>0</v>
      </c>
      <c r="N24" s="2606"/>
      <c r="O24" s="2000">
        <v>0</v>
      </c>
      <c r="P24" s="2606"/>
      <c r="Q24" s="1789">
        <v>0</v>
      </c>
      <c r="R24" s="2606"/>
      <c r="S24" s="1789">
        <v>0</v>
      </c>
      <c r="T24" s="2606"/>
      <c r="U24" s="1789">
        <v>0</v>
      </c>
      <c r="V24" s="2606"/>
      <c r="W24" s="1789">
        <f t="shared" ref="W24:W26" si="1">$AD24-$E24-$G24-$I24-$K24-$M24-$O24-$Q24-$S24-$U24</f>
        <v>0</v>
      </c>
      <c r="X24" s="2606"/>
      <c r="Y24" s="1789"/>
      <c r="Z24" s="2606"/>
      <c r="AA24" s="1789"/>
      <c r="AB24" s="1995"/>
      <c r="AC24" s="2039"/>
      <c r="AD24" s="2000">
        <v>0</v>
      </c>
      <c r="AE24" s="3193"/>
      <c r="AF24" s="1977"/>
      <c r="AG24" s="2000">
        <v>0</v>
      </c>
      <c r="AH24" s="1995"/>
      <c r="AI24" s="2600"/>
      <c r="AJ24" s="1995">
        <f>ROUND(AD24-AG24,1)</f>
        <v>0</v>
      </c>
      <c r="AK24" s="2598"/>
      <c r="AL24" s="1650">
        <f>ROUND(IF(AG24=0,0,AJ24/ABS(AG24)),3)</f>
        <v>0</v>
      </c>
    </row>
    <row r="25" spans="1:39" ht="15.75">
      <c r="A25" s="2465"/>
      <c r="B25" s="2335" t="s">
        <v>1101</v>
      </c>
      <c r="C25" s="2465"/>
      <c r="D25" s="2465"/>
      <c r="E25" s="2000">
        <v>0.1</v>
      </c>
      <c r="F25" s="2000"/>
      <c r="G25" s="2000">
        <v>-1.5</v>
      </c>
      <c r="H25" s="2000"/>
      <c r="I25" s="2000">
        <v>0.6</v>
      </c>
      <c r="J25" s="2000"/>
      <c r="K25" s="2000">
        <v>3.5999999999999992</v>
      </c>
      <c r="L25" s="2606"/>
      <c r="M25" s="2000">
        <v>0.10000000000000053</v>
      </c>
      <c r="N25" s="2606"/>
      <c r="O25" s="2000">
        <v>2.2000000000000006</v>
      </c>
      <c r="P25" s="2606"/>
      <c r="Q25" s="1789">
        <v>0.70000000000000018</v>
      </c>
      <c r="R25" s="2606"/>
      <c r="S25" s="1789">
        <v>0</v>
      </c>
      <c r="T25" s="2606"/>
      <c r="U25" s="1789">
        <v>2.2999999999999994</v>
      </c>
      <c r="V25" s="2606"/>
      <c r="W25" s="1789">
        <f t="shared" si="1"/>
        <v>0.20000000000000107</v>
      </c>
      <c r="X25" s="2606"/>
      <c r="Y25" s="1789"/>
      <c r="Z25" s="2606"/>
      <c r="AA25" s="1789"/>
      <c r="AB25" s="1995"/>
      <c r="AC25" s="2039"/>
      <c r="AD25" s="2000">
        <v>8.3000000000000007</v>
      </c>
      <c r="AE25" s="3193"/>
      <c r="AF25" s="1977"/>
      <c r="AG25" s="2000">
        <v>11.1</v>
      </c>
      <c r="AH25" s="1995"/>
      <c r="AI25" s="2600"/>
      <c r="AJ25" s="1995">
        <f>ROUND(AD25-AG25,1)</f>
        <v>-2.8</v>
      </c>
      <c r="AK25" s="2598"/>
      <c r="AL25" s="1724">
        <f>ROUND(IF(AG25=0,1,AJ25/ABS(AG25)),3)</f>
        <v>-0.252</v>
      </c>
    </row>
    <row r="26" spans="1:39" ht="15.75">
      <c r="A26" s="2465"/>
      <c r="B26" s="2335" t="s">
        <v>1104</v>
      </c>
      <c r="C26" s="2553"/>
      <c r="D26" s="2465"/>
      <c r="E26" s="2000">
        <v>38</v>
      </c>
      <c r="F26" s="2000"/>
      <c r="G26" s="2000">
        <v>22.200000000000003</v>
      </c>
      <c r="H26" s="2000"/>
      <c r="I26" s="2000">
        <v>48</v>
      </c>
      <c r="J26" s="2000"/>
      <c r="K26" s="2000">
        <v>49.09999999999998</v>
      </c>
      <c r="L26" s="2606"/>
      <c r="M26" s="2000">
        <v>48.3</v>
      </c>
      <c r="N26" s="2606"/>
      <c r="O26" s="2000">
        <v>55.200000000000045</v>
      </c>
      <c r="P26" s="2606"/>
      <c r="Q26" s="1789">
        <v>49.899999999999991</v>
      </c>
      <c r="R26" s="2606"/>
      <c r="S26" s="1789">
        <v>46.3</v>
      </c>
      <c r="T26" s="2606"/>
      <c r="U26" s="1789">
        <v>44.800000000000011</v>
      </c>
      <c r="V26" s="2606"/>
      <c r="W26" s="1789">
        <f t="shared" si="1"/>
        <v>42.7</v>
      </c>
      <c r="X26" s="2606"/>
      <c r="Y26" s="1789"/>
      <c r="Z26" s="2606"/>
      <c r="AA26" s="1789"/>
      <c r="AB26" s="1995"/>
      <c r="AC26" s="2039"/>
      <c r="AD26" s="2000">
        <v>444.5</v>
      </c>
      <c r="AE26" s="3190"/>
      <c r="AF26" s="1977"/>
      <c r="AG26" s="2000">
        <v>558.6</v>
      </c>
      <c r="AH26" s="1995"/>
      <c r="AI26" s="2600"/>
      <c r="AJ26" s="1995">
        <f>ROUND(AD26-AG26,1)</f>
        <v>-114.1</v>
      </c>
      <c r="AK26" s="2607"/>
      <c r="AL26" s="2608">
        <f>ROUND(IF(AG26=0,0,AJ26/ABS(AG26)),3)</f>
        <v>-0.20399999999999999</v>
      </c>
    </row>
    <row r="27" spans="1:39" ht="15.75">
      <c r="A27" s="2465"/>
      <c r="B27" s="2473" t="s">
        <v>1182</v>
      </c>
      <c r="C27" s="2553"/>
      <c r="D27" s="2465"/>
      <c r="E27" s="1460">
        <f>ROUND(SUM(E24:E26),1)</f>
        <v>38.1</v>
      </c>
      <c r="F27" s="2000"/>
      <c r="G27" s="1460">
        <f>ROUND(SUM(G24:G26),1)</f>
        <v>20.7</v>
      </c>
      <c r="H27" s="2000"/>
      <c r="I27" s="1460">
        <f>ROUND(SUM(I24:I26),1)</f>
        <v>48.6</v>
      </c>
      <c r="J27" s="2000"/>
      <c r="K27" s="1460">
        <f>ROUND(SUM(K24:K26),1)</f>
        <v>52.7</v>
      </c>
      <c r="L27" s="2000"/>
      <c r="M27" s="1460">
        <f>ROUND(SUM(M24:M26),1)</f>
        <v>48.4</v>
      </c>
      <c r="N27" s="2000"/>
      <c r="O27" s="1460">
        <f>ROUND(SUM(O24:O26),1)</f>
        <v>57.4</v>
      </c>
      <c r="P27" s="1995"/>
      <c r="Q27" s="1460">
        <f>ROUND(SUM(Q24:Q26),1)</f>
        <v>50.6</v>
      </c>
      <c r="R27" s="1995"/>
      <c r="S27" s="1460">
        <f>ROUND(SUM(S24:S26),1)</f>
        <v>46.3</v>
      </c>
      <c r="T27" s="1995"/>
      <c r="U27" s="1460">
        <f>ROUND(SUM(U24:U26),1)</f>
        <v>47.1</v>
      </c>
      <c r="V27" s="1995"/>
      <c r="W27" s="1460">
        <f>ROUND(SUM(W24:W26),1)</f>
        <v>42.9</v>
      </c>
      <c r="X27" s="1995"/>
      <c r="Y27" s="1460">
        <f>ROUND(SUM(Y24:Y26),1)</f>
        <v>0</v>
      </c>
      <c r="Z27" s="1995"/>
      <c r="AA27" s="1460">
        <f>ROUND(SUM(AA24:AA26),1)</f>
        <v>0</v>
      </c>
      <c r="AB27" s="1995"/>
      <c r="AC27" s="2039"/>
      <c r="AD27" s="1460">
        <f>ROUND(SUM(AD24:AD26),1)</f>
        <v>452.8</v>
      </c>
      <c r="AE27" s="3193"/>
      <c r="AF27" s="1977"/>
      <c r="AG27" s="1460">
        <f>ROUND(SUM(AG24:AG26),1)</f>
        <v>569.70000000000005</v>
      </c>
      <c r="AH27" s="1995"/>
      <c r="AI27" s="2600"/>
      <c r="AJ27" s="1460">
        <f>ROUND(SUM(AJ24:AJ26),1)</f>
        <v>-116.9</v>
      </c>
      <c r="AK27" s="2607"/>
      <c r="AL27" s="2628">
        <f>ROUND(IF(AG27=0,0,AJ27/ABS(AG27)),3)</f>
        <v>-0.20499999999999999</v>
      </c>
    </row>
    <row r="28" spans="1:39" ht="15.75">
      <c r="A28" s="2465"/>
      <c r="B28" s="2541" t="s">
        <v>1083</v>
      </c>
      <c r="C28" s="2465"/>
      <c r="D28" s="2465"/>
      <c r="E28" s="2609"/>
      <c r="F28" s="2000"/>
      <c r="G28" s="2609"/>
      <c r="H28" s="2000"/>
      <c r="I28" s="1999"/>
      <c r="J28" s="2000"/>
      <c r="K28" s="1999"/>
      <c r="L28" s="2000"/>
      <c r="M28" s="2000"/>
      <c r="N28" s="2000"/>
      <c r="O28" s="2000"/>
      <c r="P28" s="1995"/>
      <c r="Q28" s="2613"/>
      <c r="R28" s="1995"/>
      <c r="S28" s="2613"/>
      <c r="T28" s="1995"/>
      <c r="U28" s="2613"/>
      <c r="V28" s="1995"/>
      <c r="W28" s="2613"/>
      <c r="X28" s="1995"/>
      <c r="Y28" s="2613"/>
      <c r="Z28" s="1995"/>
      <c r="AA28" s="2613"/>
      <c r="AB28" s="1995"/>
      <c r="AC28" s="2039"/>
      <c r="AD28" s="1995"/>
      <c r="AE28" s="3194"/>
      <c r="AF28" s="3195"/>
      <c r="AG28" s="1995"/>
      <c r="AH28" s="1994"/>
      <c r="AI28" s="2610"/>
      <c r="AJ28" s="1994"/>
      <c r="AK28" s="2614"/>
      <c r="AL28" s="1650"/>
      <c r="AM28" s="2598"/>
    </row>
    <row r="29" spans="1:39" ht="15.75">
      <c r="A29" s="2465"/>
      <c r="B29" s="2335" t="s">
        <v>1110</v>
      </c>
      <c r="C29" s="2465"/>
      <c r="D29" s="2465"/>
      <c r="E29" s="2000">
        <v>0</v>
      </c>
      <c r="F29" s="2000"/>
      <c r="G29" s="2000">
        <v>0</v>
      </c>
      <c r="H29" s="2000"/>
      <c r="I29" s="2000">
        <v>11.9</v>
      </c>
      <c r="J29" s="2000"/>
      <c r="K29" s="2000">
        <v>11.9</v>
      </c>
      <c r="L29" s="2606"/>
      <c r="M29" s="2000">
        <v>11.900000000000004</v>
      </c>
      <c r="N29" s="2606"/>
      <c r="O29" s="2000">
        <v>11.9</v>
      </c>
      <c r="P29" s="2606"/>
      <c r="Q29" s="1789">
        <v>11.999999999999998</v>
      </c>
      <c r="R29" s="2606"/>
      <c r="S29" s="1789">
        <v>11.9</v>
      </c>
      <c r="T29" s="2606"/>
      <c r="U29" s="1789">
        <v>11.899999999999997</v>
      </c>
      <c r="V29" s="2606"/>
      <c r="W29" s="1789">
        <f>$AD29-$E29-$G29-$I29-$K29-$M29-$O29-$Q29-$S29-$U29</f>
        <v>11.899999999999986</v>
      </c>
      <c r="X29" s="2606"/>
      <c r="Y29" s="1789"/>
      <c r="Z29" s="2606"/>
      <c r="AA29" s="1789"/>
      <c r="AB29" s="1995"/>
      <c r="AC29" s="2039"/>
      <c r="AD29" s="2000">
        <v>95.3</v>
      </c>
      <c r="AE29" s="3196"/>
      <c r="AF29" s="3195"/>
      <c r="AG29" s="2000">
        <v>95.3</v>
      </c>
      <c r="AH29" s="1994"/>
      <c r="AI29" s="2610"/>
      <c r="AJ29" s="1995">
        <f>ROUND(AD29-AG29,1)</f>
        <v>0</v>
      </c>
      <c r="AK29" s="2614"/>
      <c r="AL29" s="2608">
        <f>ROUND(IF(AG29=0,0,AJ29/ABS(AG29)),3)</f>
        <v>0</v>
      </c>
      <c r="AM29" s="2598"/>
    </row>
    <row r="30" spans="1:39" ht="15.75">
      <c r="B30" s="2473" t="s">
        <v>1183</v>
      </c>
      <c r="C30" s="2465"/>
      <c r="D30" s="2465"/>
      <c r="E30" s="1460">
        <f>ROUND(SUM(E29:E29),1)</f>
        <v>0</v>
      </c>
      <c r="F30" s="2000"/>
      <c r="G30" s="1460">
        <f>ROUND(SUM(G29:G29),1)</f>
        <v>0</v>
      </c>
      <c r="H30" s="2000"/>
      <c r="I30" s="1460">
        <f>ROUND(SUM(I29:I29),1)</f>
        <v>11.9</v>
      </c>
      <c r="J30" s="2000"/>
      <c r="K30" s="1460">
        <f>ROUND(SUM(K29:K29),1)</f>
        <v>11.9</v>
      </c>
      <c r="L30" s="2000"/>
      <c r="M30" s="1460">
        <f>ROUND(SUM(M29:M29),1)</f>
        <v>11.9</v>
      </c>
      <c r="N30" s="2000"/>
      <c r="O30" s="1460">
        <f>ROUND(SUM(O29:O29),1)</f>
        <v>11.9</v>
      </c>
      <c r="P30" s="1995"/>
      <c r="Q30" s="1460">
        <f>ROUND(SUM(Q29:Q29),1)</f>
        <v>12</v>
      </c>
      <c r="R30" s="1995"/>
      <c r="S30" s="1460">
        <f>ROUND(SUM(S29:S29),1)</f>
        <v>11.9</v>
      </c>
      <c r="T30" s="1995"/>
      <c r="U30" s="1460">
        <f>ROUND(SUM(U29:U29),1)</f>
        <v>11.9</v>
      </c>
      <c r="V30" s="1995"/>
      <c r="W30" s="1460">
        <f>ROUND(SUM(W29:W29),1)</f>
        <v>11.9</v>
      </c>
      <c r="X30" s="1995"/>
      <c r="Y30" s="1460">
        <f>ROUND(SUM(Y29:Y29),1)</f>
        <v>0</v>
      </c>
      <c r="Z30" s="1995"/>
      <c r="AA30" s="1460">
        <f>ROUND(SUM(AA29:AA29),1)</f>
        <v>0</v>
      </c>
      <c r="AB30" s="1995"/>
      <c r="AC30" s="2039"/>
      <c r="AD30" s="1460">
        <f>ROUND(SUM(AD29:AD29),1)</f>
        <v>95.3</v>
      </c>
      <c r="AE30" s="3196"/>
      <c r="AF30" s="3195"/>
      <c r="AG30" s="1460">
        <f>ROUND(SUM(AG29:AG29),1)</f>
        <v>95.3</v>
      </c>
      <c r="AH30" s="1994"/>
      <c r="AI30" s="2610"/>
      <c r="AJ30" s="1460">
        <f>ROUND(SUM(AJ29:AJ29),1)</f>
        <v>0</v>
      </c>
      <c r="AK30" s="2614"/>
      <c r="AL30" s="2197">
        <f>ROUND(IF(AG30=0,0,AJ30/ABS(AG30)),3)</f>
        <v>0</v>
      </c>
      <c r="AM30" s="2598"/>
    </row>
    <row r="31" spans="1:39" ht="15.75">
      <c r="A31" s="2465"/>
      <c r="B31" s="2553"/>
      <c r="C31" s="2465"/>
      <c r="D31" s="2465"/>
      <c r="E31" s="2609"/>
      <c r="F31" s="2000"/>
      <c r="G31" s="2609"/>
      <c r="H31" s="2000"/>
      <c r="I31" s="1999"/>
      <c r="J31" s="2000"/>
      <c r="K31" s="1999"/>
      <c r="L31" s="2000"/>
      <c r="M31" s="2000"/>
      <c r="N31" s="2000"/>
      <c r="O31" s="2000"/>
      <c r="P31" s="1995"/>
      <c r="Q31" s="2613"/>
      <c r="R31" s="1995"/>
      <c r="S31" s="2613"/>
      <c r="T31" s="1995"/>
      <c r="U31" s="2613"/>
      <c r="V31" s="1995"/>
      <c r="W31" s="2613"/>
      <c r="X31" s="1995"/>
      <c r="Y31" s="2613"/>
      <c r="Z31" s="1995"/>
      <c r="AA31" s="2613"/>
      <c r="AB31" s="1995"/>
      <c r="AC31" s="2039"/>
      <c r="AD31" s="1995"/>
      <c r="AE31" s="3196"/>
      <c r="AF31" s="3195"/>
      <c r="AG31" s="1995"/>
      <c r="AH31" s="1994"/>
      <c r="AI31" s="2610"/>
      <c r="AJ31" s="1994"/>
      <c r="AK31" s="2614"/>
      <c r="AL31" s="3666"/>
      <c r="AM31" s="2598"/>
    </row>
    <row r="32" spans="1:39" s="2621" customFormat="1" ht="15.75">
      <c r="A32" s="2553"/>
      <c r="B32" s="2473" t="s">
        <v>1106</v>
      </c>
      <c r="C32" s="2553"/>
      <c r="D32" s="2553"/>
      <c r="E32" s="2611">
        <f>ROUND(SUM(+E27+E22+E30),1)</f>
        <v>74.099999999999994</v>
      </c>
      <c r="F32" s="2050"/>
      <c r="G32" s="2611">
        <f>ROUND(SUM(+G27+G22+G30),1)</f>
        <v>46.3</v>
      </c>
      <c r="H32" s="2050"/>
      <c r="I32" s="2611">
        <f>ROUND(SUM(+I27+I22+I30),1)</f>
        <v>107.9</v>
      </c>
      <c r="J32" s="2050"/>
      <c r="K32" s="2611">
        <f>ROUND(SUM(+K27+K22+K30),1)</f>
        <v>108.2</v>
      </c>
      <c r="L32" s="2050"/>
      <c r="M32" s="2035">
        <f>ROUND(SUM(+M27+M22+M30),1)</f>
        <v>103.9</v>
      </c>
      <c r="N32" s="2050"/>
      <c r="O32" s="2035">
        <f>ROUND(SUM(+O27+O22+O30),1)</f>
        <v>130.30000000000001</v>
      </c>
      <c r="P32" s="2050"/>
      <c r="Q32" s="2035">
        <f>ROUND(SUM(+Q27+Q22+Q30),1)</f>
        <v>104.6</v>
      </c>
      <c r="R32" s="2050"/>
      <c r="S32" s="2035">
        <f>ROUND(SUM(+S27+S22+S30),1)</f>
        <v>100.7</v>
      </c>
      <c r="T32" s="2050"/>
      <c r="U32" s="2035">
        <f>ROUND(SUM(+U27+U22+U30),1)</f>
        <v>120.6</v>
      </c>
      <c r="V32" s="2050"/>
      <c r="W32" s="2035">
        <f>ROUND(SUM(+W27+W22+W30),1)</f>
        <v>89.9</v>
      </c>
      <c r="X32" s="2050"/>
      <c r="Y32" s="2035">
        <f>ROUND(SUM(+Y27+Y22+Y30),1)</f>
        <v>0</v>
      </c>
      <c r="Z32" s="2050"/>
      <c r="AA32" s="2035">
        <f>ROUND(SUM(+AA27+AA22+AA30),1)</f>
        <v>0</v>
      </c>
      <c r="AB32" s="2050"/>
      <c r="AC32" s="2554"/>
      <c r="AD32" s="2035">
        <f>ROUND(SUM(+AD27+AD22+AD30),1)</f>
        <v>986.5</v>
      </c>
      <c r="AE32" s="3197"/>
      <c r="AF32" s="3198"/>
      <c r="AG32" s="2035">
        <f>ROUND(SUM(+AG27+AG22+AG30),1)</f>
        <v>1202.8</v>
      </c>
      <c r="AH32" s="2612"/>
      <c r="AI32" s="2610"/>
      <c r="AJ32" s="2035">
        <f>ROUND(SUM(+AJ27+AJ22+AJ30),1)</f>
        <v>-216.3</v>
      </c>
      <c r="AK32" s="3667"/>
      <c r="AL32" s="2628">
        <f>ROUND(IF(AG32=0,1,AJ32/ABS(AG32)),3)</f>
        <v>-0.18</v>
      </c>
      <c r="AM32" s="2629"/>
    </row>
    <row r="33" spans="1:39" ht="15.75">
      <c r="A33" s="2465"/>
      <c r="B33" s="2505"/>
      <c r="C33" s="2465"/>
      <c r="D33" s="2465"/>
      <c r="E33" s="2609"/>
      <c r="F33" s="2000"/>
      <c r="G33" s="2609"/>
      <c r="H33" s="2000"/>
      <c r="I33" s="1999"/>
      <c r="J33" s="2000"/>
      <c r="K33" s="1999"/>
      <c r="L33" s="2000"/>
      <c r="M33" s="2000"/>
      <c r="N33" s="2000"/>
      <c r="O33" s="2000"/>
      <c r="P33" s="1995"/>
      <c r="Q33" s="2613"/>
      <c r="R33" s="1995"/>
      <c r="S33" s="2613"/>
      <c r="T33" s="1995"/>
      <c r="U33" s="2613"/>
      <c r="V33" s="1995"/>
      <c r="W33" s="2613"/>
      <c r="X33" s="1995"/>
      <c r="Y33" s="2613"/>
      <c r="Z33" s="1995"/>
      <c r="AA33" s="2613"/>
      <c r="AB33" s="1995"/>
      <c r="AC33" s="2039"/>
      <c r="AD33" s="1995"/>
      <c r="AE33" s="3196"/>
      <c r="AF33" s="3195"/>
      <c r="AG33" s="1995"/>
      <c r="AH33" s="1994"/>
      <c r="AI33" s="2610"/>
      <c r="AJ33" s="1994"/>
      <c r="AK33" s="2614"/>
      <c r="AL33" s="1650"/>
      <c r="AM33" s="2598"/>
    </row>
    <row r="34" spans="1:39" ht="15.75">
      <c r="A34" s="2465"/>
      <c r="B34" s="2462" t="s">
        <v>1014</v>
      </c>
      <c r="C34" s="2465"/>
      <c r="D34" s="2465"/>
      <c r="E34" s="1999"/>
      <c r="F34" s="2000"/>
      <c r="G34" s="1999"/>
      <c r="H34" s="2000"/>
      <c r="I34" s="1999"/>
      <c r="J34" s="2000"/>
      <c r="K34" s="1999"/>
      <c r="L34" s="2000"/>
      <c r="M34" s="2000"/>
      <c r="N34" s="2000"/>
      <c r="O34" s="2000"/>
      <c r="P34" s="1995"/>
      <c r="Q34" s="2613"/>
      <c r="R34" s="1995"/>
      <c r="S34" s="2613"/>
      <c r="T34" s="1995"/>
      <c r="U34" s="2613"/>
      <c r="V34" s="1995"/>
      <c r="W34" s="2613"/>
      <c r="X34" s="1995"/>
      <c r="Y34" s="2613"/>
      <c r="Z34" s="1995"/>
      <c r="AA34" s="2613"/>
      <c r="AB34" s="1995"/>
      <c r="AC34" s="2039"/>
      <c r="AD34" s="1995"/>
      <c r="AE34" s="3190"/>
      <c r="AF34" s="1977"/>
      <c r="AG34" s="1995"/>
      <c r="AH34" s="1994"/>
      <c r="AI34" s="2610"/>
      <c r="AJ34" s="1994"/>
      <c r="AK34" s="2607"/>
      <c r="AL34" s="1798"/>
    </row>
    <row r="35" spans="1:39" ht="15.75">
      <c r="A35" s="2465"/>
      <c r="B35" s="2485" t="s">
        <v>1133</v>
      </c>
      <c r="C35" s="2505"/>
      <c r="D35" s="2465"/>
      <c r="E35" s="1999"/>
      <c r="F35" s="2000"/>
      <c r="G35" s="1999"/>
      <c r="H35" s="2000"/>
      <c r="I35" s="1999"/>
      <c r="J35" s="2000"/>
      <c r="K35" s="1999"/>
      <c r="L35" s="2000"/>
      <c r="M35" s="2000"/>
      <c r="N35" s="2000"/>
      <c r="O35" s="2000"/>
      <c r="P35" s="1995"/>
      <c r="Q35" s="2613"/>
      <c r="R35" s="1995"/>
      <c r="S35" s="2613"/>
      <c r="T35" s="1995"/>
      <c r="U35" s="2613"/>
      <c r="V35" s="1995"/>
      <c r="W35" s="2613"/>
      <c r="X35" s="1995"/>
      <c r="Y35" s="2613"/>
      <c r="Z35" s="1995"/>
      <c r="AA35" s="2613"/>
      <c r="AB35" s="1995"/>
      <c r="AC35" s="2039"/>
      <c r="AD35" s="1995"/>
      <c r="AE35" s="3193"/>
      <c r="AF35" s="1977"/>
      <c r="AG35" s="1995"/>
      <c r="AH35" s="1994"/>
      <c r="AI35" s="2610"/>
      <c r="AJ35" s="1994"/>
      <c r="AK35" s="2607"/>
      <c r="AL35" s="1798"/>
    </row>
    <row r="36" spans="1:39" ht="15.75">
      <c r="A36" s="2465"/>
      <c r="B36" s="2485" t="s">
        <v>1048</v>
      </c>
      <c r="C36" s="2505"/>
      <c r="D36" s="2465"/>
      <c r="E36" s="2000">
        <v>0</v>
      </c>
      <c r="F36" s="2000"/>
      <c r="G36" s="2000">
        <v>0</v>
      </c>
      <c r="H36" s="2000"/>
      <c r="I36" s="2000">
        <v>0</v>
      </c>
      <c r="J36" s="2000"/>
      <c r="K36" s="2000">
        <v>23</v>
      </c>
      <c r="L36" s="2606"/>
      <c r="M36" s="2000">
        <v>0</v>
      </c>
      <c r="N36" s="2606"/>
      <c r="O36" s="2000">
        <v>0</v>
      </c>
      <c r="P36" s="2606"/>
      <c r="Q36" s="1789">
        <v>0</v>
      </c>
      <c r="R36" s="2606"/>
      <c r="S36" s="1789">
        <v>0</v>
      </c>
      <c r="T36" s="2606"/>
      <c r="U36" s="1789">
        <v>0</v>
      </c>
      <c r="V36" s="2606"/>
      <c r="W36" s="1789">
        <f t="shared" ref="W36:W59" si="2">$AD36-$E36-$G36-$I36-$K36-$M36-$O36-$Q36-$S36-$U36</f>
        <v>0</v>
      </c>
      <c r="X36" s="2606"/>
      <c r="Y36" s="1789"/>
      <c r="Z36" s="2606"/>
      <c r="AA36" s="1789"/>
      <c r="AB36" s="1995"/>
      <c r="AC36" s="2039"/>
      <c r="AD36" s="2000">
        <v>23</v>
      </c>
      <c r="AE36" s="3193"/>
      <c r="AF36" s="1977"/>
      <c r="AG36" s="2000">
        <v>23</v>
      </c>
      <c r="AH36" s="1994"/>
      <c r="AI36" s="2610"/>
      <c r="AJ36" s="1995">
        <f t="shared" ref="AJ36:AJ59" si="3">ROUND(AD36-AG36,1)</f>
        <v>0</v>
      </c>
      <c r="AK36" s="2607"/>
      <c r="AL36" s="1650">
        <f>ROUND(IF(AG36=0,0,AJ36/ABS(AG36)),3)</f>
        <v>0</v>
      </c>
    </row>
    <row r="37" spans="1:39" ht="15.75">
      <c r="A37" s="2465"/>
      <c r="B37" s="2485" t="s">
        <v>1134</v>
      </c>
      <c r="C37" s="2505"/>
      <c r="D37" s="2465"/>
      <c r="E37" s="2000" t="s">
        <v>15</v>
      </c>
      <c r="F37" s="2000"/>
      <c r="G37" s="2000"/>
      <c r="H37" s="2000"/>
      <c r="I37" s="2000"/>
      <c r="J37" s="2000"/>
      <c r="K37" s="2000"/>
      <c r="L37" s="2606"/>
      <c r="M37" s="2000"/>
      <c r="N37" s="2606"/>
      <c r="O37" s="2000"/>
      <c r="P37" s="2606"/>
      <c r="Q37" s="1789"/>
      <c r="R37" s="2606"/>
      <c r="S37" s="1789"/>
      <c r="T37" s="2606"/>
      <c r="U37" s="1789"/>
      <c r="V37" s="2606"/>
      <c r="W37" s="1789"/>
      <c r="X37" s="2606"/>
      <c r="Y37" s="1789"/>
      <c r="Z37" s="2606"/>
      <c r="AA37" s="1789"/>
      <c r="AB37" s="1995"/>
      <c r="AC37" s="2039"/>
      <c r="AD37" s="2613"/>
      <c r="AE37" s="3193"/>
      <c r="AF37" s="1977"/>
      <c r="AG37" s="2613"/>
      <c r="AH37" s="1994"/>
      <c r="AI37" s="2610"/>
      <c r="AJ37" s="1995"/>
      <c r="AK37" s="2607"/>
      <c r="AL37" s="1798"/>
    </row>
    <row r="38" spans="1:39" ht="15.75">
      <c r="A38" s="2465"/>
      <c r="B38" s="2485" t="s">
        <v>1049</v>
      </c>
      <c r="C38" s="2505"/>
      <c r="D38" s="2465"/>
      <c r="E38" s="2000">
        <v>7.9</v>
      </c>
      <c r="F38" s="2000"/>
      <c r="G38" s="2000">
        <v>3.5999999999999996</v>
      </c>
      <c r="H38" s="2000"/>
      <c r="I38" s="2000">
        <v>5.3999999999999986</v>
      </c>
      <c r="J38" s="2000"/>
      <c r="K38" s="2000">
        <v>7</v>
      </c>
      <c r="L38" s="2606"/>
      <c r="M38" s="2000">
        <v>7.6000000000000014</v>
      </c>
      <c r="N38" s="2606"/>
      <c r="O38" s="2000">
        <v>7.1000000000000014</v>
      </c>
      <c r="P38" s="2606"/>
      <c r="Q38" s="1789">
        <v>7.2999999999999972</v>
      </c>
      <c r="R38" s="2606"/>
      <c r="S38" s="1789">
        <v>7.3000000000000043</v>
      </c>
      <c r="T38" s="2606"/>
      <c r="U38" s="1789">
        <v>6.5</v>
      </c>
      <c r="V38" s="2606"/>
      <c r="W38" s="1789">
        <f t="shared" si="2"/>
        <v>6.7000000000000028</v>
      </c>
      <c r="X38" s="2606"/>
      <c r="Y38" s="1789"/>
      <c r="Z38" s="2606"/>
      <c r="AA38" s="1789"/>
      <c r="AB38" s="1995"/>
      <c r="AC38" s="2039"/>
      <c r="AD38" s="2000">
        <v>66.400000000000006</v>
      </c>
      <c r="AE38" s="3193"/>
      <c r="AF38" s="1977"/>
      <c r="AG38" s="2000">
        <v>85.4</v>
      </c>
      <c r="AH38" s="1994"/>
      <c r="AI38" s="2610"/>
      <c r="AJ38" s="1995">
        <f t="shared" si="3"/>
        <v>-19</v>
      </c>
      <c r="AK38" s="2607"/>
      <c r="AL38" s="1650">
        <f>ROUND(IF(AG38=0,0,AJ38/ABS(AG38)),3)</f>
        <v>-0.222</v>
      </c>
    </row>
    <row r="39" spans="1:39" ht="15.75">
      <c r="A39" s="2465"/>
      <c r="B39" s="2485" t="s">
        <v>1139</v>
      </c>
      <c r="C39" s="2505"/>
      <c r="D39" s="2465"/>
      <c r="E39" s="2000" t="s">
        <v>15</v>
      </c>
      <c r="F39" s="2000"/>
      <c r="G39" s="2000"/>
      <c r="H39" s="2000"/>
      <c r="I39" s="2000"/>
      <c r="J39" s="2000"/>
      <c r="K39" s="2000"/>
      <c r="L39" s="2606"/>
      <c r="M39" s="2000"/>
      <c r="N39" s="2606"/>
      <c r="O39" s="2000"/>
      <c r="P39" s="2606"/>
      <c r="Q39" s="1789"/>
      <c r="R39" s="2606"/>
      <c r="S39" s="1789"/>
      <c r="T39" s="2606"/>
      <c r="U39" s="1789"/>
      <c r="V39" s="2606"/>
      <c r="W39" s="1789"/>
      <c r="X39" s="2606"/>
      <c r="Y39" s="1789"/>
      <c r="Z39" s="2606"/>
      <c r="AA39" s="1789"/>
      <c r="AB39" s="1995"/>
      <c r="AC39" s="2039"/>
      <c r="AD39" s="2613"/>
      <c r="AE39" s="3193"/>
      <c r="AF39" s="1977"/>
      <c r="AG39" s="2613"/>
      <c r="AH39" s="1994"/>
      <c r="AI39" s="2610"/>
      <c r="AJ39" s="1995"/>
      <c r="AK39" s="2607"/>
      <c r="AL39" s="1798"/>
    </row>
    <row r="40" spans="1:39" ht="15.75">
      <c r="A40" s="2465"/>
      <c r="B40" s="2485" t="s">
        <v>1053</v>
      </c>
      <c r="C40" s="2505"/>
      <c r="D40" s="2465"/>
      <c r="E40" s="2000">
        <v>1.8</v>
      </c>
      <c r="F40" s="2000"/>
      <c r="G40" s="2000">
        <v>2.0999999999999996</v>
      </c>
      <c r="H40" s="2000"/>
      <c r="I40" s="2000">
        <v>1.6000000000000005</v>
      </c>
      <c r="J40" s="2000"/>
      <c r="K40" s="2000">
        <v>1.2999999999999998</v>
      </c>
      <c r="L40" s="2606"/>
      <c r="M40" s="2000">
        <v>9.3000000000000007</v>
      </c>
      <c r="N40" s="2606"/>
      <c r="O40" s="2000">
        <v>3.0999999999999979</v>
      </c>
      <c r="P40" s="2606"/>
      <c r="Q40" s="1789">
        <v>2.4999999999999964</v>
      </c>
      <c r="R40" s="2606"/>
      <c r="S40" s="1789">
        <v>2.3000000000000043</v>
      </c>
      <c r="T40" s="2606"/>
      <c r="U40" s="1789">
        <v>0.60000000000000142</v>
      </c>
      <c r="V40" s="2606"/>
      <c r="W40" s="1789">
        <f t="shared" si="2"/>
        <v>0.39999999999999858</v>
      </c>
      <c r="X40" s="2606"/>
      <c r="Y40" s="1789"/>
      <c r="Z40" s="2606"/>
      <c r="AA40" s="1789"/>
      <c r="AB40" s="1995"/>
      <c r="AC40" s="2039"/>
      <c r="AD40" s="2000">
        <v>25</v>
      </c>
      <c r="AE40" s="3193"/>
      <c r="AF40" s="1977"/>
      <c r="AG40" s="2000">
        <v>29</v>
      </c>
      <c r="AH40" s="1994"/>
      <c r="AI40" s="2610"/>
      <c r="AJ40" s="1995">
        <f t="shared" si="3"/>
        <v>-4</v>
      </c>
      <c r="AK40" s="2607"/>
      <c r="AL40" s="1650">
        <f>ROUND(IF(AG40=0,0,AJ40/ABS(AG40)),3)</f>
        <v>-0.13800000000000001</v>
      </c>
    </row>
    <row r="41" spans="1:39" ht="15.75">
      <c r="A41" s="2465"/>
      <c r="B41" s="2485" t="s">
        <v>1196</v>
      </c>
      <c r="C41" s="2505"/>
      <c r="D41" s="2465"/>
      <c r="E41" s="2000">
        <v>0</v>
      </c>
      <c r="F41" s="2000"/>
      <c r="G41" s="2000">
        <v>0</v>
      </c>
      <c r="H41" s="2000"/>
      <c r="I41" s="2000">
        <v>0</v>
      </c>
      <c r="J41" s="2000"/>
      <c r="K41" s="2000">
        <v>0</v>
      </c>
      <c r="L41" s="2606"/>
      <c r="M41" s="2000">
        <v>0</v>
      </c>
      <c r="N41" s="2606"/>
      <c r="O41" s="2000">
        <v>0</v>
      </c>
      <c r="P41" s="2606"/>
      <c r="Q41" s="1789">
        <v>0</v>
      </c>
      <c r="R41" s="2606"/>
      <c r="S41" s="1789">
        <v>0</v>
      </c>
      <c r="T41" s="2606"/>
      <c r="U41" s="1789">
        <v>0</v>
      </c>
      <c r="V41" s="2606"/>
      <c r="W41" s="1789">
        <f t="shared" si="2"/>
        <v>0</v>
      </c>
      <c r="X41" s="2606"/>
      <c r="Y41" s="1789"/>
      <c r="Z41" s="2606"/>
      <c r="AA41" s="1789"/>
      <c r="AB41" s="1995"/>
      <c r="AC41" s="2039"/>
      <c r="AD41" s="2000">
        <v>0</v>
      </c>
      <c r="AE41" s="3199"/>
      <c r="AF41" s="1977"/>
      <c r="AG41" s="2000">
        <v>0</v>
      </c>
      <c r="AH41" s="1994"/>
      <c r="AI41" s="2610"/>
      <c r="AJ41" s="1995">
        <f>ROUND(AD41-AG41,1)</f>
        <v>0</v>
      </c>
      <c r="AK41" s="2607"/>
      <c r="AL41" s="1724">
        <f>ROUND(IF(AG41=0,0,AJ41/ABS(AG41)),3)</f>
        <v>0</v>
      </c>
    </row>
    <row r="42" spans="1:39" ht="15.75">
      <c r="A42" s="2465"/>
      <c r="B42" s="2485" t="s">
        <v>1056</v>
      </c>
      <c r="C42" s="2505"/>
      <c r="D42" s="2465"/>
      <c r="E42" s="2000">
        <v>52.2</v>
      </c>
      <c r="F42" s="2000"/>
      <c r="G42" s="2000">
        <v>33.200000000000003</v>
      </c>
      <c r="H42" s="2000"/>
      <c r="I42" s="2000">
        <v>43.099999999999994</v>
      </c>
      <c r="J42" s="2000"/>
      <c r="K42" s="2000">
        <v>60.59999999999998</v>
      </c>
      <c r="L42" s="2606"/>
      <c r="M42" s="2000">
        <v>63.400000000000048</v>
      </c>
      <c r="N42" s="2606"/>
      <c r="O42" s="2000">
        <v>57.399999999999977</v>
      </c>
      <c r="P42" s="2606"/>
      <c r="Q42" s="1789">
        <v>60.700000000000031</v>
      </c>
      <c r="R42" s="2606"/>
      <c r="S42" s="1789">
        <v>60.299999999999969</v>
      </c>
      <c r="T42" s="2606"/>
      <c r="U42" s="1789">
        <v>59.600000000000023</v>
      </c>
      <c r="V42" s="2606"/>
      <c r="W42" s="1789">
        <f t="shared" si="2"/>
        <v>59.899999999999963</v>
      </c>
      <c r="X42" s="2606"/>
      <c r="Y42" s="1789"/>
      <c r="Z42" s="2606"/>
      <c r="AA42" s="1789"/>
      <c r="AB42" s="1995"/>
      <c r="AC42" s="2039"/>
      <c r="AD42" s="2000">
        <v>550.4</v>
      </c>
      <c r="AE42" s="3193"/>
      <c r="AF42" s="1977"/>
      <c r="AG42" s="2000">
        <v>614.6</v>
      </c>
      <c r="AH42" s="1994"/>
      <c r="AI42" s="2610"/>
      <c r="AJ42" s="1995">
        <f t="shared" si="3"/>
        <v>-64.2</v>
      </c>
      <c r="AK42" s="2607"/>
      <c r="AL42" s="1650">
        <f>ROUND(IF(AG42=0,0,AJ42/ABS(AG42)),3)</f>
        <v>-0.104</v>
      </c>
    </row>
    <row r="43" spans="1:39" ht="15.75">
      <c r="A43" s="2465"/>
      <c r="B43" s="2485" t="s">
        <v>1057</v>
      </c>
      <c r="C43" s="2505"/>
      <c r="D43" s="2465"/>
      <c r="E43" s="2000">
        <v>0</v>
      </c>
      <c r="F43" s="2000"/>
      <c r="G43" s="2000">
        <v>0</v>
      </c>
      <c r="H43" s="2000"/>
      <c r="I43" s="2000">
        <v>0.5</v>
      </c>
      <c r="J43" s="2000"/>
      <c r="K43" s="2000">
        <v>0</v>
      </c>
      <c r="L43" s="2606"/>
      <c r="M43" s="2000">
        <v>11</v>
      </c>
      <c r="N43" s="2606"/>
      <c r="O43" s="2000">
        <v>7.6999999999999993</v>
      </c>
      <c r="P43" s="2606"/>
      <c r="Q43" s="1789">
        <v>0.10000000000000142</v>
      </c>
      <c r="R43" s="2606"/>
      <c r="S43" s="1789">
        <v>0</v>
      </c>
      <c r="T43" s="2606"/>
      <c r="U43" s="1789">
        <v>0.80000000000000071</v>
      </c>
      <c r="V43" s="2606"/>
      <c r="W43" s="1789">
        <f t="shared" si="2"/>
        <v>9.9999999999997868E-2</v>
      </c>
      <c r="X43" s="2606"/>
      <c r="Y43" s="1789"/>
      <c r="Z43" s="2606"/>
      <c r="AA43" s="1789"/>
      <c r="AB43" s="1995"/>
      <c r="AC43" s="2039"/>
      <c r="AD43" s="2000">
        <v>20.2</v>
      </c>
      <c r="AE43" s="3193"/>
      <c r="AF43" s="1977"/>
      <c r="AG43" s="2000">
        <v>30.8</v>
      </c>
      <c r="AH43" s="1994"/>
      <c r="AI43" s="2610"/>
      <c r="AJ43" s="1995">
        <f t="shared" si="3"/>
        <v>-10.6</v>
      </c>
      <c r="AK43" s="2607"/>
      <c r="AL43" s="1729">
        <f>ROUND(IF(AG43=0,1,AJ43/ABS(AG43)),3)</f>
        <v>-0.34399999999999997</v>
      </c>
    </row>
    <row r="44" spans="1:39" ht="15.75">
      <c r="A44" s="2465"/>
      <c r="B44" s="2485" t="s">
        <v>1015</v>
      </c>
      <c r="C44" s="2505"/>
      <c r="D44" s="2465"/>
      <c r="E44" s="2000">
        <v>2</v>
      </c>
      <c r="F44" s="2000"/>
      <c r="G44" s="2000">
        <v>1.9</v>
      </c>
      <c r="H44" s="2000"/>
      <c r="I44" s="2000">
        <v>2.0000000000000004</v>
      </c>
      <c r="J44" s="2000"/>
      <c r="K44" s="2000">
        <v>1.2000000000000002</v>
      </c>
      <c r="L44" s="2606"/>
      <c r="M44" s="2000">
        <v>3.2</v>
      </c>
      <c r="N44" s="2606"/>
      <c r="O44" s="2000">
        <v>2.1999999999999993</v>
      </c>
      <c r="P44" s="2606"/>
      <c r="Q44" s="1789">
        <v>1.9000000000000004</v>
      </c>
      <c r="R44" s="2606"/>
      <c r="S44" s="1789">
        <v>1.3999999999999995</v>
      </c>
      <c r="T44" s="2606"/>
      <c r="U44" s="1789">
        <v>1.0999999999999979</v>
      </c>
      <c r="V44" s="2606"/>
      <c r="W44" s="1789">
        <f t="shared" si="2"/>
        <v>2.5000000000000009</v>
      </c>
      <c r="X44" s="2606"/>
      <c r="Y44" s="1789"/>
      <c r="Z44" s="2606"/>
      <c r="AA44" s="1789"/>
      <c r="AB44" s="1995"/>
      <c r="AC44" s="2039"/>
      <c r="AD44" s="2000">
        <v>19.399999999999999</v>
      </c>
      <c r="AE44" s="3193"/>
      <c r="AF44" s="1977"/>
      <c r="AG44" s="2000">
        <v>22.2</v>
      </c>
      <c r="AH44" s="1994"/>
      <c r="AI44" s="2610"/>
      <c r="AJ44" s="1995">
        <f t="shared" si="3"/>
        <v>-2.8</v>
      </c>
      <c r="AK44" s="2607"/>
      <c r="AL44" s="1729">
        <f>ROUND(IF(AG44=0,1,AJ44/ABS(AG44)),3)</f>
        <v>-0.126</v>
      </c>
    </row>
    <row r="45" spans="1:39" ht="15.75">
      <c r="A45" s="2465"/>
      <c r="B45" s="2485" t="s">
        <v>1016</v>
      </c>
      <c r="C45" s="2505"/>
      <c r="D45" s="2465"/>
      <c r="E45" s="2000">
        <v>0.7</v>
      </c>
      <c r="F45" s="2000"/>
      <c r="G45" s="2000">
        <v>0.5</v>
      </c>
      <c r="H45" s="2000"/>
      <c r="I45" s="2000">
        <v>0.10000000000000009</v>
      </c>
      <c r="J45" s="2000"/>
      <c r="K45" s="2000">
        <v>0</v>
      </c>
      <c r="L45" s="2606"/>
      <c r="M45" s="2000">
        <v>9.9999999999999867E-2</v>
      </c>
      <c r="N45" s="2606"/>
      <c r="O45" s="2000">
        <v>0.10000000000000009</v>
      </c>
      <c r="P45" s="2606"/>
      <c r="Q45" s="1789">
        <v>0</v>
      </c>
      <c r="R45" s="2606"/>
      <c r="S45" s="1789">
        <v>0.10000000000000009</v>
      </c>
      <c r="T45" s="2606"/>
      <c r="U45" s="1789">
        <v>9.9999999999999867E-2</v>
      </c>
      <c r="V45" s="2606"/>
      <c r="W45" s="1789">
        <f t="shared" si="2"/>
        <v>0</v>
      </c>
      <c r="X45" s="2606"/>
      <c r="Y45" s="1789"/>
      <c r="Z45" s="2606"/>
      <c r="AA45" s="1789"/>
      <c r="AB45" s="1995"/>
      <c r="AC45" s="2039"/>
      <c r="AD45" s="2000">
        <v>1.7</v>
      </c>
      <c r="AE45" s="3193"/>
      <c r="AF45" s="1977"/>
      <c r="AG45" s="2000">
        <v>9.6999999999999993</v>
      </c>
      <c r="AH45" s="1994"/>
      <c r="AI45" s="2610"/>
      <c r="AJ45" s="1995">
        <f t="shared" si="3"/>
        <v>-8</v>
      </c>
      <c r="AK45" s="2607"/>
      <c r="AL45" s="1724">
        <f>ROUND(IF(AG45=0,1,AJ45/ABS(AG45)),3)</f>
        <v>-0.82499999999999996</v>
      </c>
    </row>
    <row r="46" spans="1:39" ht="15.75">
      <c r="A46" s="2465"/>
      <c r="B46" s="2485" t="s">
        <v>1137</v>
      </c>
      <c r="C46" s="2505"/>
      <c r="D46" s="2465"/>
      <c r="E46" s="2000" t="s">
        <v>15</v>
      </c>
      <c r="F46" s="2000"/>
      <c r="G46" s="2000"/>
      <c r="H46" s="2000"/>
      <c r="I46" s="2000"/>
      <c r="J46" s="2000"/>
      <c r="K46" s="2000"/>
      <c r="L46" s="2606"/>
      <c r="M46" s="2000"/>
      <c r="N46" s="2606"/>
      <c r="O46" s="2000"/>
      <c r="P46" s="2606"/>
      <c r="Q46" s="1789"/>
      <c r="R46" s="2606"/>
      <c r="S46" s="1789"/>
      <c r="T46" s="2606"/>
      <c r="U46" s="1789"/>
      <c r="V46" s="2606"/>
      <c r="W46" s="1789"/>
      <c r="X46" s="2606"/>
      <c r="Y46" s="1789"/>
      <c r="Z46" s="2606"/>
      <c r="AA46" s="1789"/>
      <c r="AB46" s="1995"/>
      <c r="AC46" s="2039"/>
      <c r="AD46" s="2613"/>
      <c r="AE46" s="3193"/>
      <c r="AF46" s="1977"/>
      <c r="AG46" s="2613"/>
      <c r="AH46" s="1994"/>
      <c r="AI46" s="2610"/>
      <c r="AJ46" s="1995"/>
      <c r="AK46" s="2607"/>
      <c r="AL46" s="1798"/>
    </row>
    <row r="47" spans="1:39" ht="15.75">
      <c r="A47" s="2465"/>
      <c r="B47" s="2485" t="s">
        <v>1061</v>
      </c>
      <c r="C47" s="2505"/>
      <c r="D47" s="2465"/>
      <c r="E47" s="2000">
        <v>1122.0999999999999</v>
      </c>
      <c r="F47" s="2000"/>
      <c r="G47" s="2000">
        <v>19.100000000000136</v>
      </c>
      <c r="H47" s="2000"/>
      <c r="I47" s="2000">
        <v>342.39999999999986</v>
      </c>
      <c r="J47" s="2000"/>
      <c r="K47" s="2000">
        <v>269.90000000000009</v>
      </c>
      <c r="L47" s="2606"/>
      <c r="M47" s="2000">
        <v>32.400000000000091</v>
      </c>
      <c r="N47" s="2606"/>
      <c r="O47" s="2000">
        <v>384.69999999999982</v>
      </c>
      <c r="P47" s="2606"/>
      <c r="Q47" s="1789">
        <v>895.80000000000018</v>
      </c>
      <c r="R47" s="2606"/>
      <c r="S47" s="1789">
        <v>1</v>
      </c>
      <c r="T47" s="2606"/>
      <c r="U47" s="1789">
        <v>981.90000000000055</v>
      </c>
      <c r="V47" s="2606"/>
      <c r="W47" s="1789">
        <f t="shared" si="2"/>
        <v>3.8999999999996362</v>
      </c>
      <c r="X47" s="2606"/>
      <c r="Y47" s="1789"/>
      <c r="Z47" s="2606"/>
      <c r="AA47" s="1789"/>
      <c r="AB47" s="1995"/>
      <c r="AC47" s="2039"/>
      <c r="AD47" s="2000">
        <v>4053.2</v>
      </c>
      <c r="AE47" s="3193"/>
      <c r="AF47" s="1977"/>
      <c r="AG47" s="2000">
        <v>3543.1</v>
      </c>
      <c r="AH47" s="1994"/>
      <c r="AI47" s="2610"/>
      <c r="AJ47" s="1995">
        <f t="shared" si="3"/>
        <v>510.1</v>
      </c>
      <c r="AK47" s="2607"/>
      <c r="AL47" s="3668">
        <f>ROUND(IF(AG47=0,1,AJ47/ABS(AG47)),3)</f>
        <v>0.14399999999999999</v>
      </c>
    </row>
    <row r="48" spans="1:39" s="2616" customFormat="1" ht="15.75">
      <c r="A48" s="3669"/>
      <c r="B48" s="2485" t="s">
        <v>1063</v>
      </c>
      <c r="C48" s="2505"/>
      <c r="D48" s="2505"/>
      <c r="E48" s="2000">
        <v>0</v>
      </c>
      <c r="F48" s="1999"/>
      <c r="G48" s="2000">
        <v>0</v>
      </c>
      <c r="H48" s="1999"/>
      <c r="I48" s="2000">
        <v>0</v>
      </c>
      <c r="J48" s="1999"/>
      <c r="K48" s="2000">
        <v>0</v>
      </c>
      <c r="L48" s="2606"/>
      <c r="M48" s="2000">
        <v>0</v>
      </c>
      <c r="N48" s="2606"/>
      <c r="O48" s="2000">
        <v>0</v>
      </c>
      <c r="P48" s="2606"/>
      <c r="Q48" s="1789">
        <v>0</v>
      </c>
      <c r="R48" s="2606"/>
      <c r="S48" s="1789">
        <v>0</v>
      </c>
      <c r="T48" s="2606"/>
      <c r="U48" s="1789">
        <v>0</v>
      </c>
      <c r="V48" s="2606"/>
      <c r="W48" s="1789">
        <f t="shared" si="2"/>
        <v>0</v>
      </c>
      <c r="X48" s="2606"/>
      <c r="Y48" s="1789"/>
      <c r="Z48" s="2606"/>
      <c r="AA48" s="1789"/>
      <c r="AB48" s="2000"/>
      <c r="AC48" s="2001"/>
      <c r="AD48" s="2000">
        <v>0</v>
      </c>
      <c r="AE48" s="3200"/>
      <c r="AF48" s="2041"/>
      <c r="AG48" s="2000">
        <v>0</v>
      </c>
      <c r="AH48" s="2032"/>
      <c r="AI48" s="2610"/>
      <c r="AJ48" s="2000">
        <f t="shared" si="3"/>
        <v>0</v>
      </c>
      <c r="AK48" s="2615"/>
      <c r="AL48" s="1724">
        <f>ROUND(IF(AG48=0,0,AJ48/ABS(AG48)),3)</f>
        <v>0</v>
      </c>
    </row>
    <row r="49" spans="1:41" ht="15.75">
      <c r="A49" s="2465"/>
      <c r="B49" s="2485" t="s">
        <v>1064</v>
      </c>
      <c r="C49" s="2505"/>
      <c r="D49" s="2465"/>
      <c r="E49" s="2000">
        <v>0.1</v>
      </c>
      <c r="F49" s="2000"/>
      <c r="G49" s="2000">
        <v>0</v>
      </c>
      <c r="H49" s="2000"/>
      <c r="I49" s="2000">
        <v>0.5</v>
      </c>
      <c r="J49" s="2000"/>
      <c r="K49" s="2000">
        <v>9.9999999999999978E-2</v>
      </c>
      <c r="L49" s="2606"/>
      <c r="M49" s="2000">
        <v>0.49999999999999989</v>
      </c>
      <c r="N49" s="2606"/>
      <c r="O49" s="2000">
        <v>0.10000000000000009</v>
      </c>
      <c r="P49" s="2606"/>
      <c r="Q49" s="1789">
        <v>0.39999999999999991</v>
      </c>
      <c r="R49" s="2606"/>
      <c r="S49" s="1789">
        <v>0</v>
      </c>
      <c r="T49" s="2606"/>
      <c r="U49" s="1789">
        <v>0.4</v>
      </c>
      <c r="V49" s="2606"/>
      <c r="W49" s="1789">
        <f t="shared" si="2"/>
        <v>15.199999999999998</v>
      </c>
      <c r="X49" s="2606"/>
      <c r="Y49" s="1789"/>
      <c r="Z49" s="2606"/>
      <c r="AA49" s="1789"/>
      <c r="AB49" s="1995"/>
      <c r="AC49" s="2039"/>
      <c r="AD49" s="2000">
        <v>17.3</v>
      </c>
      <c r="AE49" s="3193"/>
      <c r="AF49" s="1977"/>
      <c r="AG49" s="2000">
        <v>52.3</v>
      </c>
      <c r="AH49" s="1994"/>
      <c r="AI49" s="2610"/>
      <c r="AJ49" s="1995">
        <f t="shared" si="3"/>
        <v>-35</v>
      </c>
      <c r="AK49" s="2607"/>
      <c r="AL49" s="2617">
        <f>ROUND(IF(AG49=0,1,AJ49/ABS(AG49)),3)</f>
        <v>-0.66900000000000004</v>
      </c>
    </row>
    <row r="50" spans="1:41" ht="15.75">
      <c r="A50" s="2465"/>
      <c r="B50" s="2485" t="s">
        <v>1034</v>
      </c>
      <c r="C50" s="2505"/>
      <c r="D50" s="2465"/>
      <c r="E50" s="2000">
        <v>0</v>
      </c>
      <c r="F50" s="2000"/>
      <c r="G50" s="2000">
        <v>0</v>
      </c>
      <c r="H50" s="2000"/>
      <c r="I50" s="2000">
        <v>0.1</v>
      </c>
      <c r="J50" s="2000"/>
      <c r="K50" s="2000">
        <v>0</v>
      </c>
      <c r="L50" s="2606"/>
      <c r="M50" s="2000">
        <v>0.30000000000000004</v>
      </c>
      <c r="N50" s="2606"/>
      <c r="O50" s="2000">
        <v>0</v>
      </c>
      <c r="P50" s="2606"/>
      <c r="Q50" s="1789">
        <v>9.9999999999999978E-2</v>
      </c>
      <c r="R50" s="2606"/>
      <c r="S50" s="1789">
        <v>0</v>
      </c>
      <c r="T50" s="2606"/>
      <c r="U50" s="1789">
        <v>0</v>
      </c>
      <c r="V50" s="2606"/>
      <c r="W50" s="1789">
        <f t="shared" si="2"/>
        <v>9.9999999999999978E-2</v>
      </c>
      <c r="X50" s="2606"/>
      <c r="Y50" s="1789"/>
      <c r="Z50" s="2606"/>
      <c r="AA50" s="1789"/>
      <c r="AB50" s="1995"/>
      <c r="AC50" s="2039"/>
      <c r="AD50" s="2000">
        <v>0.6</v>
      </c>
      <c r="AE50" s="3193"/>
      <c r="AF50" s="1977"/>
      <c r="AG50" s="2000">
        <v>3.1</v>
      </c>
      <c r="AH50" s="1994"/>
      <c r="AI50" s="2610"/>
      <c r="AJ50" s="1995">
        <f t="shared" si="3"/>
        <v>-2.5</v>
      </c>
      <c r="AK50" s="2607"/>
      <c r="AL50" s="1650">
        <f>ROUND(IF(AG50=0,1,AJ50/ABS(AG50)),3)</f>
        <v>-0.80600000000000005</v>
      </c>
    </row>
    <row r="51" spans="1:41" ht="15.75">
      <c r="A51" s="2465"/>
      <c r="B51" s="2485" t="s">
        <v>1035</v>
      </c>
      <c r="C51" s="2505"/>
      <c r="D51" s="2465"/>
      <c r="E51" s="2000">
        <v>0.4</v>
      </c>
      <c r="F51" s="2000"/>
      <c r="G51" s="2000">
        <v>1.1000000000000001</v>
      </c>
      <c r="H51" s="2000"/>
      <c r="I51" s="2000">
        <v>2</v>
      </c>
      <c r="J51" s="2000"/>
      <c r="K51" s="2000">
        <v>2.1999999999999993</v>
      </c>
      <c r="L51" s="2606"/>
      <c r="M51" s="2000">
        <v>3.7000000000000011</v>
      </c>
      <c r="N51" s="2606"/>
      <c r="O51" s="2000">
        <v>1.0999999999999996</v>
      </c>
      <c r="P51" s="2606"/>
      <c r="Q51" s="1789">
        <v>0.69999999999999929</v>
      </c>
      <c r="R51" s="2606"/>
      <c r="S51" s="1789">
        <v>0.80000000000000071</v>
      </c>
      <c r="T51" s="2606"/>
      <c r="U51" s="1789">
        <v>0.80000000000000071</v>
      </c>
      <c r="V51" s="2606"/>
      <c r="W51" s="1789">
        <f t="shared" si="2"/>
        <v>1.5999999999999996</v>
      </c>
      <c r="X51" s="2606"/>
      <c r="Y51" s="1789"/>
      <c r="Z51" s="2606"/>
      <c r="AA51" s="1789"/>
      <c r="AB51" s="1995"/>
      <c r="AC51" s="2039"/>
      <c r="AD51" s="2000">
        <v>14.4</v>
      </c>
      <c r="AE51" s="3193"/>
      <c r="AF51" s="1977"/>
      <c r="AG51" s="2000">
        <v>7.4</v>
      </c>
      <c r="AH51" s="1994"/>
      <c r="AI51" s="2610"/>
      <c r="AJ51" s="1995">
        <f t="shared" si="3"/>
        <v>7</v>
      </c>
      <c r="AK51" s="2607"/>
      <c r="AL51" s="1650">
        <f>ROUND(IF(AG51=0,0,AJ51/ABS(AG51)),3)</f>
        <v>0.94599999999999995</v>
      </c>
    </row>
    <row r="52" spans="1:41" ht="15.75">
      <c r="A52" s="2465"/>
      <c r="B52" s="2485" t="s">
        <v>1138</v>
      </c>
      <c r="C52" s="2505"/>
      <c r="D52" s="2465"/>
      <c r="E52" s="2000" t="s">
        <v>15</v>
      </c>
      <c r="F52" s="2000"/>
      <c r="G52" s="2000"/>
      <c r="H52" s="2000"/>
      <c r="I52" s="2000"/>
      <c r="J52" s="2000"/>
      <c r="K52" s="2000"/>
      <c r="L52" s="2606"/>
      <c r="M52" s="2000"/>
      <c r="N52" s="2606"/>
      <c r="O52" s="2000"/>
      <c r="P52" s="2606"/>
      <c r="Q52" s="1789"/>
      <c r="R52" s="2606"/>
      <c r="S52" s="1789"/>
      <c r="T52" s="2606"/>
      <c r="U52" s="1789"/>
      <c r="V52" s="2606"/>
      <c r="W52" s="1789"/>
      <c r="X52" s="2606"/>
      <c r="Y52" s="1789"/>
      <c r="Z52" s="2606"/>
      <c r="AA52" s="1789"/>
      <c r="AB52" s="1995"/>
      <c r="AC52" s="2039"/>
      <c r="AD52" s="2613"/>
      <c r="AE52" s="3193"/>
      <c r="AF52" s="1977"/>
      <c r="AG52" s="2613"/>
      <c r="AH52" s="1994"/>
      <c r="AI52" s="2610"/>
      <c r="AJ52" s="1995"/>
      <c r="AK52" s="2607"/>
      <c r="AL52" s="1798"/>
    </row>
    <row r="53" spans="1:41" ht="15.75">
      <c r="A53" s="2465"/>
      <c r="B53" s="2485" t="s">
        <v>1065</v>
      </c>
      <c r="C53" s="2505"/>
      <c r="D53" s="2465"/>
      <c r="E53" s="2000">
        <v>0</v>
      </c>
      <c r="F53" s="1999"/>
      <c r="G53" s="2000">
        <v>0</v>
      </c>
      <c r="H53" s="2000"/>
      <c r="I53" s="2000">
        <v>0</v>
      </c>
      <c r="J53" s="2000"/>
      <c r="K53" s="2000">
        <v>0</v>
      </c>
      <c r="L53" s="2606"/>
      <c r="M53" s="2000">
        <v>0</v>
      </c>
      <c r="N53" s="2606"/>
      <c r="O53" s="2000">
        <v>0</v>
      </c>
      <c r="P53" s="2606"/>
      <c r="Q53" s="1789">
        <v>0</v>
      </c>
      <c r="R53" s="2606"/>
      <c r="S53" s="1789">
        <v>0</v>
      </c>
      <c r="T53" s="2606"/>
      <c r="U53" s="1789">
        <v>0</v>
      </c>
      <c r="V53" s="2606"/>
      <c r="W53" s="1789">
        <f t="shared" si="2"/>
        <v>0</v>
      </c>
      <c r="X53" s="2606"/>
      <c r="Y53" s="1789"/>
      <c r="Z53" s="2606"/>
      <c r="AA53" s="1789"/>
      <c r="AB53" s="1995"/>
      <c r="AC53" s="2039"/>
      <c r="AD53" s="2000">
        <v>0</v>
      </c>
      <c r="AE53" s="3193"/>
      <c r="AF53" s="1977"/>
      <c r="AG53" s="2000">
        <v>0</v>
      </c>
      <c r="AH53" s="1994"/>
      <c r="AI53" s="2610"/>
      <c r="AJ53" s="1995">
        <f t="shared" si="3"/>
        <v>0</v>
      </c>
      <c r="AK53" s="2607"/>
      <c r="AL53" s="1650">
        <f>ROUND(IF(AG53=0,0,AJ53/ABS(AG53)),3)</f>
        <v>0</v>
      </c>
    </row>
    <row r="54" spans="1:41" ht="15.75">
      <c r="A54" s="2465"/>
      <c r="B54" s="2485" t="s">
        <v>1067</v>
      </c>
      <c r="C54" s="2505"/>
      <c r="D54" s="2465"/>
      <c r="E54" s="2000">
        <v>0</v>
      </c>
      <c r="F54" s="1999"/>
      <c r="G54" s="2000">
        <v>0.7</v>
      </c>
      <c r="H54" s="2000"/>
      <c r="I54" s="2000">
        <v>5.8</v>
      </c>
      <c r="J54" s="2000"/>
      <c r="K54" s="2000">
        <v>0</v>
      </c>
      <c r="L54" s="2606"/>
      <c r="M54" s="2000">
        <v>1.2999999999999998</v>
      </c>
      <c r="N54" s="2606"/>
      <c r="O54" s="2000">
        <v>1.6000000000000014</v>
      </c>
      <c r="P54" s="2606"/>
      <c r="Q54" s="1789">
        <v>0.79999999999999893</v>
      </c>
      <c r="R54" s="2606"/>
      <c r="S54" s="1789">
        <v>0.40000000000000036</v>
      </c>
      <c r="T54" s="2606"/>
      <c r="U54" s="1789">
        <v>1.7000000000000011</v>
      </c>
      <c r="V54" s="2606"/>
      <c r="W54" s="1789">
        <f t="shared" si="2"/>
        <v>9.9999999999999645E-2</v>
      </c>
      <c r="X54" s="2606"/>
      <c r="Y54" s="1789"/>
      <c r="Z54" s="2606"/>
      <c r="AA54" s="1789"/>
      <c r="AB54" s="1995"/>
      <c r="AC54" s="2039"/>
      <c r="AD54" s="2000">
        <v>12.4</v>
      </c>
      <c r="AE54" s="3193"/>
      <c r="AF54" s="1977"/>
      <c r="AG54" s="2000">
        <v>20.399999999999999</v>
      </c>
      <c r="AH54" s="1994"/>
      <c r="AI54" s="2610"/>
      <c r="AJ54" s="1995">
        <f t="shared" si="3"/>
        <v>-8</v>
      </c>
      <c r="AK54" s="2607"/>
      <c r="AL54" s="2196">
        <f>ROUND(IF(AG54=0,1,AJ54/ABS(AG54)),3)</f>
        <v>-0.39200000000000002</v>
      </c>
    </row>
    <row r="55" spans="1:41" ht="15.75">
      <c r="A55" s="2465"/>
      <c r="B55" s="2485" t="s">
        <v>1068</v>
      </c>
      <c r="C55" s="2505"/>
      <c r="D55" s="2465"/>
      <c r="E55" s="2000">
        <v>0</v>
      </c>
      <c r="F55" s="1999"/>
      <c r="G55" s="2000">
        <v>0</v>
      </c>
      <c r="H55" s="2000"/>
      <c r="I55" s="2000">
        <v>0</v>
      </c>
      <c r="J55" s="2000"/>
      <c r="K55" s="2000">
        <v>0</v>
      </c>
      <c r="L55" s="2606"/>
      <c r="M55" s="2000">
        <v>0</v>
      </c>
      <c r="N55" s="2606"/>
      <c r="O55" s="2000">
        <v>0</v>
      </c>
      <c r="P55" s="2606"/>
      <c r="Q55" s="1789">
        <v>0</v>
      </c>
      <c r="R55" s="2606"/>
      <c r="S55" s="1789">
        <v>0</v>
      </c>
      <c r="T55" s="2606"/>
      <c r="U55" s="1789">
        <v>0</v>
      </c>
      <c r="V55" s="2606"/>
      <c r="W55" s="1789">
        <f t="shared" si="2"/>
        <v>0</v>
      </c>
      <c r="X55" s="2606"/>
      <c r="Y55" s="1789"/>
      <c r="Z55" s="2606"/>
      <c r="AA55" s="1789"/>
      <c r="AB55" s="1995"/>
      <c r="AC55" s="2039"/>
      <c r="AD55" s="2000">
        <v>0</v>
      </c>
      <c r="AE55" s="2182"/>
      <c r="AF55" s="1977"/>
      <c r="AG55" s="2000">
        <v>-0.9</v>
      </c>
      <c r="AH55" s="1994"/>
      <c r="AI55" s="2610"/>
      <c r="AJ55" s="1995">
        <f t="shared" si="3"/>
        <v>0.9</v>
      </c>
      <c r="AK55" s="2607"/>
      <c r="AL55" s="1650">
        <f>ROUND(IF(AG55=0,-1,AJ55/ABS(AG55)),3)</f>
        <v>1</v>
      </c>
    </row>
    <row r="56" spans="1:41" ht="15.75">
      <c r="A56" s="2465"/>
      <c r="B56" s="2485" t="s">
        <v>1070</v>
      </c>
      <c r="C56" s="2505"/>
      <c r="D56" s="2465"/>
      <c r="E56" s="2000">
        <v>0</v>
      </c>
      <c r="F56" s="1999"/>
      <c r="G56" s="2000">
        <v>0</v>
      </c>
      <c r="H56" s="2000"/>
      <c r="I56" s="2000">
        <v>0</v>
      </c>
      <c r="J56" s="2000"/>
      <c r="K56" s="2000">
        <v>0</v>
      </c>
      <c r="L56" s="2606"/>
      <c r="M56" s="2000">
        <v>0</v>
      </c>
      <c r="N56" s="2606"/>
      <c r="O56" s="2000">
        <v>0</v>
      </c>
      <c r="P56" s="2606"/>
      <c r="Q56" s="1789">
        <v>0</v>
      </c>
      <c r="R56" s="2606"/>
      <c r="S56" s="1789">
        <v>0</v>
      </c>
      <c r="T56" s="2606"/>
      <c r="U56" s="1789">
        <v>0</v>
      </c>
      <c r="V56" s="2606"/>
      <c r="W56" s="1789">
        <f t="shared" si="2"/>
        <v>0</v>
      </c>
      <c r="X56" s="2606"/>
      <c r="Y56" s="1789"/>
      <c r="Z56" s="2606"/>
      <c r="AA56" s="1789"/>
      <c r="AB56" s="1995"/>
      <c r="AC56" s="2039"/>
      <c r="AD56" s="2000">
        <v>0</v>
      </c>
      <c r="AE56" s="3201"/>
      <c r="AF56" s="1977"/>
      <c r="AG56" s="2000">
        <v>0.2</v>
      </c>
      <c r="AH56" s="1994"/>
      <c r="AI56" s="2610"/>
      <c r="AJ56" s="1995">
        <f>ROUND(AD56-AG56,1)</f>
        <v>-0.2</v>
      </c>
      <c r="AK56" s="2607"/>
      <c r="AL56" s="1650">
        <f>ROUND(IF(AG56=0,0,AJ56/ABS(AG56)),3)</f>
        <v>-1</v>
      </c>
    </row>
    <row r="57" spans="1:41" ht="15.75">
      <c r="A57" s="2465"/>
      <c r="B57" s="2485" t="s">
        <v>1071</v>
      </c>
      <c r="C57" s="2505"/>
      <c r="D57" s="2465"/>
      <c r="E57" s="2000">
        <v>3.1</v>
      </c>
      <c r="F57" s="1999"/>
      <c r="G57" s="2000">
        <v>0.19999999999999973</v>
      </c>
      <c r="H57" s="2000"/>
      <c r="I57" s="2000">
        <v>0</v>
      </c>
      <c r="J57" s="2000"/>
      <c r="K57" s="2000">
        <v>0.10000000000000009</v>
      </c>
      <c r="L57" s="2606"/>
      <c r="M57" s="2000">
        <v>0.89999999999999991</v>
      </c>
      <c r="N57" s="2606"/>
      <c r="O57" s="2000">
        <v>1.4000000000000004</v>
      </c>
      <c r="P57" s="2606"/>
      <c r="Q57" s="1789">
        <v>3.3000000000000007</v>
      </c>
      <c r="R57" s="2606"/>
      <c r="S57" s="1789">
        <v>0.40000000000000036</v>
      </c>
      <c r="T57" s="2606"/>
      <c r="U57" s="1789">
        <v>0.79999999999999893</v>
      </c>
      <c r="V57" s="2606"/>
      <c r="W57" s="1789">
        <f t="shared" si="2"/>
        <v>0.90000000000000036</v>
      </c>
      <c r="X57" s="2606"/>
      <c r="Y57" s="1789"/>
      <c r="Z57" s="2606"/>
      <c r="AA57" s="1789"/>
      <c r="AB57" s="1995"/>
      <c r="AC57" s="2039"/>
      <c r="AD57" s="2000">
        <v>11.1</v>
      </c>
      <c r="AE57" s="3193"/>
      <c r="AF57" s="1977"/>
      <c r="AG57" s="2000">
        <v>12</v>
      </c>
      <c r="AH57" s="1994"/>
      <c r="AI57" s="2610"/>
      <c r="AJ57" s="1995">
        <f t="shared" si="3"/>
        <v>-0.9</v>
      </c>
      <c r="AK57" s="2607"/>
      <c r="AL57" s="3668">
        <f>ROUND(IF(AG57=0,1,AJ57/ABS(AG57)),3)</f>
        <v>-7.4999999999999997E-2</v>
      </c>
    </row>
    <row r="58" spans="1:41" ht="15.75">
      <c r="A58" s="2465"/>
      <c r="B58" s="2485" t="s">
        <v>1073</v>
      </c>
      <c r="C58" s="2505"/>
      <c r="D58" s="2465"/>
      <c r="E58" s="2000">
        <v>0.3</v>
      </c>
      <c r="F58" s="1999"/>
      <c r="G58" s="2000">
        <v>1.8</v>
      </c>
      <c r="H58" s="2000"/>
      <c r="I58" s="2000">
        <v>11.999999999999998</v>
      </c>
      <c r="J58" s="2000"/>
      <c r="K58" s="2000">
        <v>0.20000000000000107</v>
      </c>
      <c r="L58" s="2606"/>
      <c r="M58" s="2000">
        <v>0.69999999999999929</v>
      </c>
      <c r="N58" s="2606"/>
      <c r="O58" s="2000">
        <v>13.7</v>
      </c>
      <c r="P58" s="2606"/>
      <c r="Q58" s="1789">
        <v>4.7000000000000028</v>
      </c>
      <c r="R58" s="2606"/>
      <c r="S58" s="1789">
        <v>1.3000000000000043</v>
      </c>
      <c r="T58" s="2606"/>
      <c r="U58" s="1789">
        <v>0.79999999999999716</v>
      </c>
      <c r="V58" s="2606"/>
      <c r="W58" s="1789">
        <f t="shared" si="2"/>
        <v>-12.800000000000004</v>
      </c>
      <c r="X58" s="2606"/>
      <c r="Y58" s="1789"/>
      <c r="Z58" s="2606"/>
      <c r="AA58" s="1789"/>
      <c r="AB58" s="1995"/>
      <c r="AC58" s="2039"/>
      <c r="AD58" s="1806">
        <v>22.7</v>
      </c>
      <c r="AE58" s="3193"/>
      <c r="AF58" s="1977"/>
      <c r="AG58" s="1806">
        <v>54.4</v>
      </c>
      <c r="AH58" s="1994"/>
      <c r="AI58" s="2610"/>
      <c r="AJ58" s="1995">
        <f t="shared" si="3"/>
        <v>-31.7</v>
      </c>
      <c r="AK58" s="2607"/>
      <c r="AL58" s="2196">
        <f>ROUND(IF(AG58=0,0,AJ58/ABS(AG58)),3)</f>
        <v>-0.58299999999999996</v>
      </c>
    </row>
    <row r="59" spans="1:41" ht="15.75">
      <c r="A59" s="2465"/>
      <c r="B59" s="2485" t="s">
        <v>1045</v>
      </c>
      <c r="C59" s="2505"/>
      <c r="D59" s="2465"/>
      <c r="E59" s="2000">
        <v>0</v>
      </c>
      <c r="F59" s="1999"/>
      <c r="G59" s="2000">
        <v>0</v>
      </c>
      <c r="H59" s="2000"/>
      <c r="I59" s="2000">
        <v>0</v>
      </c>
      <c r="J59" s="2000"/>
      <c r="K59" s="2000">
        <v>0</v>
      </c>
      <c r="L59" s="2606"/>
      <c r="M59" s="2000">
        <v>0.1</v>
      </c>
      <c r="N59" s="2606"/>
      <c r="O59" s="2000">
        <v>0</v>
      </c>
      <c r="P59" s="2606"/>
      <c r="Q59" s="1789">
        <v>0</v>
      </c>
      <c r="R59" s="2606"/>
      <c r="S59" s="1789">
        <v>0</v>
      </c>
      <c r="T59" s="2606"/>
      <c r="U59" s="1789">
        <v>0</v>
      </c>
      <c r="V59" s="2606"/>
      <c r="W59" s="1789">
        <f t="shared" si="2"/>
        <v>0.1</v>
      </c>
      <c r="X59" s="2606"/>
      <c r="Y59" s="1789"/>
      <c r="Z59" s="2606"/>
      <c r="AA59" s="1789"/>
      <c r="AB59" s="1995"/>
      <c r="AC59" s="2039"/>
      <c r="AD59" s="1806">
        <v>0.2</v>
      </c>
      <c r="AE59" s="3193"/>
      <c r="AF59" s="1977"/>
      <c r="AG59" s="1806">
        <v>4.5999999999999996</v>
      </c>
      <c r="AH59" s="1994"/>
      <c r="AI59" s="2610"/>
      <c r="AJ59" s="1995">
        <f t="shared" si="3"/>
        <v>-4.4000000000000004</v>
      </c>
      <c r="AK59" s="2607"/>
      <c r="AL59" s="1794">
        <f>ROUND(IF(AG59=0,1,AJ59/ABS(AG59)),3)</f>
        <v>-0.95699999999999996</v>
      </c>
      <c r="AN59" s="2618"/>
    </row>
    <row r="60" spans="1:41" s="2621" customFormat="1" ht="15.75" collapsed="1">
      <c r="A60" s="2553"/>
      <c r="B60" s="2473" t="s">
        <v>1177</v>
      </c>
      <c r="C60" s="2553"/>
      <c r="D60" s="2553"/>
      <c r="E60" s="1460">
        <f>ROUND(SUM(E34:E59),1)</f>
        <v>1190.5999999999999</v>
      </c>
      <c r="F60" s="2050"/>
      <c r="G60" s="1460">
        <f>ROUND(SUM(G34:G59),1)</f>
        <v>64.2</v>
      </c>
      <c r="H60" s="2619"/>
      <c r="I60" s="1460">
        <f>ROUND(SUM(I34:I59),1)</f>
        <v>415.5</v>
      </c>
      <c r="J60" s="2050"/>
      <c r="K60" s="1460">
        <f>ROUND(SUM(K34:K59),1)</f>
        <v>365.6</v>
      </c>
      <c r="L60" s="2000"/>
      <c r="M60" s="1460">
        <f>ROUND(SUM(M34:M59),1)</f>
        <v>134.5</v>
      </c>
      <c r="N60" s="2000"/>
      <c r="O60" s="1460">
        <f>ROUND(SUM(O34:O59),1)</f>
        <v>480.2</v>
      </c>
      <c r="P60" s="1995"/>
      <c r="Q60" s="1460">
        <f>ROUND(SUM(Q34:Q59),1)</f>
        <v>978.3</v>
      </c>
      <c r="R60" s="1995"/>
      <c r="S60" s="1460">
        <f>ROUND(SUM(S34:S59),1)</f>
        <v>75.3</v>
      </c>
      <c r="T60" s="1995"/>
      <c r="U60" s="1460">
        <f>ROUND(SUM(U34:U59),1)</f>
        <v>1055.0999999999999</v>
      </c>
      <c r="V60" s="1995"/>
      <c r="W60" s="1460">
        <f>ROUND(SUM(W34:W59),1)</f>
        <v>78.7</v>
      </c>
      <c r="X60" s="1995"/>
      <c r="Y60" s="1460">
        <f>ROUND(SUM(Y34:Y59),1)</f>
        <v>0</v>
      </c>
      <c r="Z60" s="1995"/>
      <c r="AA60" s="1460">
        <f>ROUND(SUM(AA34:AA59),1)</f>
        <v>0</v>
      </c>
      <c r="AB60" s="2050"/>
      <c r="AC60" s="2554"/>
      <c r="AD60" s="1460">
        <f>ROUND(SUM(AD34:AD59),1)</f>
        <v>4838</v>
      </c>
      <c r="AE60" s="3202"/>
      <c r="AF60" s="1462"/>
      <c r="AG60" s="1460">
        <f>ROUND(SUM(AG34:AG59),1)</f>
        <v>4511.3</v>
      </c>
      <c r="AH60" s="2612"/>
      <c r="AI60" s="2610"/>
      <c r="AJ60" s="1460">
        <f>ROUND(SUM(AJ34:AJ59),1)</f>
        <v>326.7</v>
      </c>
      <c r="AK60" s="2620"/>
      <c r="AL60" s="2197">
        <f>ROUND(IF(AG60=0,0,AJ60/ABS(AG60)),3)</f>
        <v>7.1999999999999995E-2</v>
      </c>
    </row>
    <row r="61" spans="1:41" s="2621" customFormat="1" ht="15.75">
      <c r="A61" s="2553"/>
      <c r="B61" s="2473"/>
      <c r="C61" s="2553"/>
      <c r="D61" s="2553"/>
      <c r="E61" s="1462"/>
      <c r="F61" s="2050"/>
      <c r="G61" s="1462"/>
      <c r="H61" s="2619"/>
      <c r="I61" s="1462"/>
      <c r="J61" s="2050"/>
      <c r="K61" s="1462"/>
      <c r="L61" s="2606"/>
      <c r="M61" s="1789"/>
      <c r="N61" s="2606"/>
      <c r="O61" s="1789"/>
      <c r="P61" s="2606"/>
      <c r="Q61" s="1789"/>
      <c r="R61" s="2606"/>
      <c r="S61" s="1789"/>
      <c r="T61" s="2606"/>
      <c r="U61" s="1789"/>
      <c r="V61" s="2606"/>
      <c r="W61" s="1789"/>
      <c r="X61" s="2606"/>
      <c r="Y61" s="1789"/>
      <c r="Z61" s="2606"/>
      <c r="AA61" s="1789"/>
      <c r="AB61" s="2050"/>
      <c r="AC61" s="2554"/>
      <c r="AD61" s="1462"/>
      <c r="AE61" s="3203"/>
      <c r="AF61" s="1462"/>
      <c r="AG61" s="1462"/>
      <c r="AH61" s="2612"/>
      <c r="AI61" s="2610"/>
      <c r="AJ61" s="1462"/>
      <c r="AK61" s="2620"/>
      <c r="AL61" s="2622"/>
    </row>
    <row r="62" spans="1:41" ht="15.75">
      <c r="A62" s="2465"/>
      <c r="B62" s="2465" t="s">
        <v>149</v>
      </c>
      <c r="C62" s="2465"/>
      <c r="D62" s="2465"/>
      <c r="E62" s="2000">
        <v>0</v>
      </c>
      <c r="F62" s="2000"/>
      <c r="G62" s="2000">
        <v>0</v>
      </c>
      <c r="H62" s="2000"/>
      <c r="I62" s="2000">
        <v>0</v>
      </c>
      <c r="J62" s="2000"/>
      <c r="K62" s="2000">
        <v>0</v>
      </c>
      <c r="L62" s="2606"/>
      <c r="M62" s="2000">
        <v>0</v>
      </c>
      <c r="N62" s="2606"/>
      <c r="O62" s="2000">
        <v>2.1</v>
      </c>
      <c r="P62" s="2606"/>
      <c r="Q62" s="2000">
        <v>0</v>
      </c>
      <c r="R62" s="2606"/>
      <c r="S62" s="1789">
        <v>0</v>
      </c>
      <c r="T62" s="2606"/>
      <c r="U62" s="1789">
        <v>0</v>
      </c>
      <c r="V62" s="2606"/>
      <c r="W62" s="1789">
        <f>$AD62-$E62-$G62-$I62-$K62-$M62-$O62-$Q62-$S62-$U62</f>
        <v>0</v>
      </c>
      <c r="X62" s="2606"/>
      <c r="Y62" s="1789"/>
      <c r="Z62" s="2606"/>
      <c r="AA62" s="1789"/>
      <c r="AB62" s="1995"/>
      <c r="AC62" s="2039"/>
      <c r="AD62" s="2000">
        <v>2.1</v>
      </c>
      <c r="AE62" s="3190"/>
      <c r="AF62" s="1977"/>
      <c r="AG62" s="2000">
        <v>2.2999999999999998</v>
      </c>
      <c r="AH62" s="1994"/>
      <c r="AI62" s="2600"/>
      <c r="AJ62" s="1995">
        <f>ROUND(AD62-AG62,1)</f>
        <v>-0.2</v>
      </c>
      <c r="AK62" s="2607"/>
      <c r="AL62" s="1650">
        <f>ROUND(IF(AG62=0,0,AJ62/ABS(AG62)),3)</f>
        <v>-8.6999999999999994E-2</v>
      </c>
    </row>
    <row r="63" spans="1:41" ht="15.75">
      <c r="A63" s="2465"/>
      <c r="B63" s="2465"/>
      <c r="C63" s="2465"/>
      <c r="D63" s="2465"/>
      <c r="E63" s="2494"/>
      <c r="F63" s="2000"/>
      <c r="G63" s="2494"/>
      <c r="H63" s="2000"/>
      <c r="I63" s="2494"/>
      <c r="J63" s="2000"/>
      <c r="K63" s="2623"/>
      <c r="L63" s="2606"/>
      <c r="M63" s="2624"/>
      <c r="N63" s="2625"/>
      <c r="O63" s="2624"/>
      <c r="P63" s="2625"/>
      <c r="Q63" s="2624"/>
      <c r="R63" s="2625"/>
      <c r="S63" s="2624"/>
      <c r="T63" s="2625"/>
      <c r="U63" s="2624"/>
      <c r="V63" s="2625"/>
      <c r="W63" s="2624"/>
      <c r="X63" s="2625"/>
      <c r="Y63" s="2624"/>
      <c r="Z63" s="2625"/>
      <c r="AA63" s="2624"/>
      <c r="AB63" s="1995"/>
      <c r="AC63" s="2039"/>
      <c r="AD63" s="2051"/>
      <c r="AE63" s="3190"/>
      <c r="AF63" s="1977"/>
      <c r="AG63" s="2051"/>
      <c r="AH63" s="1977"/>
      <c r="AI63" s="2600"/>
      <c r="AJ63" s="2051"/>
      <c r="AK63" s="2598"/>
      <c r="AL63" s="2170"/>
    </row>
    <row r="64" spans="1:41" ht="15.75">
      <c r="A64" s="2465"/>
      <c r="B64" s="2553" t="s">
        <v>196</v>
      </c>
      <c r="C64" s="2465"/>
      <c r="D64" s="2465"/>
      <c r="E64" s="2054">
        <f>ROUND(SUM(E32+E60+E62),1)</f>
        <v>1264.7</v>
      </c>
      <c r="F64" s="2050"/>
      <c r="G64" s="2626">
        <f>ROUND(SUM(G32+G60+G62),1)</f>
        <v>110.5</v>
      </c>
      <c r="H64" s="2050"/>
      <c r="I64" s="2626">
        <f>ROUND(SUM(I32+I60+I62),1)</f>
        <v>523.4</v>
      </c>
      <c r="J64" s="2050"/>
      <c r="K64" s="2626">
        <f>ROUND(SUM(K32+K60+K62),1)</f>
        <v>473.8</v>
      </c>
      <c r="L64" s="2050"/>
      <c r="M64" s="1559">
        <f>ROUND(SUM(M32+M60+M62),1)</f>
        <v>238.4</v>
      </c>
      <c r="N64" s="1462"/>
      <c r="O64" s="1559">
        <f>ROUND(SUM(O32+O60+O62),1)</f>
        <v>612.6</v>
      </c>
      <c r="P64" s="1462"/>
      <c r="Q64" s="1559">
        <f>ROUND(SUM(Q32+Q60+Q62),1)</f>
        <v>1082.9000000000001</v>
      </c>
      <c r="R64" s="1462"/>
      <c r="S64" s="1559">
        <f>ROUND(SUM(S32+S60+S62),1)</f>
        <v>176</v>
      </c>
      <c r="T64" s="1462"/>
      <c r="U64" s="1559">
        <f>ROUND(SUM(U32+U60+U62),1)</f>
        <v>1175.7</v>
      </c>
      <c r="V64" s="1462"/>
      <c r="W64" s="1559">
        <f>ROUND(SUM(W32+W60+W62),1)</f>
        <v>168.6</v>
      </c>
      <c r="X64" s="1462"/>
      <c r="Y64" s="1559">
        <f>ROUND(SUM(Y32+Y60+Y62),1)</f>
        <v>0</v>
      </c>
      <c r="Z64" s="1462"/>
      <c r="AA64" s="1559">
        <f>ROUND(SUM(AA32+AA60+AA62),1)</f>
        <v>0</v>
      </c>
      <c r="AB64" s="2050"/>
      <c r="AC64" s="2554"/>
      <c r="AD64" s="1559">
        <f>ROUND(SUM(AD32+AD60+AD62),1)</f>
        <v>5826.6</v>
      </c>
      <c r="AE64" s="3202"/>
      <c r="AF64" s="1462"/>
      <c r="AG64" s="1559">
        <f>ROUND(SUM(AG32+AG60+AG62),1)</f>
        <v>5716.4</v>
      </c>
      <c r="AH64" s="2612"/>
      <c r="AI64" s="2600"/>
      <c r="AJ64" s="1559">
        <f>ROUND(SUM(AJ32+AJ60+AJ62),1)</f>
        <v>110.2</v>
      </c>
      <c r="AK64" s="2627"/>
      <c r="AL64" s="2628">
        <f>ROUND(IF(AG64=0,0,AJ64/ABS(AG64)),3)</f>
        <v>1.9E-2</v>
      </c>
      <c r="AM64" s="2621"/>
      <c r="AO64" s="2645"/>
    </row>
    <row r="65" spans="1:41" ht="15.75">
      <c r="A65" s="2465"/>
      <c r="B65" s="2465"/>
      <c r="C65" s="2465"/>
      <c r="D65" s="2465"/>
      <c r="E65" s="2041"/>
      <c r="F65" s="2000"/>
      <c r="G65" s="2494"/>
      <c r="H65" s="2000"/>
      <c r="I65" s="2494"/>
      <c r="J65" s="2000"/>
      <c r="K65" s="2494"/>
      <c r="L65" s="2606"/>
      <c r="M65" s="1789"/>
      <c r="N65" s="2606"/>
      <c r="O65" s="1789"/>
      <c r="P65" s="2606"/>
      <c r="Q65" s="1789"/>
      <c r="R65" s="2606"/>
      <c r="S65" s="1789"/>
      <c r="T65" s="2606"/>
      <c r="U65" s="1789"/>
      <c r="V65" s="2606"/>
      <c r="W65" s="1789"/>
      <c r="X65" s="2606"/>
      <c r="Y65" s="1789"/>
      <c r="Z65" s="2606"/>
      <c r="AA65" s="1789"/>
      <c r="AB65" s="2182"/>
      <c r="AC65" s="1977"/>
      <c r="AD65" s="2051"/>
      <c r="AE65" s="2182"/>
      <c r="AF65" s="1977"/>
      <c r="AG65" s="2051"/>
      <c r="AH65" s="1977"/>
      <c r="AI65" s="2600"/>
      <c r="AJ65" s="2601"/>
      <c r="AK65" s="2598"/>
      <c r="AL65" s="1798"/>
    </row>
    <row r="66" spans="1:41" ht="15.75">
      <c r="A66" s="2465"/>
      <c r="B66" s="2553" t="s">
        <v>23</v>
      </c>
      <c r="C66" s="2465"/>
      <c r="D66" s="2465"/>
      <c r="E66" s="2000"/>
      <c r="F66" s="2000"/>
      <c r="G66" s="2000"/>
      <c r="H66" s="2000"/>
      <c r="I66" s="2000"/>
      <c r="J66" s="2000"/>
      <c r="K66" s="2000"/>
      <c r="L66" s="2606"/>
      <c r="M66" s="1789"/>
      <c r="N66" s="2606"/>
      <c r="O66" s="1789"/>
      <c r="P66" s="2606"/>
      <c r="Q66" s="1789"/>
      <c r="R66" s="2606"/>
      <c r="S66" s="1789"/>
      <c r="T66" s="2606"/>
      <c r="U66" s="1789"/>
      <c r="V66" s="2606"/>
      <c r="W66" s="1789"/>
      <c r="X66" s="2606"/>
      <c r="Y66" s="1789"/>
      <c r="Z66" s="2606"/>
      <c r="AA66" s="1789"/>
      <c r="AB66" s="2182"/>
      <c r="AC66" s="1977"/>
      <c r="AD66" s="1995"/>
      <c r="AE66" s="2182"/>
      <c r="AF66" s="1977"/>
      <c r="AG66" s="1995"/>
      <c r="AH66" s="1995"/>
      <c r="AI66" s="2600"/>
      <c r="AJ66" s="2601"/>
      <c r="AK66" s="2598"/>
      <c r="AL66" s="1798"/>
    </row>
    <row r="67" spans="1:41" ht="15.75">
      <c r="A67" s="2465"/>
      <c r="B67" s="2465" t="s">
        <v>151</v>
      </c>
      <c r="C67" s="2465"/>
      <c r="D67" s="2465"/>
      <c r="E67" s="2000"/>
      <c r="F67" s="2000"/>
      <c r="G67" s="2000"/>
      <c r="H67" s="2000"/>
      <c r="I67" s="2000"/>
      <c r="J67" s="2000"/>
      <c r="K67" s="2000"/>
      <c r="L67" s="2606"/>
      <c r="M67" s="1789"/>
      <c r="N67" s="2606"/>
      <c r="O67" s="1789"/>
      <c r="P67" s="2606"/>
      <c r="Q67" s="1789"/>
      <c r="R67" s="2606"/>
      <c r="S67" s="1789"/>
      <c r="T67" s="2606"/>
      <c r="U67" s="1789"/>
      <c r="V67" s="2606"/>
      <c r="W67" s="1789"/>
      <c r="X67" s="2606"/>
      <c r="Y67" s="1789"/>
      <c r="Z67" s="2606"/>
      <c r="AA67" s="1789"/>
      <c r="AB67" s="1995"/>
      <c r="AC67" s="2039"/>
      <c r="AD67" s="1995"/>
      <c r="AE67" s="3190"/>
      <c r="AF67" s="1977"/>
      <c r="AG67" s="1995"/>
      <c r="AH67" s="1995"/>
      <c r="AI67" s="2600"/>
      <c r="AJ67" s="2601"/>
      <c r="AK67" s="2598"/>
      <c r="AL67" s="1798"/>
    </row>
    <row r="68" spans="1:41" ht="15.75">
      <c r="A68" s="2465"/>
      <c r="B68" s="2465" t="s">
        <v>25</v>
      </c>
      <c r="C68" s="2465"/>
      <c r="D68" s="2465"/>
      <c r="E68" s="2000">
        <v>12</v>
      </c>
      <c r="F68" s="2000"/>
      <c r="G68" s="2000">
        <v>0</v>
      </c>
      <c r="H68" s="2000"/>
      <c r="I68" s="2000">
        <v>4.8999999999999986</v>
      </c>
      <c r="J68" s="2000"/>
      <c r="K68" s="2000">
        <v>1</v>
      </c>
      <c r="L68" s="2606"/>
      <c r="M68" s="2000">
        <v>1</v>
      </c>
      <c r="N68" s="2606"/>
      <c r="O68" s="2000">
        <v>1.4000000000000021</v>
      </c>
      <c r="P68" s="2606"/>
      <c r="Q68" s="2000">
        <v>20.3</v>
      </c>
      <c r="R68" s="2606"/>
      <c r="S68" s="1789">
        <v>45.600000000000009</v>
      </c>
      <c r="T68" s="2606"/>
      <c r="U68" s="1789">
        <v>4.1999999999999886</v>
      </c>
      <c r="V68" s="2606"/>
      <c r="W68" s="1789">
        <f t="shared" ref="W68:W77" si="4">$AD68-$E68-$G68-$I68-$K68-$M68-$O68-$Q68-$S68-$U68</f>
        <v>1.3000000000000114</v>
      </c>
      <c r="X68" s="2606"/>
      <c r="Y68" s="1789"/>
      <c r="Z68" s="2606"/>
      <c r="AA68" s="1789"/>
      <c r="AB68" s="1995"/>
      <c r="AC68" s="2039"/>
      <c r="AD68" s="2000">
        <v>91.7</v>
      </c>
      <c r="AE68" s="3190"/>
      <c r="AF68" s="1977"/>
      <c r="AG68" s="2000">
        <v>165.2</v>
      </c>
      <c r="AH68" s="1994"/>
      <c r="AI68" s="2610"/>
      <c r="AJ68" s="1995">
        <f t="shared" ref="AJ68:AJ77" si="5">ROUND(AD68-AG68,1)</f>
        <v>-73.5</v>
      </c>
      <c r="AK68" s="2607"/>
      <c r="AL68" s="3668">
        <f>ROUND(IF(AG68=0,1,AJ68/ABS(AG68)),3)</f>
        <v>-0.44500000000000001</v>
      </c>
    </row>
    <row r="69" spans="1:41" ht="15.75">
      <c r="A69" s="2465"/>
      <c r="B69" s="2465" t="s">
        <v>26</v>
      </c>
      <c r="C69" s="2465"/>
      <c r="D69" s="2465"/>
      <c r="E69" s="2000">
        <v>4.4000000000000004</v>
      </c>
      <c r="F69" s="2000"/>
      <c r="G69" s="2000">
        <v>3.1999999999999993</v>
      </c>
      <c r="H69" s="2000"/>
      <c r="I69" s="2000">
        <v>14.000000000000004</v>
      </c>
      <c r="J69" s="2000"/>
      <c r="K69" s="2000">
        <v>12.600000000000001</v>
      </c>
      <c r="L69" s="2606"/>
      <c r="M69" s="2000">
        <v>20.6</v>
      </c>
      <c r="N69" s="2606"/>
      <c r="O69" s="2000">
        <v>15.299999999999983</v>
      </c>
      <c r="P69" s="2606"/>
      <c r="Q69" s="1789">
        <v>6.9000000000000057</v>
      </c>
      <c r="R69" s="2606"/>
      <c r="S69" s="1789">
        <v>9.7999999999999972</v>
      </c>
      <c r="T69" s="2606"/>
      <c r="U69" s="1789">
        <v>20.400000000000013</v>
      </c>
      <c r="V69" s="2606"/>
      <c r="W69" s="1789">
        <f t="shared" si="4"/>
        <v>36.300000000000018</v>
      </c>
      <c r="X69" s="2606"/>
      <c r="Y69" s="1789"/>
      <c r="Z69" s="2606"/>
      <c r="AA69" s="1789"/>
      <c r="AB69" s="1995"/>
      <c r="AC69" s="2039"/>
      <c r="AD69" s="2000">
        <v>143.5</v>
      </c>
      <c r="AE69" s="3190"/>
      <c r="AF69" s="1977"/>
      <c r="AG69" s="2000">
        <v>208.9</v>
      </c>
      <c r="AH69" s="1994"/>
      <c r="AI69" s="2610"/>
      <c r="AJ69" s="1995">
        <f t="shared" si="5"/>
        <v>-65.400000000000006</v>
      </c>
      <c r="AK69" s="2607"/>
      <c r="AL69" s="1650">
        <f>ROUND(IF(AG69=0,0,AJ69/ABS(AG69)),3)</f>
        <v>-0.313</v>
      </c>
    </row>
    <row r="70" spans="1:41" ht="15.75">
      <c r="A70" s="2465"/>
      <c r="B70" s="2465" t="s">
        <v>27</v>
      </c>
      <c r="C70" s="2465"/>
      <c r="D70" s="2465"/>
      <c r="E70" s="2000">
        <v>30.4</v>
      </c>
      <c r="F70" s="2000"/>
      <c r="G70" s="2000">
        <v>10.899999999999999</v>
      </c>
      <c r="H70" s="2000"/>
      <c r="I70" s="2000">
        <v>41.5</v>
      </c>
      <c r="J70" s="2000"/>
      <c r="K70" s="2000">
        <v>36</v>
      </c>
      <c r="L70" s="2606"/>
      <c r="M70" s="2000">
        <v>69</v>
      </c>
      <c r="N70" s="2606"/>
      <c r="O70" s="2000">
        <v>18.699999999999989</v>
      </c>
      <c r="P70" s="2606"/>
      <c r="Q70" s="1789">
        <v>90.4</v>
      </c>
      <c r="R70" s="2606"/>
      <c r="S70" s="1789">
        <v>55.600000000000051</v>
      </c>
      <c r="T70" s="2606"/>
      <c r="U70" s="1789">
        <v>51.199999999999989</v>
      </c>
      <c r="V70" s="2606"/>
      <c r="W70" s="1789">
        <f t="shared" si="4"/>
        <v>60.399999999999977</v>
      </c>
      <c r="X70" s="2606"/>
      <c r="Y70" s="1789"/>
      <c r="Z70" s="2606"/>
      <c r="AA70" s="1789"/>
      <c r="AB70" s="1995"/>
      <c r="AC70" s="2039"/>
      <c r="AD70" s="2000">
        <v>464.09999999999997</v>
      </c>
      <c r="AE70" s="3190"/>
      <c r="AF70" s="1977"/>
      <c r="AG70" s="2000">
        <v>761.2</v>
      </c>
      <c r="AH70" s="1994"/>
      <c r="AI70" s="2610"/>
      <c r="AJ70" s="1995">
        <f t="shared" si="5"/>
        <v>-297.10000000000002</v>
      </c>
      <c r="AK70" s="2607"/>
      <c r="AL70" s="1650">
        <f>ROUND(IF(AG70=0,0,AJ70/ABS(AG70)),3)</f>
        <v>-0.39</v>
      </c>
      <c r="AM70" s="2598"/>
    </row>
    <row r="71" spans="1:41" ht="15.75">
      <c r="A71" s="2465"/>
      <c r="B71" s="2465" t="s">
        <v>28</v>
      </c>
      <c r="C71" s="2465"/>
      <c r="D71" s="2465"/>
      <c r="E71" s="2000" t="s">
        <v>15</v>
      </c>
      <c r="F71" s="2000"/>
      <c r="G71" s="2000"/>
      <c r="H71" s="2000"/>
      <c r="I71" s="2000"/>
      <c r="J71" s="2000"/>
      <c r="K71" s="2000"/>
      <c r="L71" s="2606"/>
      <c r="M71" s="2000"/>
      <c r="N71" s="2606"/>
      <c r="O71" s="2000"/>
      <c r="P71" s="2606"/>
      <c r="Q71" s="1789"/>
      <c r="R71" s="2606"/>
      <c r="S71" s="1789"/>
      <c r="T71" s="2606"/>
      <c r="U71" s="1789"/>
      <c r="V71" s="2606"/>
      <c r="W71" s="1789"/>
      <c r="X71" s="2606"/>
      <c r="Y71" s="1789"/>
      <c r="Z71" s="2606"/>
      <c r="AA71" s="1789"/>
      <c r="AB71" s="1995"/>
      <c r="AC71" s="2039"/>
      <c r="AD71" s="2000"/>
      <c r="AE71" s="3190"/>
      <c r="AF71" s="1977"/>
      <c r="AG71" s="2000"/>
      <c r="AH71" s="1995"/>
      <c r="AI71" s="2600"/>
      <c r="AJ71" s="2000"/>
      <c r="AK71" s="2607"/>
      <c r="AL71" s="1798"/>
      <c r="AM71" s="2598"/>
    </row>
    <row r="72" spans="1:41" ht="15.75">
      <c r="A72" s="2465"/>
      <c r="B72" s="2465" t="s">
        <v>29</v>
      </c>
      <c r="C72" s="2553"/>
      <c r="D72" s="2465"/>
      <c r="E72" s="2000">
        <v>0</v>
      </c>
      <c r="F72" s="2000"/>
      <c r="G72" s="2000">
        <v>0</v>
      </c>
      <c r="H72" s="2000"/>
      <c r="I72" s="2000">
        <v>0</v>
      </c>
      <c r="J72" s="2000"/>
      <c r="K72" s="2000">
        <v>0</v>
      </c>
      <c r="L72" s="2606"/>
      <c r="M72" s="2000">
        <v>0</v>
      </c>
      <c r="N72" s="2606"/>
      <c r="O72" s="2000">
        <v>0</v>
      </c>
      <c r="P72" s="2606"/>
      <c r="Q72" s="1789">
        <v>0</v>
      </c>
      <c r="R72" s="2606"/>
      <c r="S72" s="1789">
        <v>0</v>
      </c>
      <c r="T72" s="2606"/>
      <c r="U72" s="1789">
        <v>0</v>
      </c>
      <c r="V72" s="2606"/>
      <c r="W72" s="1789">
        <f t="shared" si="4"/>
        <v>0</v>
      </c>
      <c r="X72" s="2606"/>
      <c r="Y72" s="1789"/>
      <c r="Z72" s="2606"/>
      <c r="AA72" s="1789"/>
      <c r="AB72" s="1995"/>
      <c r="AC72" s="2039"/>
      <c r="AD72" s="2000">
        <v>0</v>
      </c>
      <c r="AE72" s="3190"/>
      <c r="AF72" s="1977"/>
      <c r="AG72" s="2000">
        <v>0</v>
      </c>
      <c r="AH72" s="1995"/>
      <c r="AI72" s="2600"/>
      <c r="AJ72" s="1995">
        <f t="shared" si="5"/>
        <v>0</v>
      </c>
      <c r="AK72" s="2598"/>
      <c r="AL72" s="2196">
        <f>ROUND(IF(AG72=0,0,AJ72/ABS(AG72)),3)</f>
        <v>0</v>
      </c>
      <c r="AM72" s="2598"/>
    </row>
    <row r="73" spans="1:41" ht="15.75">
      <c r="A73" s="2465"/>
      <c r="B73" s="2465" t="s">
        <v>30</v>
      </c>
      <c r="C73" s="2465"/>
      <c r="D73" s="2465"/>
      <c r="E73" s="2000">
        <v>29</v>
      </c>
      <c r="F73" s="2000"/>
      <c r="G73" s="2000">
        <v>58.2</v>
      </c>
      <c r="H73" s="2000"/>
      <c r="I73" s="2000">
        <v>30.899999999999991</v>
      </c>
      <c r="J73" s="2000"/>
      <c r="K73" s="2000">
        <v>37.5</v>
      </c>
      <c r="L73" s="2606"/>
      <c r="M73" s="2000">
        <v>76.100000000000009</v>
      </c>
      <c r="N73" s="2606"/>
      <c r="O73" s="2000">
        <v>25.100000000000037</v>
      </c>
      <c r="P73" s="2606"/>
      <c r="Q73" s="1789">
        <v>50.900000000000034</v>
      </c>
      <c r="R73" s="2606"/>
      <c r="S73" s="1789">
        <v>41.499999999999943</v>
      </c>
      <c r="T73" s="2606"/>
      <c r="U73" s="1789">
        <v>45.199999999999989</v>
      </c>
      <c r="V73" s="2606"/>
      <c r="W73" s="1789">
        <f t="shared" si="4"/>
        <v>41</v>
      </c>
      <c r="X73" s="2606"/>
      <c r="Y73" s="1789"/>
      <c r="Z73" s="2606"/>
      <c r="AA73" s="1789"/>
      <c r="AB73" s="1995"/>
      <c r="AC73" s="2039"/>
      <c r="AD73" s="2000">
        <v>435.4</v>
      </c>
      <c r="AE73" s="3190"/>
      <c r="AF73" s="1977"/>
      <c r="AG73" s="2000">
        <v>407.59999999999997</v>
      </c>
      <c r="AH73" s="1994"/>
      <c r="AI73" s="2610"/>
      <c r="AJ73" s="1995">
        <f t="shared" si="5"/>
        <v>27.8</v>
      </c>
      <c r="AK73" s="2607"/>
      <c r="AL73" s="1650">
        <f>ROUND(IF(AG73=0,0,AJ73/ABS(AG73)),3)</f>
        <v>6.8000000000000005E-2</v>
      </c>
    </row>
    <row r="74" spans="1:41" ht="15.75">
      <c r="A74" s="2465"/>
      <c r="B74" s="2465" t="s">
        <v>31</v>
      </c>
      <c r="C74" s="2465"/>
      <c r="D74" s="2465"/>
      <c r="E74" s="2000">
        <v>0</v>
      </c>
      <c r="F74" s="2000"/>
      <c r="G74" s="2000">
        <v>0</v>
      </c>
      <c r="H74" s="2000"/>
      <c r="I74" s="2000">
        <v>0.7</v>
      </c>
      <c r="J74" s="2000"/>
      <c r="K74" s="2000">
        <v>0.90000000000000013</v>
      </c>
      <c r="L74" s="2606"/>
      <c r="M74" s="2000">
        <v>1.0999999999999999</v>
      </c>
      <c r="N74" s="2606"/>
      <c r="O74" s="2000">
        <v>0.29999999999999982</v>
      </c>
      <c r="P74" s="2606"/>
      <c r="Q74" s="1789">
        <v>0.29999999999999982</v>
      </c>
      <c r="R74" s="2606"/>
      <c r="S74" s="1789">
        <v>34</v>
      </c>
      <c r="T74" s="2606"/>
      <c r="U74" s="1789">
        <v>0.40000000000000568</v>
      </c>
      <c r="V74" s="2606"/>
      <c r="W74" s="1789">
        <f t="shared" si="4"/>
        <v>3.2999999999999972</v>
      </c>
      <c r="X74" s="2606"/>
      <c r="Y74" s="1789"/>
      <c r="Z74" s="2606"/>
      <c r="AA74" s="1789"/>
      <c r="AB74" s="1995"/>
      <c r="AC74" s="2039"/>
      <c r="AD74" s="2000">
        <v>41</v>
      </c>
      <c r="AE74" s="3190"/>
      <c r="AF74" s="1977"/>
      <c r="AG74" s="2000">
        <v>55.5</v>
      </c>
      <c r="AH74" s="1994"/>
      <c r="AI74" s="2610"/>
      <c r="AJ74" s="1995">
        <f t="shared" si="5"/>
        <v>-14.5</v>
      </c>
      <c r="AK74" s="2607"/>
      <c r="AL74" s="1729">
        <f>ROUND(IF(AG74=0,1,AJ74/ABS(AG74)),3)</f>
        <v>-0.26100000000000001</v>
      </c>
      <c r="AM74" s="2598"/>
    </row>
    <row r="75" spans="1:41" ht="15.75">
      <c r="A75" s="2465"/>
      <c r="B75" s="2465" t="s">
        <v>32</v>
      </c>
      <c r="C75" s="2465"/>
      <c r="D75" s="2465"/>
      <c r="E75" s="2000">
        <v>0</v>
      </c>
      <c r="F75" s="2000"/>
      <c r="G75" s="2000">
        <v>33.799999999999997</v>
      </c>
      <c r="H75" s="2000"/>
      <c r="I75" s="2000">
        <v>73.7</v>
      </c>
      <c r="J75" s="2000"/>
      <c r="K75" s="2000">
        <v>71.699999999999974</v>
      </c>
      <c r="L75" s="2606"/>
      <c r="M75" s="2000">
        <v>53.100000000000023</v>
      </c>
      <c r="N75" s="2606"/>
      <c r="O75" s="2000">
        <v>110.39999999999998</v>
      </c>
      <c r="P75" s="2606"/>
      <c r="Q75" s="1789">
        <v>24.600000000000023</v>
      </c>
      <c r="R75" s="2606"/>
      <c r="S75" s="1789">
        <v>7.8000000000000114</v>
      </c>
      <c r="T75" s="2606"/>
      <c r="U75" s="1789">
        <v>96.299999999999955</v>
      </c>
      <c r="V75" s="2606"/>
      <c r="W75" s="1789">
        <f t="shared" si="4"/>
        <v>16.800000000000011</v>
      </c>
      <c r="X75" s="2606"/>
      <c r="Y75" s="1789"/>
      <c r="Z75" s="2606"/>
      <c r="AA75" s="1789"/>
      <c r="AB75" s="1995"/>
      <c r="AC75" s="2039"/>
      <c r="AD75" s="2000">
        <v>488.2</v>
      </c>
      <c r="AE75" s="3190"/>
      <c r="AF75" s="1977"/>
      <c r="AG75" s="2000">
        <v>353.4</v>
      </c>
      <c r="AH75" s="1995"/>
      <c r="AI75" s="2600"/>
      <c r="AJ75" s="1995">
        <f t="shared" si="5"/>
        <v>134.80000000000001</v>
      </c>
      <c r="AK75" s="2607"/>
      <c r="AL75" s="1794">
        <f>ROUND(IF(AG75=0,0,AJ75/ABS(AG75)),3)</f>
        <v>0.38100000000000001</v>
      </c>
      <c r="AM75" s="2598"/>
    </row>
    <row r="76" spans="1:41" ht="15.75">
      <c r="A76" s="2465"/>
      <c r="B76" s="2465" t="s">
        <v>33</v>
      </c>
      <c r="C76" s="2553"/>
      <c r="D76" s="2465"/>
      <c r="E76" s="2000">
        <v>43.2</v>
      </c>
      <c r="F76" s="2000"/>
      <c r="G76" s="2000">
        <v>7.6999999999999957</v>
      </c>
      <c r="H76" s="2000"/>
      <c r="I76" s="2000">
        <v>24.800000000000004</v>
      </c>
      <c r="J76" s="2000"/>
      <c r="K76" s="2000">
        <v>20.899999999999991</v>
      </c>
      <c r="L76" s="2606"/>
      <c r="M76" s="2000">
        <v>71.59999999999998</v>
      </c>
      <c r="N76" s="2606"/>
      <c r="O76" s="2000">
        <v>11.400000000000006</v>
      </c>
      <c r="P76" s="2606"/>
      <c r="Q76" s="1789">
        <v>53.500000000000014</v>
      </c>
      <c r="R76" s="2606"/>
      <c r="S76" s="1789">
        <v>28</v>
      </c>
      <c r="T76" s="2606"/>
      <c r="U76" s="1789">
        <v>133.80000000000001</v>
      </c>
      <c r="V76" s="2606"/>
      <c r="W76" s="1789">
        <f t="shared" si="4"/>
        <v>20.800000000000011</v>
      </c>
      <c r="X76" s="2606"/>
      <c r="Y76" s="1789"/>
      <c r="Z76" s="2606"/>
      <c r="AA76" s="1789"/>
      <c r="AB76" s="1995"/>
      <c r="AC76" s="2039"/>
      <c r="AD76" s="2000">
        <v>415.7</v>
      </c>
      <c r="AE76" s="3190"/>
      <c r="AF76" s="1977"/>
      <c r="AG76" s="2000">
        <v>731.5</v>
      </c>
      <c r="AH76" s="1995"/>
      <c r="AI76" s="2600"/>
      <c r="AJ76" s="1995">
        <f t="shared" si="5"/>
        <v>-315.8</v>
      </c>
      <c r="AK76" s="2598"/>
      <c r="AL76" s="1794">
        <f>ROUND(IF(AG76=0,0,AJ76/ABS(AG76)),3)</f>
        <v>-0.432</v>
      </c>
      <c r="AM76" s="2598"/>
    </row>
    <row r="77" spans="1:41" ht="15.75">
      <c r="A77" s="2465"/>
      <c r="B77" s="2465" t="s">
        <v>34</v>
      </c>
      <c r="C77" s="2465"/>
      <c r="D77" s="2465"/>
      <c r="E77" s="2000">
        <v>2.4</v>
      </c>
      <c r="F77" s="2000"/>
      <c r="G77" s="2000">
        <v>4.7000000000000011</v>
      </c>
      <c r="H77" s="2000"/>
      <c r="I77" s="2000">
        <v>14.4</v>
      </c>
      <c r="J77" s="2000"/>
      <c r="K77" s="2000">
        <v>50.4</v>
      </c>
      <c r="L77" s="2606"/>
      <c r="M77" s="2000">
        <v>104</v>
      </c>
      <c r="N77" s="2606"/>
      <c r="O77" s="2000">
        <v>316.60000000000008</v>
      </c>
      <c r="P77" s="2606"/>
      <c r="Q77" s="1789">
        <v>432.89999999999992</v>
      </c>
      <c r="R77" s="2606"/>
      <c r="S77" s="1789">
        <v>456.49999999999972</v>
      </c>
      <c r="T77" s="2606"/>
      <c r="U77" s="1789">
        <v>155.50000000000006</v>
      </c>
      <c r="V77" s="2606"/>
      <c r="W77" s="1789">
        <f t="shared" si="4"/>
        <v>154.89999999999986</v>
      </c>
      <c r="X77" s="2606"/>
      <c r="Y77" s="1789"/>
      <c r="Z77" s="2606"/>
      <c r="AA77" s="1789"/>
      <c r="AB77" s="1995"/>
      <c r="AC77" s="2039"/>
      <c r="AD77" s="2000">
        <v>1692.3</v>
      </c>
      <c r="AE77" s="3190"/>
      <c r="AF77" s="1977"/>
      <c r="AG77" s="2000">
        <v>991.2</v>
      </c>
      <c r="AH77" s="1977"/>
      <c r="AI77" s="2600"/>
      <c r="AJ77" s="1995">
        <f t="shared" si="5"/>
        <v>701.1</v>
      </c>
      <c r="AK77" s="2607"/>
      <c r="AL77" s="2196">
        <f>ROUND(IF(AG77=0,0,AJ77/ABS(AG77)),3)</f>
        <v>0.70699999999999996</v>
      </c>
      <c r="AM77" s="2598"/>
    </row>
    <row r="78" spans="1:41" ht="15.75">
      <c r="A78" s="2465"/>
      <c r="B78" s="2553" t="s">
        <v>197</v>
      </c>
      <c r="C78" s="2465"/>
      <c r="D78" s="2465"/>
      <c r="E78" s="2171">
        <f>ROUND(SUM(E68:E77),1)</f>
        <v>121.4</v>
      </c>
      <c r="F78" s="2050"/>
      <c r="G78" s="2171">
        <f>ROUND(SUM(G68:G77),1)</f>
        <v>118.5</v>
      </c>
      <c r="H78" s="2050"/>
      <c r="I78" s="2171">
        <f>ROUND(SUM(I68:I77),1)</f>
        <v>204.9</v>
      </c>
      <c r="J78" s="1462"/>
      <c r="K78" s="2171">
        <f>ROUND(SUM(K68:K77),1)</f>
        <v>231</v>
      </c>
      <c r="L78" s="2050"/>
      <c r="M78" s="2171">
        <f>ROUND(SUM(M68:M77),1)</f>
        <v>396.5</v>
      </c>
      <c r="N78" s="1462"/>
      <c r="O78" s="2171">
        <f>ROUND(SUM(O68:O77),1)</f>
        <v>499.2</v>
      </c>
      <c r="P78" s="2050"/>
      <c r="Q78" s="2171">
        <f>ROUND(SUM(Q68:Q77),1)</f>
        <v>679.8</v>
      </c>
      <c r="R78" s="2050"/>
      <c r="S78" s="2171">
        <f>ROUND(SUM(S68:S77),1)</f>
        <v>678.8</v>
      </c>
      <c r="T78" s="2050"/>
      <c r="U78" s="2171">
        <f>ROUND(SUM(U68:U77),1)</f>
        <v>507</v>
      </c>
      <c r="V78" s="2050"/>
      <c r="W78" s="2171">
        <f>ROUND(SUM(W68:W77),1)</f>
        <v>334.8</v>
      </c>
      <c r="X78" s="2050"/>
      <c r="Y78" s="2171">
        <f>ROUND(SUM(Y68:Y77),1)</f>
        <v>0</v>
      </c>
      <c r="Z78" s="2050"/>
      <c r="AA78" s="2171">
        <f>ROUND(SUM(AA68:AA77),1)</f>
        <v>0</v>
      </c>
      <c r="AB78" s="2050"/>
      <c r="AC78" s="2554"/>
      <c r="AD78" s="2171">
        <f>ROUND(SUM(AD68:AD77),1)</f>
        <v>3771.9</v>
      </c>
      <c r="AE78" s="3202"/>
      <c r="AF78" s="1462"/>
      <c r="AG78" s="2171">
        <f>ROUND(SUM(AG68:AG77),1)</f>
        <v>3674.5</v>
      </c>
      <c r="AH78" s="1462"/>
      <c r="AI78" s="2600"/>
      <c r="AJ78" s="2171">
        <f>ROUND(SUM(AJ68:AJ77),1)</f>
        <v>97.4</v>
      </c>
      <c r="AK78" s="2629"/>
      <c r="AL78" s="2197">
        <f>ROUND(IF(AG78=0,0,AJ78/ABS(AG78)),3)</f>
        <v>2.7E-2</v>
      </c>
      <c r="AO78" s="2645"/>
    </row>
    <row r="79" spans="1:41" ht="15.75">
      <c r="A79" s="2465"/>
      <c r="B79" s="2465" t="s">
        <v>198</v>
      </c>
      <c r="C79" s="2465"/>
      <c r="D79" s="2465"/>
      <c r="E79" s="2000"/>
      <c r="F79" s="2000"/>
      <c r="G79" s="2000"/>
      <c r="H79" s="2000"/>
      <c r="I79" s="2000"/>
      <c r="J79" s="2000"/>
      <c r="K79" s="2000"/>
      <c r="L79" s="1995"/>
      <c r="M79" s="1995"/>
      <c r="N79" s="1995"/>
      <c r="O79" s="1995"/>
      <c r="P79" s="1995"/>
      <c r="Q79" s="1995"/>
      <c r="R79" s="1995"/>
      <c r="S79" s="1995"/>
      <c r="T79" s="1995"/>
      <c r="U79" s="1995"/>
      <c r="V79" s="1995"/>
      <c r="W79" s="1995"/>
      <c r="X79" s="1995"/>
      <c r="Y79" s="1995"/>
      <c r="Z79" s="1995"/>
      <c r="AA79" s="1995"/>
      <c r="AB79" s="1995"/>
      <c r="AC79" s="2039"/>
      <c r="AD79" s="1995"/>
      <c r="AE79" s="3190"/>
      <c r="AF79" s="1977"/>
      <c r="AG79" s="1995"/>
      <c r="AH79" s="1995"/>
      <c r="AI79" s="2600"/>
      <c r="AJ79" s="2601"/>
      <c r="AK79" s="2598"/>
      <c r="AL79" s="1798"/>
    </row>
    <row r="80" spans="1:41" ht="15.75">
      <c r="A80" s="2465"/>
      <c r="B80" s="2465" t="s">
        <v>199</v>
      </c>
      <c r="C80" s="2465"/>
      <c r="D80" s="2465"/>
      <c r="E80" s="2000">
        <v>0</v>
      </c>
      <c r="F80" s="2000"/>
      <c r="G80" s="2000">
        <v>0</v>
      </c>
      <c r="H80" s="2000"/>
      <c r="I80" s="2000">
        <v>0</v>
      </c>
      <c r="J80" s="2000"/>
      <c r="K80" s="2000">
        <v>0</v>
      </c>
      <c r="L80" s="2606"/>
      <c r="M80" s="2000">
        <v>0</v>
      </c>
      <c r="N80" s="2606"/>
      <c r="O80" s="2000">
        <v>0</v>
      </c>
      <c r="P80" s="2606"/>
      <c r="Q80" s="1789">
        <v>0</v>
      </c>
      <c r="R80" s="2606"/>
      <c r="S80" s="1789">
        <v>0</v>
      </c>
      <c r="T80" s="2606"/>
      <c r="U80" s="1789">
        <v>0</v>
      </c>
      <c r="V80" s="2606"/>
      <c r="W80" s="1789">
        <f t="shared" ref="W80:W83" si="6">$AD80-$E80-$G80-$I80-$K80-$M80-$O80-$Q80-$S80-$U80</f>
        <v>0</v>
      </c>
      <c r="X80" s="2606"/>
      <c r="Y80" s="1789"/>
      <c r="Z80" s="2606"/>
      <c r="AA80" s="1789"/>
      <c r="AB80" s="1995"/>
      <c r="AC80" s="2039"/>
      <c r="AD80" s="2000">
        <v>0</v>
      </c>
      <c r="AE80" s="3190"/>
      <c r="AF80" s="1977"/>
      <c r="AG80" s="2000">
        <v>0</v>
      </c>
      <c r="AH80" s="2630"/>
      <c r="AI80" s="2631"/>
      <c r="AJ80" s="1995">
        <f>ROUND(AD80-AG80,1)</f>
        <v>0</v>
      </c>
      <c r="AK80" s="2598"/>
      <c r="AL80" s="1650">
        <f>ROUND(IF(AG80=0,0,AJ80/ABS(AG80)),3)</f>
        <v>0</v>
      </c>
    </row>
    <row r="81" spans="1:41" ht="15.75">
      <c r="A81" s="2465"/>
      <c r="B81" s="2465" t="s">
        <v>200</v>
      </c>
      <c r="C81" s="2465"/>
      <c r="D81" s="2465"/>
      <c r="E81" s="2000">
        <v>0</v>
      </c>
      <c r="F81" s="2000"/>
      <c r="G81" s="2000">
        <v>0</v>
      </c>
      <c r="H81" s="2000"/>
      <c r="I81" s="2000">
        <v>0</v>
      </c>
      <c r="J81" s="2000"/>
      <c r="K81" s="2000">
        <v>0</v>
      </c>
      <c r="L81" s="2606"/>
      <c r="M81" s="2000">
        <v>0</v>
      </c>
      <c r="N81" s="2606"/>
      <c r="O81" s="2000">
        <v>0</v>
      </c>
      <c r="P81" s="2606"/>
      <c r="Q81" s="1789">
        <v>0</v>
      </c>
      <c r="R81" s="2606"/>
      <c r="S81" s="1789">
        <v>0</v>
      </c>
      <c r="T81" s="2606"/>
      <c r="U81" s="1789">
        <v>0</v>
      </c>
      <c r="V81" s="2606"/>
      <c r="W81" s="1789">
        <f t="shared" si="6"/>
        <v>0</v>
      </c>
      <c r="X81" s="2606"/>
      <c r="Y81" s="1789"/>
      <c r="Z81" s="2606"/>
      <c r="AA81" s="1789"/>
      <c r="AB81" s="1995"/>
      <c r="AC81" s="2039"/>
      <c r="AD81" s="3884">
        <v>0</v>
      </c>
      <c r="AE81" s="3190"/>
      <c r="AF81" s="1977"/>
      <c r="AG81" s="2000">
        <v>0</v>
      </c>
      <c r="AH81" s="2630"/>
      <c r="AI81" s="2631"/>
      <c r="AJ81" s="1995">
        <f>ROUND(AD81-AG81,1)</f>
        <v>0</v>
      </c>
      <c r="AK81" s="2598"/>
      <c r="AL81" s="1650">
        <f>ROUND(IF(AG81=0,0,AJ81/ABS(AG81)),3)</f>
        <v>0</v>
      </c>
    </row>
    <row r="82" spans="1:41" ht="15.75">
      <c r="A82" s="2465"/>
      <c r="B82" s="2465" t="s">
        <v>201</v>
      </c>
      <c r="C82" s="2465"/>
      <c r="D82" s="2465"/>
      <c r="E82" s="2000">
        <v>0</v>
      </c>
      <c r="F82" s="2000"/>
      <c r="G82" s="2000">
        <v>0</v>
      </c>
      <c r="H82" s="2000"/>
      <c r="I82" s="2000">
        <v>0</v>
      </c>
      <c r="J82" s="2000"/>
      <c r="K82" s="2000">
        <v>0</v>
      </c>
      <c r="L82" s="2606"/>
      <c r="M82" s="2000">
        <v>0</v>
      </c>
      <c r="N82" s="2606"/>
      <c r="O82" s="2000">
        <v>0</v>
      </c>
      <c r="P82" s="2606"/>
      <c r="Q82" s="1789">
        <v>0</v>
      </c>
      <c r="R82" s="2606"/>
      <c r="S82" s="1789">
        <v>0</v>
      </c>
      <c r="T82" s="2606"/>
      <c r="U82" s="1789">
        <v>0</v>
      </c>
      <c r="V82" s="2606"/>
      <c r="W82" s="1789">
        <f t="shared" si="6"/>
        <v>0</v>
      </c>
      <c r="X82" s="2606"/>
      <c r="Y82" s="1789"/>
      <c r="Z82" s="2606"/>
      <c r="AA82" s="1789"/>
      <c r="AB82" s="2632"/>
      <c r="AC82" s="2633"/>
      <c r="AD82" s="2000">
        <v>0</v>
      </c>
      <c r="AE82" s="3190"/>
      <c r="AF82" s="1977"/>
      <c r="AG82" s="2000">
        <v>0</v>
      </c>
      <c r="AH82" s="2630"/>
      <c r="AI82" s="2631"/>
      <c r="AJ82" s="1995">
        <f>ROUND(AD82-AG82,1)</f>
        <v>0</v>
      </c>
      <c r="AK82" s="2598"/>
      <c r="AL82" s="1650">
        <f>ROUND(IF(AG82=0,0,AJ82/ABS(AG82)),3)</f>
        <v>0</v>
      </c>
    </row>
    <row r="83" spans="1:41" ht="15.75">
      <c r="A83" s="2465"/>
      <c r="B83" s="3670" t="s">
        <v>172</v>
      </c>
      <c r="C83" s="2465"/>
      <c r="D83" s="2465"/>
      <c r="E83" s="2000">
        <v>452.1</v>
      </c>
      <c r="F83" s="2000"/>
      <c r="G83" s="2000">
        <v>333.5</v>
      </c>
      <c r="H83" s="2000"/>
      <c r="I83" s="2000">
        <v>541.80000000000007</v>
      </c>
      <c r="J83" s="2000"/>
      <c r="K83" s="2000">
        <v>512.4000000000002</v>
      </c>
      <c r="L83" s="2606"/>
      <c r="M83" s="2000">
        <v>546.89999999999952</v>
      </c>
      <c r="N83" s="2606"/>
      <c r="O83" s="2000">
        <v>547.4000000000002</v>
      </c>
      <c r="P83" s="2606"/>
      <c r="Q83" s="1789">
        <v>430.20000000000027</v>
      </c>
      <c r="R83" s="2606"/>
      <c r="S83" s="1789">
        <v>515.79999999999961</v>
      </c>
      <c r="T83" s="2606"/>
      <c r="U83" s="1789">
        <v>575.6</v>
      </c>
      <c r="V83" s="2606"/>
      <c r="W83" s="1789">
        <f t="shared" si="6"/>
        <v>385.79999999999973</v>
      </c>
      <c r="X83" s="2606"/>
      <c r="Y83" s="1789"/>
      <c r="Z83" s="2606"/>
      <c r="AA83" s="1789"/>
      <c r="AB83" s="1995"/>
      <c r="AC83" s="2039"/>
      <c r="AD83" s="3204">
        <v>4841.5</v>
      </c>
      <c r="AE83" s="3190"/>
      <c r="AF83" s="1977"/>
      <c r="AG83" s="3204">
        <v>4998</v>
      </c>
      <c r="AH83" s="2634"/>
      <c r="AI83" s="2610"/>
      <c r="AJ83" s="2635">
        <f>ROUND(AD83-AG83,1)</f>
        <v>-156.5</v>
      </c>
      <c r="AK83" s="2598"/>
      <c r="AL83" s="2608">
        <f>ROUND(IF(AG83=0,0,AJ83/ABS(AG83)),3)</f>
        <v>-3.1E-2</v>
      </c>
    </row>
    <row r="84" spans="1:41" ht="15.75">
      <c r="A84" s="2465"/>
      <c r="B84" s="2465"/>
      <c r="C84" s="2465"/>
      <c r="D84" s="2465"/>
      <c r="E84" s="2494"/>
      <c r="F84" s="2000"/>
      <c r="G84" s="2494"/>
      <c r="H84" s="2000"/>
      <c r="I84" s="2494"/>
      <c r="J84" s="2000"/>
      <c r="K84" s="2494"/>
      <c r="L84" s="1995"/>
      <c r="M84" s="2051"/>
      <c r="N84" s="1995"/>
      <c r="O84" s="2051"/>
      <c r="P84" s="1995"/>
      <c r="Q84" s="2051"/>
      <c r="R84" s="1995"/>
      <c r="S84" s="2051"/>
      <c r="T84" s="1995"/>
      <c r="U84" s="2051"/>
      <c r="V84" s="1995"/>
      <c r="W84" s="2051"/>
      <c r="X84" s="1995"/>
      <c r="Y84" s="2051"/>
      <c r="Z84" s="1995"/>
      <c r="AA84" s="2051"/>
      <c r="AB84" s="1995"/>
      <c r="AC84" s="2039"/>
      <c r="AD84" s="2601"/>
      <c r="AE84" s="3190"/>
      <c r="AF84" s="1977"/>
      <c r="AG84" s="2601"/>
      <c r="AH84" s="2601"/>
      <c r="AI84" s="2636"/>
      <c r="AJ84" s="2601"/>
      <c r="AK84" s="2598"/>
      <c r="AL84" s="1798"/>
    </row>
    <row r="85" spans="1:41" ht="15.75">
      <c r="A85" s="2465"/>
      <c r="B85" s="2553" t="s">
        <v>202</v>
      </c>
      <c r="C85" s="2465"/>
      <c r="D85" s="2465"/>
      <c r="E85" s="2050">
        <f>ROUND(SUM(E78:E83),1)</f>
        <v>573.5</v>
      </c>
      <c r="F85" s="2050"/>
      <c r="G85" s="2050">
        <f>ROUND(SUM(G78:G83),1)</f>
        <v>452</v>
      </c>
      <c r="H85" s="2050"/>
      <c r="I85" s="2050">
        <f>ROUND(SUM(I78:I83),1)</f>
        <v>746.7</v>
      </c>
      <c r="J85" s="2050"/>
      <c r="K85" s="2050">
        <f>ROUND(SUM(K78:K83),1)</f>
        <v>743.4</v>
      </c>
      <c r="L85" s="2050"/>
      <c r="M85" s="2050">
        <f>ROUND(SUM(M78:M83),1)</f>
        <v>943.4</v>
      </c>
      <c r="N85" s="2050"/>
      <c r="O85" s="2050">
        <f>ROUND(SUM(O78:O83),1)</f>
        <v>1046.5999999999999</v>
      </c>
      <c r="P85" s="2050"/>
      <c r="Q85" s="2050">
        <f>ROUND(SUM(Q78:Q83),1)</f>
        <v>1110</v>
      </c>
      <c r="R85" s="2050"/>
      <c r="S85" s="2050">
        <f>ROUND(SUM(S78:S83),1)</f>
        <v>1194.5999999999999</v>
      </c>
      <c r="T85" s="2050"/>
      <c r="U85" s="2050">
        <f>ROUND(SUM(U78:U83),1)</f>
        <v>1082.5999999999999</v>
      </c>
      <c r="V85" s="2050"/>
      <c r="W85" s="2050">
        <f>ROUND(SUM(W78:W83),1)</f>
        <v>720.6</v>
      </c>
      <c r="X85" s="2050"/>
      <c r="Y85" s="2050">
        <f>ROUND(SUM(Y78:Y83),1)</f>
        <v>0</v>
      </c>
      <c r="Z85" s="2050"/>
      <c r="AA85" s="2050">
        <f>ROUND(SUM(AA78:AA83),1)</f>
        <v>0</v>
      </c>
      <c r="AB85" s="2050"/>
      <c r="AC85" s="2554"/>
      <c r="AD85" s="2050">
        <f>ROUND(SUM(AD78:AD83),1)</f>
        <v>8613.4</v>
      </c>
      <c r="AE85" s="3202"/>
      <c r="AF85" s="1462"/>
      <c r="AG85" s="2050">
        <f>ROUND(SUM(AG78:AG83),1)</f>
        <v>8672.5</v>
      </c>
      <c r="AH85" s="1462"/>
      <c r="AI85" s="2600"/>
      <c r="AJ85" s="2054">
        <f>ROUND(AD85-AG85,1)</f>
        <v>-59.1</v>
      </c>
      <c r="AK85" s="2629"/>
      <c r="AL85" s="2628">
        <f>ROUND(IF(AG85=0,0,AJ85/ABS(AG85)),3)</f>
        <v>-7.0000000000000001E-3</v>
      </c>
      <c r="AM85" s="2621"/>
      <c r="AN85" s="2621"/>
      <c r="AO85" s="2621"/>
    </row>
    <row r="86" spans="1:41" ht="15.75">
      <c r="A86" s="2465"/>
      <c r="B86" s="2465"/>
      <c r="C86" s="2465"/>
      <c r="D86" s="2465"/>
      <c r="E86" s="2494"/>
      <c r="F86" s="2000"/>
      <c r="G86" s="2494"/>
      <c r="H86" s="2000"/>
      <c r="I86" s="2494"/>
      <c r="J86" s="2000"/>
      <c r="K86" s="2494"/>
      <c r="L86" s="1995"/>
      <c r="M86" s="2051"/>
      <c r="N86" s="1995"/>
      <c r="O86" s="2051"/>
      <c r="P86" s="1995"/>
      <c r="Q86" s="2051"/>
      <c r="R86" s="1995"/>
      <c r="S86" s="2051"/>
      <c r="T86" s="1995"/>
      <c r="U86" s="2051"/>
      <c r="V86" s="1995"/>
      <c r="W86" s="2051"/>
      <c r="X86" s="1995"/>
      <c r="Y86" s="2051"/>
      <c r="Z86" s="1995"/>
      <c r="AA86" s="2051"/>
      <c r="AB86" s="1995"/>
      <c r="AC86" s="2039"/>
      <c r="AD86" s="2051"/>
      <c r="AE86" s="3190"/>
      <c r="AF86" s="1977"/>
      <c r="AG86" s="2051"/>
      <c r="AH86" s="1977"/>
      <c r="AI86" s="2600"/>
      <c r="AJ86" s="2601"/>
      <c r="AK86" s="2598"/>
      <c r="AL86" s="1798"/>
    </row>
    <row r="87" spans="1:41" ht="15.75">
      <c r="A87" s="2465"/>
      <c r="B87" s="2553" t="s">
        <v>203</v>
      </c>
      <c r="C87" s="2465"/>
      <c r="D87" s="2465"/>
      <c r="E87" s="2000"/>
      <c r="F87" s="2000"/>
      <c r="G87" s="2000"/>
      <c r="H87" s="2000"/>
      <c r="I87" s="2000"/>
      <c r="J87" s="2000"/>
      <c r="K87" s="2000"/>
      <c r="L87" s="1995"/>
      <c r="M87" s="1995"/>
      <c r="N87" s="1995"/>
      <c r="O87" s="1995"/>
      <c r="P87" s="1995"/>
      <c r="Q87" s="1995"/>
      <c r="R87" s="1995"/>
      <c r="S87" s="1995"/>
      <c r="T87" s="1995"/>
      <c r="U87" s="1995"/>
      <c r="V87" s="1995"/>
      <c r="W87" s="1995"/>
      <c r="X87" s="1995"/>
      <c r="Y87" s="1995"/>
      <c r="Z87" s="1995"/>
      <c r="AA87" s="1995"/>
      <c r="AB87" s="1995"/>
      <c r="AC87" s="2039"/>
      <c r="AD87" s="2601"/>
      <c r="AE87" s="3190"/>
      <c r="AF87" s="1977"/>
      <c r="AG87" s="2601"/>
      <c r="AH87" s="2601"/>
      <c r="AI87" s="2636"/>
      <c r="AJ87" s="2601"/>
      <c r="AK87" s="2598"/>
      <c r="AL87" s="1798"/>
    </row>
    <row r="88" spans="1:41" ht="15.75">
      <c r="A88" s="2465"/>
      <c r="B88" s="2553" t="s">
        <v>204</v>
      </c>
      <c r="C88" s="2465"/>
      <c r="D88" s="2465"/>
      <c r="E88" s="2050">
        <f>ROUND(SUM(E64-E85),1)</f>
        <v>691.2</v>
      </c>
      <c r="F88" s="2050"/>
      <c r="G88" s="2050">
        <f>ROUND(SUM(G64-G85),1)</f>
        <v>-341.5</v>
      </c>
      <c r="H88" s="2050"/>
      <c r="I88" s="2050">
        <f>ROUND(SUM(I64-I85),1)</f>
        <v>-223.3</v>
      </c>
      <c r="J88" s="2050"/>
      <c r="K88" s="2050">
        <f>ROUND(SUM(K64-K85),1)</f>
        <v>-269.60000000000002</v>
      </c>
      <c r="L88" s="2050"/>
      <c r="M88" s="2050">
        <f>ROUND(SUM(M64-M85),1)</f>
        <v>-705</v>
      </c>
      <c r="N88" s="2050"/>
      <c r="O88" s="2050">
        <f>ROUND(SUM(O64-O85),1)</f>
        <v>-434</v>
      </c>
      <c r="P88" s="2050"/>
      <c r="Q88" s="2050">
        <f>ROUND(SUM(Q64-Q85),1)</f>
        <v>-27.1</v>
      </c>
      <c r="R88" s="2050"/>
      <c r="S88" s="2050">
        <f>ROUND(SUM(S64-S85),1)</f>
        <v>-1018.6</v>
      </c>
      <c r="T88" s="2050"/>
      <c r="U88" s="2050">
        <f>ROUND(SUM(U64-U85),1)</f>
        <v>93.1</v>
      </c>
      <c r="V88" s="2050"/>
      <c r="W88" s="2050">
        <f>ROUND(SUM(W64-W85),1)</f>
        <v>-552</v>
      </c>
      <c r="X88" s="2050"/>
      <c r="Y88" s="2050">
        <f>ROUND(SUM(Y64-Y85),1)</f>
        <v>0</v>
      </c>
      <c r="Z88" s="2050"/>
      <c r="AA88" s="2050">
        <f>ROUND(SUM(AA64-AA85),1)</f>
        <v>0</v>
      </c>
      <c r="AB88" s="2050"/>
      <c r="AC88" s="2554"/>
      <c r="AD88" s="2050">
        <f>ROUND(SUM(AD64-AD85),1)</f>
        <v>-2786.8</v>
      </c>
      <c r="AE88" s="3202"/>
      <c r="AF88" s="1462"/>
      <c r="AG88" s="2050">
        <f>ROUND(SUM(AG64-AG85),1)</f>
        <v>-2956.1</v>
      </c>
      <c r="AH88" s="1462"/>
      <c r="AI88" s="2600"/>
      <c r="AJ88" s="2054">
        <f>ROUND(AD88-AG88,1)</f>
        <v>169.3</v>
      </c>
      <c r="AK88" s="2629"/>
      <c r="AL88" s="3671">
        <f>ROUND(IF(AG88=0,0,AJ88/ABS(AG88)),3)</f>
        <v>5.7000000000000002E-2</v>
      </c>
      <c r="AM88" s="2621"/>
      <c r="AN88" s="3672"/>
    </row>
    <row r="89" spans="1:41" ht="15.75">
      <c r="A89" s="2465"/>
      <c r="B89" s="2465"/>
      <c r="C89" s="2465"/>
      <c r="D89" s="2465"/>
      <c r="E89" s="2494"/>
      <c r="F89" s="2000"/>
      <c r="G89" s="2494"/>
      <c r="H89" s="2000"/>
      <c r="I89" s="2494"/>
      <c r="J89" s="2000"/>
      <c r="K89" s="2494"/>
      <c r="L89" s="1995"/>
      <c r="M89" s="2051"/>
      <c r="N89" s="1995"/>
      <c r="O89" s="2051"/>
      <c r="P89" s="1995"/>
      <c r="Q89" s="2051"/>
      <c r="R89" s="1995"/>
      <c r="S89" s="2051"/>
      <c r="T89" s="1995"/>
      <c r="U89" s="2051"/>
      <c r="V89" s="1995"/>
      <c r="W89" s="2051"/>
      <c r="X89" s="1995"/>
      <c r="Y89" s="2051"/>
      <c r="Z89" s="1995"/>
      <c r="AA89" s="2051"/>
      <c r="AB89" s="1995"/>
      <c r="AC89" s="2039"/>
      <c r="AD89" s="2051"/>
      <c r="AE89" s="3190"/>
      <c r="AF89" s="1977"/>
      <c r="AG89" s="2051"/>
      <c r="AH89" s="1977"/>
      <c r="AI89" s="2600"/>
      <c r="AJ89" s="2601"/>
      <c r="AK89" s="2598"/>
      <c r="AL89" s="1798"/>
    </row>
    <row r="90" spans="1:41" ht="15.75">
      <c r="A90" s="2465"/>
      <c r="B90" s="2553" t="s">
        <v>205</v>
      </c>
      <c r="C90" s="2465"/>
      <c r="D90" s="2465"/>
      <c r="E90" s="2000"/>
      <c r="F90" s="2000"/>
      <c r="G90" s="2000"/>
      <c r="H90" s="2000"/>
      <c r="I90" s="2000"/>
      <c r="J90" s="2000"/>
      <c r="K90" s="2000"/>
      <c r="L90" s="1995"/>
      <c r="M90" s="1995"/>
      <c r="N90" s="1995"/>
      <c r="O90" s="1995"/>
      <c r="P90" s="1995"/>
      <c r="Q90" s="1995"/>
      <c r="R90" s="1995"/>
      <c r="S90" s="1995"/>
      <c r="T90" s="1995"/>
      <c r="U90" s="1995"/>
      <c r="V90" s="1995"/>
      <c r="W90" s="1995"/>
      <c r="X90" s="1995"/>
      <c r="Y90" s="1995"/>
      <c r="Z90" s="1995"/>
      <c r="AA90" s="1995"/>
      <c r="AB90" s="1995"/>
      <c r="AC90" s="2039"/>
      <c r="AD90" s="2630"/>
      <c r="AE90" s="3190"/>
      <c r="AF90" s="1977"/>
      <c r="AG90" s="2630"/>
      <c r="AH90" s="2630"/>
      <c r="AI90" s="2631"/>
      <c r="AJ90" s="2601"/>
      <c r="AK90" s="2598"/>
      <c r="AL90" s="1798"/>
    </row>
    <row r="91" spans="1:41" ht="15.75">
      <c r="A91" s="2465"/>
      <c r="B91" s="2505" t="s">
        <v>1480</v>
      </c>
      <c r="C91" s="2465"/>
      <c r="D91" s="2465"/>
      <c r="E91" s="2000">
        <v>0</v>
      </c>
      <c r="F91" s="2000"/>
      <c r="G91" s="2000">
        <v>0</v>
      </c>
      <c r="H91" s="2000"/>
      <c r="I91" s="2000">
        <v>0</v>
      </c>
      <c r="J91" s="2000"/>
      <c r="K91" s="2000">
        <v>0</v>
      </c>
      <c r="L91" s="2606"/>
      <c r="M91" s="2000">
        <v>0</v>
      </c>
      <c r="N91" s="2606"/>
      <c r="O91" s="2000">
        <v>0</v>
      </c>
      <c r="P91" s="2606"/>
      <c r="Q91" s="1789">
        <v>0</v>
      </c>
      <c r="R91" s="2606"/>
      <c r="S91" s="1789">
        <v>0</v>
      </c>
      <c r="T91" s="2606"/>
      <c r="U91" s="1789">
        <v>0</v>
      </c>
      <c r="V91" s="2606"/>
      <c r="W91" s="1789">
        <f t="shared" ref="W91:W93" si="7">$AD91-$E91-$G91-$I91-$K91-$M91-$O91-$Q91-$S91-$U91</f>
        <v>0</v>
      </c>
      <c r="X91" s="2606"/>
      <c r="Y91" s="1789"/>
      <c r="Z91" s="2606"/>
      <c r="AA91" s="1789"/>
      <c r="AB91" s="1995"/>
      <c r="AC91" s="2039"/>
      <c r="AD91" s="2000">
        <v>0</v>
      </c>
      <c r="AE91" s="3190"/>
      <c r="AF91" s="1977"/>
      <c r="AG91" s="2000">
        <v>0</v>
      </c>
      <c r="AH91" s="2630"/>
      <c r="AI91" s="2631"/>
      <c r="AJ91" s="1995">
        <f>ROUND(AD91-AG91,1)</f>
        <v>0</v>
      </c>
      <c r="AK91" s="2607"/>
      <c r="AL91" s="1724">
        <f>ROUND(IF(AG91=0,0,AJ91/ABS(AG91)),3)</f>
        <v>0</v>
      </c>
    </row>
    <row r="92" spans="1:41" ht="15.75">
      <c r="A92" s="2465"/>
      <c r="B92" s="3670" t="s">
        <v>173</v>
      </c>
      <c r="C92" s="2465"/>
      <c r="D92" s="2465"/>
      <c r="E92" s="2000">
        <v>-805.1</v>
      </c>
      <c r="F92" s="2000"/>
      <c r="G92" s="2000">
        <v>198</v>
      </c>
      <c r="H92" s="2000"/>
      <c r="I92" s="2000">
        <v>360.6</v>
      </c>
      <c r="J92" s="2000"/>
      <c r="K92" s="2000">
        <v>523.4</v>
      </c>
      <c r="L92" s="2606"/>
      <c r="M92" s="2000">
        <v>566.29999999999984</v>
      </c>
      <c r="N92" s="2606"/>
      <c r="O92" s="2000">
        <v>250.00000000000045</v>
      </c>
      <c r="P92" s="2606"/>
      <c r="Q92" s="1789">
        <v>91.299999999999727</v>
      </c>
      <c r="R92" s="2606"/>
      <c r="S92" s="1789">
        <v>908.30000000000018</v>
      </c>
      <c r="T92" s="2606"/>
      <c r="U92" s="1789">
        <v>124.09999999999991</v>
      </c>
      <c r="V92" s="2606"/>
      <c r="W92" s="1789">
        <f t="shared" si="7"/>
        <v>481.90000000000009</v>
      </c>
      <c r="X92" s="2606"/>
      <c r="Y92" s="1789"/>
      <c r="Z92" s="2606"/>
      <c r="AA92" s="1789"/>
      <c r="AB92" s="1995"/>
      <c r="AC92" s="2039"/>
      <c r="AD92" s="2000">
        <v>2698.8</v>
      </c>
      <c r="AE92" s="3190"/>
      <c r="AF92" s="1977"/>
      <c r="AG92" s="2000">
        <v>3847.7000000000003</v>
      </c>
      <c r="AH92" s="1994"/>
      <c r="AI92" s="2610"/>
      <c r="AJ92" s="1995">
        <f>ROUND(AD92-AG92,1)</f>
        <v>-1148.9000000000001</v>
      </c>
      <c r="AK92" s="2598"/>
      <c r="AL92" s="1650">
        <f>ROUND(IF(AG92=0,0,AJ92/ABS(AG92)),3)</f>
        <v>-0.29899999999999999</v>
      </c>
      <c r="AM92" s="2598"/>
    </row>
    <row r="93" spans="1:41" ht="15.75">
      <c r="A93" s="2465"/>
      <c r="B93" s="3670" t="s">
        <v>206</v>
      </c>
      <c r="C93" s="2465"/>
      <c r="D93" s="2465"/>
      <c r="E93" s="2000">
        <v>-12.3</v>
      </c>
      <c r="F93" s="2000"/>
      <c r="G93" s="2000">
        <v>-12.399999999999999</v>
      </c>
      <c r="H93" s="2000"/>
      <c r="I93" s="2000">
        <v>-12.3</v>
      </c>
      <c r="J93" s="2000"/>
      <c r="K93" s="2000">
        <v>-14.000000000000004</v>
      </c>
      <c r="L93" s="2606"/>
      <c r="M93" s="2000">
        <v>-36.400000000000006</v>
      </c>
      <c r="N93" s="2606"/>
      <c r="O93" s="2000">
        <v>-186.99999999999994</v>
      </c>
      <c r="P93" s="2606"/>
      <c r="Q93" s="1789">
        <v>-12.100000000000051</v>
      </c>
      <c r="R93" s="2606"/>
      <c r="S93" s="1789">
        <v>-12.100000000000023</v>
      </c>
      <c r="T93" s="2606"/>
      <c r="U93" s="1789">
        <v>-54.299999999999983</v>
      </c>
      <c r="V93" s="2606"/>
      <c r="W93" s="1789">
        <f t="shared" si="7"/>
        <v>-11.600000000000023</v>
      </c>
      <c r="X93" s="2606"/>
      <c r="Y93" s="1789"/>
      <c r="Z93" s="2606"/>
      <c r="AA93" s="1789"/>
      <c r="AB93" s="1995"/>
      <c r="AC93" s="2039"/>
      <c r="AD93" s="3204">
        <v>-364.5</v>
      </c>
      <c r="AE93" s="3190"/>
      <c r="AF93" s="1977"/>
      <c r="AG93" s="3204">
        <v>-740.1</v>
      </c>
      <c r="AH93" s="1977"/>
      <c r="AI93" s="2600"/>
      <c r="AJ93" s="2635">
        <f>ROUND(-AD93+AG93,1)</f>
        <v>-375.6</v>
      </c>
      <c r="AK93" s="2598"/>
      <c r="AL93" s="2608">
        <f>ROUND(IF(AG93=0,0,AJ93/ABS(AG93)),3)</f>
        <v>-0.50700000000000001</v>
      </c>
      <c r="AM93" s="2598"/>
    </row>
    <row r="94" spans="1:41" ht="15.75">
      <c r="A94" s="2465"/>
      <c r="B94" s="2465"/>
      <c r="C94" s="2465"/>
      <c r="D94" s="2465"/>
      <c r="E94" s="2051"/>
      <c r="F94" s="1995"/>
      <c r="G94" s="2051"/>
      <c r="H94" s="1995"/>
      <c r="I94" s="2051"/>
      <c r="J94" s="1995"/>
      <c r="K94" s="2051"/>
      <c r="L94" s="1995"/>
      <c r="M94" s="2051"/>
      <c r="N94" s="1995"/>
      <c r="O94" s="2051"/>
      <c r="P94" s="1995"/>
      <c r="Q94" s="2051"/>
      <c r="R94" s="1995"/>
      <c r="S94" s="2051"/>
      <c r="T94" s="1995"/>
      <c r="U94" s="2051"/>
      <c r="V94" s="1995"/>
      <c r="W94" s="2051"/>
      <c r="X94" s="1995"/>
      <c r="Y94" s="2051"/>
      <c r="Z94" s="1995"/>
      <c r="AA94" s="2051"/>
      <c r="AB94" s="1995"/>
      <c r="AC94" s="2039"/>
      <c r="AD94" s="2601"/>
      <c r="AE94" s="3190"/>
      <c r="AF94" s="1977"/>
      <c r="AG94" s="2601"/>
      <c r="AH94" s="2601"/>
      <c r="AI94" s="2636"/>
      <c r="AJ94" s="2601"/>
      <c r="AK94" s="2598"/>
      <c r="AL94" s="1798"/>
    </row>
    <row r="95" spans="1:41" ht="15.75">
      <c r="A95" s="2465"/>
      <c r="B95" s="2553" t="s">
        <v>1186</v>
      </c>
      <c r="C95" s="2465"/>
      <c r="D95" s="2465"/>
      <c r="E95" s="2050">
        <f>ROUND(SUM(E91:E93),1)</f>
        <v>-817.4</v>
      </c>
      <c r="F95" s="2050"/>
      <c r="G95" s="2050">
        <f>ROUND(SUM(G91:G93),1)</f>
        <v>185.6</v>
      </c>
      <c r="H95" s="2050"/>
      <c r="I95" s="2050">
        <f>ROUND(SUM(I91:I93),1)</f>
        <v>348.3</v>
      </c>
      <c r="J95" s="2050"/>
      <c r="K95" s="2050">
        <f>ROUND(SUM(K91:K93),1)</f>
        <v>509.4</v>
      </c>
      <c r="L95" s="2050"/>
      <c r="M95" s="2050">
        <f>ROUND(SUM(M91:M93),1)</f>
        <v>529.9</v>
      </c>
      <c r="N95" s="2050"/>
      <c r="O95" s="2050">
        <f>ROUND(SUM(O91:O93),1)</f>
        <v>63</v>
      </c>
      <c r="P95" s="2050"/>
      <c r="Q95" s="2050">
        <f>ROUND(SUM(Q91:Q93),1)</f>
        <v>79.2</v>
      </c>
      <c r="R95" s="2050"/>
      <c r="S95" s="2050">
        <f>ROUND(SUM(S91:S93),1)</f>
        <v>896.2</v>
      </c>
      <c r="T95" s="2050"/>
      <c r="U95" s="2050">
        <f>ROUND(SUM(U91:U93),1)</f>
        <v>69.8</v>
      </c>
      <c r="V95" s="2050"/>
      <c r="W95" s="2050">
        <f>ROUND(SUM(W91:W93),1)</f>
        <v>470.3</v>
      </c>
      <c r="X95" s="2050"/>
      <c r="Y95" s="2050">
        <f>ROUND(SUM(Y91:Y93),1)</f>
        <v>0</v>
      </c>
      <c r="Z95" s="2050"/>
      <c r="AA95" s="2050">
        <f>ROUND(SUM(AA91:AA93),1)</f>
        <v>0</v>
      </c>
      <c r="AB95" s="2050"/>
      <c r="AC95" s="2554"/>
      <c r="AD95" s="1462">
        <f>ROUND(SUM(AD91:AD93),1)</f>
        <v>2334.3000000000002</v>
      </c>
      <c r="AE95" s="3202"/>
      <c r="AF95" s="1462"/>
      <c r="AG95" s="1462">
        <f>ROUND(SUM(AG91:AG93),1)</f>
        <v>3107.6</v>
      </c>
      <c r="AH95" s="1462"/>
      <c r="AI95" s="2600"/>
      <c r="AJ95" s="2054">
        <f>ROUND(AD95-AG95,1)</f>
        <v>-773.3</v>
      </c>
      <c r="AK95" s="2629"/>
      <c r="AL95" s="3671">
        <f>ROUND(IF(AG95=0,0,AJ95/ABS(AG95)),3)</f>
        <v>-0.249</v>
      </c>
      <c r="AM95" s="2621"/>
      <c r="AN95" s="2621"/>
      <c r="AO95" s="3672"/>
    </row>
    <row r="96" spans="1:41" ht="15.75">
      <c r="A96" s="2465"/>
      <c r="B96" s="2465"/>
      <c r="C96" s="2465"/>
      <c r="D96" s="2465"/>
      <c r="E96" s="2051"/>
      <c r="F96" s="1995"/>
      <c r="G96" s="2051"/>
      <c r="H96" s="1995"/>
      <c r="I96" s="2051"/>
      <c r="J96" s="1995"/>
      <c r="K96" s="2051"/>
      <c r="L96" s="1995"/>
      <c r="M96" s="2051"/>
      <c r="N96" s="1995"/>
      <c r="O96" s="2051"/>
      <c r="P96" s="1995"/>
      <c r="Q96" s="2051"/>
      <c r="R96" s="1995"/>
      <c r="S96" s="2051"/>
      <c r="T96" s="1995"/>
      <c r="U96" s="2051"/>
      <c r="V96" s="1995"/>
      <c r="W96" s="2051"/>
      <c r="X96" s="1995"/>
      <c r="Y96" s="2051"/>
      <c r="Z96" s="1995"/>
      <c r="AA96" s="2051"/>
      <c r="AB96" s="1995"/>
      <c r="AC96" s="2039"/>
      <c r="AD96" s="2051"/>
      <c r="AE96" s="3190"/>
      <c r="AF96" s="1977"/>
      <c r="AG96" s="2051"/>
      <c r="AH96" s="1977"/>
      <c r="AI96" s="2600"/>
      <c r="AJ96" s="2601"/>
      <c r="AK96" s="2598"/>
      <c r="AL96" s="1798"/>
      <c r="AO96" s="2645"/>
    </row>
    <row r="97" spans="1:41" ht="15.75">
      <c r="A97" s="2465"/>
      <c r="B97" s="2465"/>
      <c r="C97" s="2465"/>
      <c r="D97" s="2465"/>
      <c r="E97" s="1995" t="s">
        <v>15</v>
      </c>
      <c r="F97" s="1995" t="s">
        <v>15</v>
      </c>
      <c r="G97" s="1995" t="s">
        <v>15</v>
      </c>
      <c r="H97" s="1995"/>
      <c r="I97" s="1995" t="s">
        <v>15</v>
      </c>
      <c r="J97" s="1995"/>
      <c r="K97" s="1995" t="s">
        <v>15</v>
      </c>
      <c r="L97" s="1995"/>
      <c r="M97" s="1995" t="s">
        <v>15</v>
      </c>
      <c r="N97" s="1995"/>
      <c r="O97" s="1995" t="s">
        <v>15</v>
      </c>
      <c r="P97" s="1995"/>
      <c r="Q97" s="1995" t="s">
        <v>15</v>
      </c>
      <c r="R97" s="1995"/>
      <c r="S97" s="1995" t="s">
        <v>15</v>
      </c>
      <c r="T97" s="1995"/>
      <c r="U97" s="1995" t="s">
        <v>15</v>
      </c>
      <c r="V97" s="1995"/>
      <c r="W97" s="1995" t="s">
        <v>15</v>
      </c>
      <c r="X97" s="1995"/>
      <c r="Y97" s="1995" t="s">
        <v>15</v>
      </c>
      <c r="Z97" s="1995"/>
      <c r="AA97" s="1995" t="s">
        <v>15</v>
      </c>
      <c r="AB97" s="1995"/>
      <c r="AC97" s="2039"/>
      <c r="AD97" s="1995"/>
      <c r="AE97" s="3190"/>
      <c r="AF97" s="1977"/>
      <c r="AG97" s="1995"/>
      <c r="AH97" s="1995"/>
      <c r="AI97" s="2600"/>
      <c r="AJ97" s="2601" t="s">
        <v>15</v>
      </c>
      <c r="AK97" s="2598"/>
      <c r="AL97" s="1798"/>
    </row>
    <row r="98" spans="1:41" ht="15.75">
      <c r="A98" s="2465"/>
      <c r="B98" s="2553" t="s">
        <v>208</v>
      </c>
      <c r="C98" s="2465"/>
      <c r="D98" s="2465"/>
      <c r="E98" s="1995"/>
      <c r="F98" s="1995"/>
      <c r="G98" s="1995" t="s">
        <v>15</v>
      </c>
      <c r="H98" s="1995"/>
      <c r="I98" s="1995" t="s">
        <v>15</v>
      </c>
      <c r="J98" s="1995"/>
      <c r="K98" s="1995" t="s">
        <v>15</v>
      </c>
      <c r="L98" s="1995"/>
      <c r="M98" s="1995" t="s">
        <v>15</v>
      </c>
      <c r="N98" s="1995"/>
      <c r="O98" s="1995" t="s">
        <v>15</v>
      </c>
      <c r="P98" s="1995"/>
      <c r="Q98" s="1995" t="s">
        <v>15</v>
      </c>
      <c r="R98" s="1995"/>
      <c r="S98" s="1995" t="s">
        <v>15</v>
      </c>
      <c r="T98" s="1995"/>
      <c r="U98" s="1995" t="s">
        <v>15</v>
      </c>
      <c r="V98" s="1995"/>
      <c r="W98" s="1995" t="s">
        <v>15</v>
      </c>
      <c r="X98" s="1995"/>
      <c r="Y98" s="1995" t="s">
        <v>15</v>
      </c>
      <c r="Z98" s="1995"/>
      <c r="AA98" s="1995" t="s">
        <v>15</v>
      </c>
      <c r="AB98" s="1995"/>
      <c r="AC98" s="2039"/>
      <c r="AD98" s="1995"/>
      <c r="AE98" s="3190"/>
      <c r="AF98" s="1977"/>
      <c r="AG98" s="1995"/>
      <c r="AH98" s="1995"/>
      <c r="AI98" s="2600"/>
      <c r="AJ98" s="2601"/>
      <c r="AK98" s="2598"/>
      <c r="AL98" s="1798"/>
    </row>
    <row r="99" spans="1:41" ht="15.75">
      <c r="A99" s="2465"/>
      <c r="B99" s="2553" t="s">
        <v>209</v>
      </c>
      <c r="C99" s="2465"/>
      <c r="D99" s="2465"/>
      <c r="E99" s="1995" t="s">
        <v>15</v>
      </c>
      <c r="F99" s="1995"/>
      <c r="G99" s="1995"/>
      <c r="H99" s="1995"/>
      <c r="I99" s="1995"/>
      <c r="J99" s="1995"/>
      <c r="K99" s="1995"/>
      <c r="L99" s="1995"/>
      <c r="M99" s="1995"/>
      <c r="N99" s="1995"/>
      <c r="O99" s="1995"/>
      <c r="P99" s="1995"/>
      <c r="Q99" s="1995"/>
      <c r="R99" s="1995"/>
      <c r="S99" s="1995"/>
      <c r="T99" s="1995"/>
      <c r="U99" s="1995"/>
      <c r="V99" s="1995"/>
      <c r="W99" s="1995"/>
      <c r="X99" s="1995"/>
      <c r="Y99" s="1995"/>
      <c r="Z99" s="1995"/>
      <c r="AA99" s="1995"/>
      <c r="AB99" s="1995"/>
      <c r="AC99" s="2039"/>
      <c r="AD99" s="2601"/>
      <c r="AE99" s="3190"/>
      <c r="AF99" s="1977"/>
      <c r="AG99" s="2601"/>
      <c r="AH99" s="2601"/>
      <c r="AI99" s="2636"/>
      <c r="AJ99" s="2601"/>
      <c r="AK99" s="2598"/>
      <c r="AL99" s="1798"/>
      <c r="AO99" s="3673"/>
    </row>
    <row r="100" spans="1:41" s="3189" customFormat="1" ht="15.75">
      <c r="A100" s="1995"/>
      <c r="B100" s="2050" t="s">
        <v>1187</v>
      </c>
      <c r="C100" s="1995"/>
      <c r="D100" s="1995"/>
      <c r="E100" s="2637">
        <f>ROUND(SUM(E88+E95),1)</f>
        <v>-126.2</v>
      </c>
      <c r="F100" s="2638"/>
      <c r="G100" s="2637">
        <f>ROUND(SUM(G88+G95),1)</f>
        <v>-155.9</v>
      </c>
      <c r="H100" s="2638"/>
      <c r="I100" s="2637">
        <f>ROUND(SUM(I88+I95),1)</f>
        <v>125</v>
      </c>
      <c r="J100" s="2638"/>
      <c r="K100" s="2637">
        <f>ROUND(SUM(K88+K95),1)</f>
        <v>239.8</v>
      </c>
      <c r="L100" s="2638"/>
      <c r="M100" s="2637">
        <f>ROUND(SUM(M88+M95),1)</f>
        <v>-175.1</v>
      </c>
      <c r="N100" s="2638"/>
      <c r="O100" s="2637">
        <f>ROUND(SUM(O88+O95),1)</f>
        <v>-371</v>
      </c>
      <c r="P100" s="2638"/>
      <c r="Q100" s="2637">
        <f>ROUND(SUM(Q88+Q95),1)</f>
        <v>52.1</v>
      </c>
      <c r="R100" s="2638"/>
      <c r="S100" s="2637">
        <f>ROUND(SUM(S88+S95),1)</f>
        <v>-122.4</v>
      </c>
      <c r="T100" s="2638"/>
      <c r="U100" s="2637">
        <f>ROUND(SUM(U88+U95),1)</f>
        <v>162.9</v>
      </c>
      <c r="V100" s="2638"/>
      <c r="W100" s="2637">
        <f>ROUND(SUM(W88+W95),1)</f>
        <v>-81.7</v>
      </c>
      <c r="X100" s="3674"/>
      <c r="Y100" s="2637">
        <f>ROUND(SUM(Y88+Y95),1)</f>
        <v>0</v>
      </c>
      <c r="Z100" s="2638"/>
      <c r="AA100" s="2637">
        <f>ROUND(SUM(AA88+AA95),1)</f>
        <v>0</v>
      </c>
      <c r="AB100" s="2638"/>
      <c r="AC100" s="2639"/>
      <c r="AD100" s="2637">
        <f>ROUND(SUM(AD88+AD95),1)</f>
        <v>-452.5</v>
      </c>
      <c r="AE100" s="3205"/>
      <c r="AF100" s="1462"/>
      <c r="AG100" s="2637">
        <f>ROUND(SUM(AG88+AG95),1)</f>
        <v>151.5</v>
      </c>
      <c r="AH100" s="2640"/>
      <c r="AI100" s="2636"/>
      <c r="AJ100" s="2637">
        <f>ROUND(SUM(AJ88+AJ95),1)</f>
        <v>-604</v>
      </c>
      <c r="AK100" s="2640"/>
      <c r="AL100" s="3671">
        <f>ROUND(IF(AG100=0,0,AJ100/ABS(AG100)),3)</f>
        <v>-3.9870000000000001</v>
      </c>
      <c r="AM100" s="3675"/>
    </row>
    <row r="101" spans="1:41">
      <c r="B101" s="3676"/>
      <c r="X101" s="3677"/>
      <c r="AC101" s="2641"/>
      <c r="AF101" s="2641"/>
      <c r="AI101" s="2642"/>
    </row>
    <row r="102" spans="1:41" ht="16.5" thickBot="1">
      <c r="B102" s="2553" t="s">
        <v>1185</v>
      </c>
      <c r="C102" s="3678"/>
      <c r="D102" s="3678"/>
      <c r="E102" s="2643">
        <f>ROUND(SUM(E14+E100),1)</f>
        <v>-598.4</v>
      </c>
      <c r="F102" s="2644"/>
      <c r="G102" s="2643">
        <f>ROUND(SUM(G14+G100),1)</f>
        <v>-754.3</v>
      </c>
      <c r="I102" s="2643">
        <f>ROUND(SUM(I14+I100),1)</f>
        <v>-629.29999999999995</v>
      </c>
      <c r="K102" s="2643">
        <f>ROUND(SUM(K14+K100),1)</f>
        <v>-389.5</v>
      </c>
      <c r="M102" s="2643">
        <f>ROUND(SUM(M14+M100),1)</f>
        <v>-564.6</v>
      </c>
      <c r="O102" s="2643">
        <f>ROUND(SUM(O14+O100),1)</f>
        <v>-935.6</v>
      </c>
      <c r="Q102" s="2643">
        <f>ROUND(SUM(Q14+Q100),1)</f>
        <v>-883.5</v>
      </c>
      <c r="S102" s="2643">
        <f>ROUND(SUM(S14+S100),1)</f>
        <v>-1005.9</v>
      </c>
      <c r="U102" s="2643">
        <f>ROUND(SUM(U14+U100),1)</f>
        <v>-843</v>
      </c>
      <c r="W102" s="2643">
        <f>ROUND(SUM(W14+W100),1)</f>
        <v>-924.7</v>
      </c>
      <c r="Y102" s="2643">
        <f>ROUND(SUM(Y14+Y100),1)</f>
        <v>0</v>
      </c>
      <c r="AA102" s="2643">
        <f>ROUND(SUM(AA14+AA100),1)</f>
        <v>0</v>
      </c>
      <c r="AC102" s="2641"/>
      <c r="AD102" s="2643">
        <f>ROUND(SUM(AD14+AD100),1)</f>
        <v>-924.7</v>
      </c>
      <c r="AF102" s="2641"/>
      <c r="AG102" s="2643">
        <f>ROUND(SUM(AG14+AG100),1)</f>
        <v>-481.7</v>
      </c>
      <c r="AI102" s="2642"/>
      <c r="AJ102" s="2643">
        <f>ROUND(SUM(AJ14+AJ100),1)</f>
        <v>-443</v>
      </c>
      <c r="AL102" s="3679">
        <f>ROUND(IF(AG102=0,0,AJ102/ABS(AG102)),3)</f>
        <v>-0.92</v>
      </c>
    </row>
    <row r="103" spans="1:41" ht="15.75" thickTop="1">
      <c r="B103" s="3680"/>
      <c r="C103" s="3678"/>
      <c r="D103" s="3678"/>
      <c r="E103" s="2644"/>
      <c r="F103" s="2644"/>
      <c r="G103" s="2644"/>
      <c r="AG103" s="3461"/>
      <c r="AJ103" s="2645"/>
    </row>
    <row r="104" spans="1:41">
      <c r="B104" s="3681"/>
    </row>
    <row r="105" spans="1:41">
      <c r="B105" s="3681"/>
      <c r="AD105" s="3189"/>
    </row>
    <row r="106" spans="1:41">
      <c r="B106" s="3682"/>
    </row>
    <row r="107" spans="1:41">
      <c r="B107" s="3681"/>
    </row>
    <row r="108" spans="1:41">
      <c r="B108" s="3681"/>
    </row>
    <row r="109" spans="1:41">
      <c r="B109" s="3682"/>
    </row>
  </sheetData>
  <mergeCells count="1">
    <mergeCell ref="AD10:AL10"/>
  </mergeCells>
  <pageMargins left="0.25" right="0.25" top="0.5" bottom="0.25" header="0" footer="0.25"/>
  <pageSetup scale="44" firstPageNumber="31" orientation="landscape" useFirstPageNumber="1" r:id="rId1"/>
  <headerFooter scaleWithDoc="0" alignWithMargins="0">
    <oddFooter>&amp;C&amp;8&amp;P</oddFooter>
  </headerFooter>
  <rowBreaks count="1" manualBreakCount="1">
    <brk id="65" min="1" max="37" man="1"/>
  </rowBreaks>
  <ignoredErrors>
    <ignoredError sqref="AL39 AL32:AL35 AL37 AL94 AL96:AL100 AL89:AL90 AL86:AL87 AL92:AL93 AL79 AL84 AL85 AL80:AL83 AL76 AL23 AL31 AL28 AL20 AL29:AL30 AL24 AL26:AL27 AL22 AL78" unlockedFormula="1"/>
    <ignoredError sqref="AL46 AL25 AL64 AL62 AL63 AL72:AL73 AL69:AL70 AL71 AL65:AL67 AL61 AL52" formula="1" unlockedFormula="1"/>
    <ignoredError sqref="AL48:AL49 AL53:AL54 AL51 AL57:AL59 AL60 AL74"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O90"/>
  <sheetViews>
    <sheetView showGridLines="0" zoomScale="80" zoomScaleNormal="50" workbookViewId="0"/>
  </sheetViews>
  <sheetFormatPr defaultColWidth="8.6640625" defaultRowHeight="15"/>
  <cols>
    <col min="1" max="1" width="2.5546875" style="1090" customWidth="1"/>
    <col min="2" max="2" width="14.109375" style="1090" customWidth="1"/>
    <col min="3" max="3" width="26.5546875" style="1090" customWidth="1"/>
    <col min="4" max="4" width="2.109375" style="1090" customWidth="1"/>
    <col min="5" max="5" width="11.109375" style="1090" customWidth="1"/>
    <col min="6" max="6" width="1.6640625" style="1090" customWidth="1"/>
    <col min="7" max="7" width="11" style="1090" bestFit="1" customWidth="1"/>
    <col min="8" max="8" width="1.6640625" style="1090" customWidth="1"/>
    <col min="9" max="9" width="11" style="1090" bestFit="1" customWidth="1"/>
    <col min="10" max="10" width="1.6640625" style="1090" customWidth="1"/>
    <col min="11" max="11" width="12.109375" style="1090" customWidth="1"/>
    <col min="12" max="12" width="1.6640625" style="1090" customWidth="1"/>
    <col min="13" max="13" width="11" style="1090" customWidth="1"/>
    <col min="14" max="14" width="1.6640625" style="1090" customWidth="1"/>
    <col min="15" max="15" width="13.6640625" style="1090" customWidth="1"/>
    <col min="16" max="16" width="1.6640625" style="1090" customWidth="1"/>
    <col min="17" max="17" width="12.44140625" style="1090" customWidth="1"/>
    <col min="18" max="18" width="1.6640625" style="1090" customWidth="1"/>
    <col min="19" max="19" width="12.5546875" style="1090" customWidth="1"/>
    <col min="20" max="20" width="1.6640625" style="1090" customWidth="1"/>
    <col min="21" max="21" width="10.6640625" style="1090" customWidth="1"/>
    <col min="22" max="22" width="1.6640625" style="1090" customWidth="1"/>
    <col min="23" max="23" width="10.5546875" style="1090" customWidth="1"/>
    <col min="24" max="24" width="1.6640625" style="1090" customWidth="1"/>
    <col min="25" max="25" width="10.6640625" style="1090" customWidth="1"/>
    <col min="26" max="26" width="1.6640625" style="1090" customWidth="1"/>
    <col min="27" max="27" width="11.6640625" style="1090" customWidth="1"/>
    <col min="28" max="29" width="1.6640625" style="1090" customWidth="1"/>
    <col min="30" max="30" width="10.5546875" style="1090" customWidth="1"/>
    <col min="31" max="32" width="1" style="1090" customWidth="1"/>
    <col min="33" max="33" width="12.6640625" style="1090" customWidth="1"/>
    <col min="34" max="35" width="1" style="1090" customWidth="1"/>
    <col min="36" max="36" width="13.109375" style="1090" bestFit="1" customWidth="1"/>
    <col min="37" max="37" width="1.109375" style="1090" customWidth="1"/>
    <col min="38" max="38" width="11.5546875" style="1090" customWidth="1"/>
    <col min="39" max="16384" width="8.6640625" style="1090"/>
  </cols>
  <sheetData>
    <row r="1" spans="1:39">
      <c r="B1" s="1501" t="s">
        <v>963</v>
      </c>
    </row>
    <row r="2" spans="1:39">
      <c r="B2" s="3698"/>
    </row>
    <row r="3" spans="1:39" ht="19.5" customHeight="1">
      <c r="A3" s="3699"/>
      <c r="B3" s="191" t="s">
        <v>0</v>
      </c>
      <c r="C3" s="1091"/>
      <c r="D3" s="1091"/>
      <c r="E3" s="1091"/>
      <c r="F3" s="1092"/>
      <c r="G3" s="1092"/>
      <c r="H3" s="1092"/>
      <c r="I3" s="1092"/>
      <c r="J3" s="1092"/>
      <c r="K3" s="1092"/>
      <c r="L3" s="1092"/>
      <c r="M3" s="1092"/>
      <c r="N3" s="1092"/>
      <c r="O3" s="1092"/>
      <c r="P3" s="1092"/>
      <c r="Q3" s="1092"/>
      <c r="R3" s="1092"/>
      <c r="S3" s="3700"/>
      <c r="T3" s="1092"/>
      <c r="U3" s="1092"/>
      <c r="V3" s="1092"/>
      <c r="W3" s="1092"/>
      <c r="X3" s="1092"/>
      <c r="Y3" s="1092"/>
      <c r="Z3" s="1092"/>
      <c r="AA3" s="1092"/>
      <c r="AB3" s="1092"/>
      <c r="AC3" s="1092"/>
      <c r="AD3" s="1092"/>
      <c r="AE3" s="1092"/>
      <c r="AF3" s="1092"/>
      <c r="AG3" s="1092"/>
      <c r="AH3" s="1092"/>
      <c r="AI3" s="1092"/>
      <c r="AL3" s="3250" t="s">
        <v>194</v>
      </c>
    </row>
    <row r="4" spans="1:39" ht="19.5" customHeight="1">
      <c r="A4" s="3699"/>
      <c r="B4" s="191" t="s">
        <v>211</v>
      </c>
      <c r="C4" s="1091"/>
      <c r="D4" s="1091"/>
      <c r="E4" s="1091"/>
      <c r="F4" s="1092"/>
      <c r="G4" s="1092"/>
      <c r="H4" s="1092"/>
      <c r="I4" s="1092"/>
      <c r="J4" s="1092"/>
      <c r="K4" s="1092"/>
      <c r="L4" s="1092"/>
      <c r="M4" s="1092"/>
      <c r="N4" s="1092"/>
      <c r="O4" s="1092"/>
      <c r="P4" s="1092"/>
      <c r="Q4" s="1092"/>
      <c r="R4" s="1092"/>
      <c r="S4" s="1092"/>
      <c r="T4" s="1092"/>
      <c r="U4" s="1092"/>
      <c r="V4" s="1092"/>
      <c r="W4" s="1092"/>
      <c r="X4" s="1092"/>
      <c r="Y4" s="1092"/>
      <c r="Z4" s="1092"/>
      <c r="AA4" s="1092"/>
      <c r="AB4" s="1092"/>
      <c r="AC4" s="1092"/>
      <c r="AE4" s="3206"/>
      <c r="AF4" s="3206"/>
    </row>
    <row r="5" spans="1:39" ht="19.5" customHeight="1">
      <c r="A5" s="3699"/>
      <c r="B5" s="3701" t="s">
        <v>148</v>
      </c>
      <c r="C5" s="1091"/>
      <c r="D5" s="1091"/>
      <c r="E5" s="1091"/>
      <c r="F5" s="1092"/>
      <c r="G5" s="1092"/>
      <c r="H5" s="1092"/>
      <c r="I5" s="1092"/>
      <c r="J5" s="1092"/>
      <c r="K5" s="1092"/>
      <c r="L5" s="1092"/>
      <c r="M5" s="1092"/>
      <c r="N5" s="1092"/>
      <c r="O5" s="1092"/>
      <c r="P5" s="1092"/>
      <c r="Q5" s="1092"/>
      <c r="R5" s="1092"/>
      <c r="S5" s="1092"/>
      <c r="T5" s="1092"/>
      <c r="U5" s="1092"/>
      <c r="V5" s="1092"/>
      <c r="W5" s="1092"/>
      <c r="X5" s="1092"/>
      <c r="Y5" s="1092"/>
      <c r="Z5" s="1092"/>
      <c r="AA5" s="1092"/>
      <c r="AB5" s="1092"/>
      <c r="AC5" s="1092"/>
      <c r="AD5" s="1092"/>
      <c r="AE5" s="1092"/>
      <c r="AF5" s="1092"/>
      <c r="AG5" s="1092"/>
      <c r="AH5" s="1092"/>
      <c r="AI5" s="1092"/>
      <c r="AL5" s="3250"/>
    </row>
    <row r="6" spans="1:39" ht="19.5" customHeight="1">
      <c r="A6" s="3699"/>
      <c r="B6" s="3701" t="str">
        <f>'Cashflow Governmental'!A6</f>
        <v xml:space="preserve">FISCAL YEAR 2020-2021   </v>
      </c>
      <c r="C6" s="3702"/>
      <c r="D6" s="1091"/>
      <c r="E6" s="1091"/>
      <c r="F6" s="1092"/>
      <c r="G6" s="1092"/>
      <c r="H6" s="1093"/>
      <c r="I6" s="1092"/>
      <c r="J6" s="1092"/>
      <c r="K6" s="1092"/>
      <c r="L6" s="1092"/>
      <c r="M6" s="1092"/>
      <c r="N6" s="1092"/>
      <c r="O6" s="1092"/>
      <c r="P6" s="1092"/>
      <c r="Q6" s="1092"/>
      <c r="R6" s="1092"/>
      <c r="S6" s="1092"/>
      <c r="T6" s="1092"/>
      <c r="U6" s="1092"/>
      <c r="V6" s="1092"/>
      <c r="W6" s="1092"/>
      <c r="X6" s="1092"/>
      <c r="Y6" s="1092"/>
      <c r="Z6" s="1092"/>
      <c r="AA6" s="1092"/>
      <c r="AB6" s="1092"/>
      <c r="AC6" s="1092"/>
      <c r="AD6" s="1092"/>
      <c r="AE6" s="1097"/>
      <c r="AF6" s="1097"/>
      <c r="AG6" s="1097"/>
      <c r="AH6" s="1097"/>
      <c r="AI6" s="1097"/>
    </row>
    <row r="7" spans="1:39" ht="19.5" customHeight="1">
      <c r="A7" s="3699"/>
      <c r="B7" s="191" t="s">
        <v>1364</v>
      </c>
      <c r="C7" s="1091"/>
      <c r="D7" s="1091"/>
      <c r="E7" s="1091"/>
      <c r="F7" s="1092"/>
      <c r="G7" s="1092"/>
      <c r="H7" s="1093"/>
      <c r="I7" s="1092"/>
      <c r="J7" s="1092"/>
      <c r="K7" s="1092"/>
      <c r="L7" s="1092"/>
      <c r="M7" s="1092"/>
      <c r="N7" s="1092"/>
      <c r="O7" s="1092"/>
      <c r="P7" s="1092"/>
      <c r="Q7" s="1092"/>
      <c r="R7" s="1092"/>
      <c r="S7" s="1092"/>
      <c r="T7" s="1092"/>
      <c r="U7" s="1092"/>
      <c r="V7" s="1092"/>
      <c r="W7" s="1092"/>
      <c r="X7" s="1092"/>
      <c r="Y7" s="1092"/>
      <c r="Z7" s="1092"/>
      <c r="AA7" s="1092"/>
      <c r="AB7" s="1092"/>
      <c r="AC7" s="1092"/>
      <c r="AD7" s="1092"/>
      <c r="AE7" s="1097"/>
      <c r="AF7" s="1097"/>
      <c r="AG7" s="1097"/>
      <c r="AH7" s="1097"/>
      <c r="AI7" s="1097"/>
    </row>
    <row r="8" spans="1:39" ht="19.5" customHeight="1">
      <c r="A8" s="3699"/>
      <c r="B8" s="3703"/>
      <c r="C8" s="1091"/>
      <c r="D8" s="1091"/>
      <c r="E8" s="1091"/>
      <c r="F8" s="1092"/>
      <c r="G8" s="1092"/>
      <c r="H8" s="1093"/>
      <c r="I8" s="1092"/>
      <c r="J8" s="1092"/>
      <c r="K8" s="1092"/>
      <c r="L8" s="1092"/>
      <c r="M8" s="1092"/>
      <c r="N8" s="1092"/>
      <c r="O8" s="1092"/>
      <c r="P8" s="1092"/>
      <c r="Q8" s="1092"/>
      <c r="R8" s="1092"/>
      <c r="S8" s="1092"/>
      <c r="T8" s="1092"/>
      <c r="U8" s="1092"/>
      <c r="V8" s="1092"/>
      <c r="W8" s="1092"/>
      <c r="X8" s="1092"/>
      <c r="Y8" s="1092"/>
      <c r="Z8" s="1092"/>
      <c r="AA8" s="1092"/>
      <c r="AB8" s="1092"/>
      <c r="AC8" s="1092"/>
      <c r="AD8" s="1092"/>
      <c r="AE8" s="1097"/>
      <c r="AF8" s="1097"/>
      <c r="AG8" s="1097"/>
      <c r="AH8" s="1097"/>
      <c r="AI8" s="1097"/>
    </row>
    <row r="9" spans="1:39" ht="15.75" customHeight="1">
      <c r="A9" s="3699"/>
      <c r="B9" s="191"/>
      <c r="C9" s="1091"/>
      <c r="D9" s="1091"/>
      <c r="E9" s="1091"/>
      <c r="F9" s="1092"/>
      <c r="G9" s="1092"/>
      <c r="H9" s="1092"/>
      <c r="I9" s="1092"/>
      <c r="J9" s="1092"/>
      <c r="K9" s="1092"/>
      <c r="L9" s="1092"/>
      <c r="M9" s="1092"/>
      <c r="N9" s="1092"/>
      <c r="O9" s="1092"/>
      <c r="P9" s="1092"/>
      <c r="Q9" s="1092"/>
      <c r="R9" s="1092"/>
      <c r="S9" s="1092"/>
      <c r="T9" s="1092"/>
      <c r="U9" s="1092"/>
      <c r="V9" s="1092"/>
      <c r="W9" s="1092"/>
      <c r="X9" s="1092"/>
      <c r="Y9" s="1092"/>
      <c r="Z9" s="1092"/>
      <c r="AA9" s="1092"/>
      <c r="AB9" s="1092"/>
      <c r="AC9" s="1098"/>
    </row>
    <row r="10" spans="1:39" ht="23.25">
      <c r="A10" s="3699"/>
      <c r="B10" s="191"/>
      <c r="C10" s="1091"/>
      <c r="D10" s="1091"/>
      <c r="E10" s="1091"/>
      <c r="F10" s="1092"/>
      <c r="G10" s="1092"/>
      <c r="H10" s="1092"/>
      <c r="I10" s="1092"/>
      <c r="J10" s="1092"/>
      <c r="K10" s="1092"/>
      <c r="L10" s="1092"/>
      <c r="M10" s="1092"/>
      <c r="N10" s="1092"/>
      <c r="O10" s="1092"/>
      <c r="P10" s="1092"/>
      <c r="Q10" s="1092"/>
      <c r="R10" s="1092"/>
      <c r="S10" s="1092"/>
      <c r="T10" s="1092"/>
      <c r="U10" s="1092"/>
      <c r="V10" s="1092"/>
      <c r="W10" s="1092"/>
      <c r="X10" s="1092"/>
      <c r="Y10" s="1092"/>
      <c r="Z10" s="1092"/>
      <c r="AA10" s="1092"/>
      <c r="AB10" s="1092"/>
      <c r="AC10" s="1098"/>
      <c r="AD10" s="3961" t="s">
        <v>1558</v>
      </c>
      <c r="AE10" s="3962"/>
      <c r="AF10" s="3962"/>
      <c r="AG10" s="3962"/>
      <c r="AH10" s="3962"/>
      <c r="AI10" s="3962"/>
      <c r="AJ10" s="3962"/>
      <c r="AK10" s="3962"/>
      <c r="AL10" s="3962"/>
    </row>
    <row r="11" spans="1:39" ht="15.75">
      <c r="A11" s="1110"/>
      <c r="B11" s="1110"/>
      <c r="C11" s="1110"/>
      <c r="D11" s="1110"/>
      <c r="E11" s="741" t="str">
        <f>'Cashflow Governmental'!C13</f>
        <v>2020</v>
      </c>
      <c r="F11" s="1094"/>
      <c r="G11" s="1094"/>
      <c r="H11" s="1094"/>
      <c r="I11" s="1094"/>
      <c r="J11" s="1094"/>
      <c r="K11" s="1094"/>
      <c r="L11" s="1094"/>
      <c r="M11" s="1094"/>
      <c r="N11" s="1094"/>
      <c r="O11" s="1094"/>
      <c r="P11" s="1094"/>
      <c r="Q11" s="1094"/>
      <c r="R11" s="1094"/>
      <c r="S11" s="1094"/>
      <c r="T11" s="1094"/>
      <c r="U11" s="1094"/>
      <c r="V11" s="1094"/>
      <c r="W11" s="741">
        <f>'Cashflow Governmental'!U13</f>
        <v>2021</v>
      </c>
      <c r="X11" s="1094"/>
      <c r="Y11" s="1094"/>
      <c r="Z11" s="1094"/>
      <c r="AA11" s="1094"/>
      <c r="AB11" s="1094"/>
      <c r="AC11" s="1094"/>
      <c r="AD11" s="1099"/>
      <c r="AE11" s="1099"/>
      <c r="AF11" s="1099"/>
      <c r="AG11" s="1099"/>
      <c r="AH11" s="1099"/>
      <c r="AI11" s="1099"/>
      <c r="AJ11" s="1100" t="s">
        <v>8</v>
      </c>
      <c r="AK11" s="1100"/>
      <c r="AL11" s="3704" t="s">
        <v>9</v>
      </c>
      <c r="AM11" s="3705"/>
    </row>
    <row r="12" spans="1:39" ht="15.75">
      <c r="A12" s="107"/>
      <c r="B12" s="107"/>
      <c r="C12" s="107"/>
      <c r="D12" s="107"/>
      <c r="E12" s="761" t="s">
        <v>124</v>
      </c>
      <c r="F12" s="105"/>
      <c r="G12" s="761" t="s">
        <v>125</v>
      </c>
      <c r="H12" s="105"/>
      <c r="I12" s="761" t="s">
        <v>126</v>
      </c>
      <c r="J12" s="105"/>
      <c r="K12" s="761" t="s">
        <v>127</v>
      </c>
      <c r="L12" s="105"/>
      <c r="M12" s="761" t="s">
        <v>128</v>
      </c>
      <c r="N12" s="105"/>
      <c r="O12" s="761" t="s">
        <v>143</v>
      </c>
      <c r="P12" s="105"/>
      <c r="Q12" s="761" t="s">
        <v>144</v>
      </c>
      <c r="R12" s="105"/>
      <c r="S12" s="761" t="s">
        <v>131</v>
      </c>
      <c r="T12" s="105"/>
      <c r="U12" s="761" t="s">
        <v>132</v>
      </c>
      <c r="V12" s="105"/>
      <c r="W12" s="761" t="s">
        <v>133</v>
      </c>
      <c r="X12" s="105"/>
      <c r="Y12" s="761" t="s">
        <v>134</v>
      </c>
      <c r="Z12" s="105"/>
      <c r="AA12" s="761" t="s">
        <v>185</v>
      </c>
      <c r="AB12" s="105"/>
      <c r="AC12" s="105"/>
      <c r="AD12" s="761">
        <f>'Cashflow Governmental'!AB14</f>
        <v>2021</v>
      </c>
      <c r="AE12" s="105" t="s">
        <v>15</v>
      </c>
      <c r="AF12" s="105"/>
      <c r="AG12" s="761">
        <f>'Cashflow Governmental'!AE14</f>
        <v>2020</v>
      </c>
      <c r="AH12" s="762"/>
      <c r="AI12" s="762"/>
      <c r="AJ12" s="1101" t="s">
        <v>12</v>
      </c>
      <c r="AK12" s="3706"/>
      <c r="AL12" s="1101" t="s">
        <v>13</v>
      </c>
      <c r="AM12" s="3705"/>
    </row>
    <row r="13" spans="1:39" ht="5.25" customHeight="1">
      <c r="A13" s="107"/>
      <c r="B13" s="105"/>
      <c r="C13" s="105"/>
      <c r="D13" s="107"/>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071"/>
      <c r="AD13" s="140"/>
      <c r="AE13" s="140"/>
      <c r="AF13" s="3183"/>
      <c r="AG13" s="140"/>
      <c r="AH13" s="140"/>
      <c r="AI13" s="990"/>
      <c r="AJ13" s="1102"/>
      <c r="AK13" s="1102"/>
      <c r="AL13" s="1102"/>
    </row>
    <row r="14" spans="1:39" ht="15.75">
      <c r="A14" s="107"/>
      <c r="B14" s="261" t="s">
        <v>1222</v>
      </c>
      <c r="C14" s="105"/>
      <c r="D14" s="1847"/>
      <c r="E14" s="306">
        <v>-562.70000000000005</v>
      </c>
      <c r="F14" s="140"/>
      <c r="G14" s="306">
        <f>E82</f>
        <v>-556.6</v>
      </c>
      <c r="H14" s="140"/>
      <c r="I14" s="135">
        <f>G82</f>
        <v>-567.9</v>
      </c>
      <c r="J14" s="140"/>
      <c r="K14" s="135">
        <f>I82</f>
        <v>-578.6</v>
      </c>
      <c r="L14" s="140"/>
      <c r="M14" s="135">
        <f>K82</f>
        <v>-541.20000000000005</v>
      </c>
      <c r="N14" s="140"/>
      <c r="O14" s="135">
        <f>M82</f>
        <v>-515.6</v>
      </c>
      <c r="P14" s="140"/>
      <c r="Q14" s="135">
        <f>O82</f>
        <v>-553.29999999999995</v>
      </c>
      <c r="R14" s="894"/>
      <c r="S14" s="135">
        <f>Q82</f>
        <v>-539.6</v>
      </c>
      <c r="T14" s="1879"/>
      <c r="U14" s="135">
        <f>S82</f>
        <v>-459</v>
      </c>
      <c r="V14" s="894"/>
      <c r="W14" s="135">
        <f>U82</f>
        <v>-351.7</v>
      </c>
      <c r="X14" s="894"/>
      <c r="Y14" s="135"/>
      <c r="Z14" s="1879"/>
      <c r="AA14" s="135"/>
      <c r="AB14" s="140"/>
      <c r="AC14" s="1071"/>
      <c r="AD14" s="1852">
        <f>E14</f>
        <v>-562.70000000000005</v>
      </c>
      <c r="AE14" s="140"/>
      <c r="AF14" s="3183"/>
      <c r="AG14" s="1852">
        <v>-504.7</v>
      </c>
      <c r="AH14" s="140"/>
      <c r="AI14" s="990"/>
      <c r="AJ14" s="1853">
        <f>+AD14-AG14</f>
        <v>-58.000000000000057</v>
      </c>
      <c r="AK14" s="1102"/>
      <c r="AL14" s="3707">
        <f>-ROUND((+AJ14/AG14),3)</f>
        <v>-0.115</v>
      </c>
    </row>
    <row r="15" spans="1:39" ht="15.75">
      <c r="A15" s="107"/>
      <c r="B15" s="105"/>
      <c r="C15" s="105"/>
      <c r="D15" s="107"/>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071"/>
      <c r="AD15" s="140"/>
      <c r="AE15" s="140"/>
      <c r="AF15" s="3183"/>
      <c r="AG15" s="140"/>
      <c r="AH15" s="140"/>
      <c r="AI15" s="990"/>
      <c r="AJ15" s="1102"/>
      <c r="AK15" s="1102"/>
      <c r="AL15" s="1102"/>
    </row>
    <row r="16" spans="1:39" ht="15.75">
      <c r="A16" s="107"/>
      <c r="B16" s="105" t="s">
        <v>195</v>
      </c>
      <c r="C16" s="107"/>
      <c r="D16" s="107"/>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071"/>
      <c r="AD16" s="140"/>
      <c r="AE16" s="117"/>
      <c r="AF16" s="3183"/>
      <c r="AG16" s="140"/>
      <c r="AH16" s="140"/>
      <c r="AI16" s="990"/>
      <c r="AJ16" s="1102"/>
      <c r="AK16" s="1102"/>
      <c r="AL16" s="1102"/>
    </row>
    <row r="17" spans="1:38" ht="15.75">
      <c r="A17" s="107"/>
      <c r="B17" s="892" t="s">
        <v>1014</v>
      </c>
      <c r="C17" s="107"/>
      <c r="D17" s="107"/>
      <c r="E17" s="1080"/>
      <c r="F17" s="118"/>
      <c r="G17" s="1080"/>
      <c r="H17" s="118"/>
      <c r="I17" s="1080"/>
      <c r="J17" s="118"/>
      <c r="K17" s="1080"/>
      <c r="L17" s="118"/>
      <c r="M17" s="118"/>
      <c r="N17" s="118"/>
      <c r="O17" s="1080"/>
      <c r="P17" s="118"/>
      <c r="Q17" s="1080"/>
      <c r="R17" s="118"/>
      <c r="S17" s="1080"/>
      <c r="T17" s="118"/>
      <c r="U17" s="1080"/>
      <c r="V17" s="118"/>
      <c r="W17" s="1080"/>
      <c r="X17" s="118"/>
      <c r="Y17" s="1080"/>
      <c r="Z17" s="118"/>
      <c r="AA17" s="1080"/>
      <c r="AB17" s="118"/>
      <c r="AC17" s="678"/>
      <c r="AD17" s="3207"/>
      <c r="AE17" s="1081"/>
      <c r="AF17" s="67"/>
      <c r="AG17" s="118"/>
      <c r="AH17" s="119"/>
      <c r="AI17" s="1082"/>
      <c r="AJ17" s="119"/>
      <c r="AK17" s="1083"/>
      <c r="AL17" s="1084"/>
    </row>
    <row r="18" spans="1:38" ht="15.75">
      <c r="A18" s="107"/>
      <c r="B18" s="892" t="s">
        <v>1133</v>
      </c>
      <c r="C18" s="107"/>
      <c r="D18" s="107"/>
      <c r="E18" s="1080"/>
      <c r="F18" s="118"/>
      <c r="G18" s="1080"/>
      <c r="H18" s="118"/>
      <c r="I18" s="1080"/>
      <c r="J18" s="118"/>
      <c r="K18" s="1080"/>
      <c r="L18" s="118"/>
      <c r="M18" s="118"/>
      <c r="N18" s="118"/>
      <c r="O18" s="1080"/>
      <c r="P18" s="118"/>
      <c r="Q18" s="1080"/>
      <c r="R18" s="118"/>
      <c r="S18" s="1080"/>
      <c r="T18" s="118"/>
      <c r="U18" s="1080"/>
      <c r="V18" s="118"/>
      <c r="W18" s="1080"/>
      <c r="X18" s="118"/>
      <c r="Y18" s="1080"/>
      <c r="Z18" s="118"/>
      <c r="AA18" s="1080"/>
      <c r="AB18" s="118"/>
      <c r="AC18" s="678"/>
      <c r="AD18" s="3207"/>
      <c r="AE18" s="1085"/>
      <c r="AF18" s="67"/>
      <c r="AG18" s="118"/>
      <c r="AH18" s="119"/>
      <c r="AI18" s="1082"/>
      <c r="AJ18" s="119"/>
      <c r="AK18" s="1083"/>
      <c r="AL18" s="1727"/>
    </row>
    <row r="19" spans="1:38" s="993" customFormat="1">
      <c r="A19" s="994"/>
      <c r="B19" s="892" t="s">
        <v>1048</v>
      </c>
      <c r="C19" s="994"/>
      <c r="D19" s="994"/>
      <c r="E19" s="1539">
        <v>0</v>
      </c>
      <c r="F19" s="895"/>
      <c r="G19" s="1539">
        <v>0</v>
      </c>
      <c r="H19" s="895"/>
      <c r="I19" s="1539">
        <v>0</v>
      </c>
      <c r="J19" s="895"/>
      <c r="K19" s="1539">
        <v>0</v>
      </c>
      <c r="L19" s="895"/>
      <c r="M19" s="1539">
        <v>0</v>
      </c>
      <c r="N19" s="895"/>
      <c r="O19" s="1539">
        <v>0</v>
      </c>
      <c r="P19" s="895"/>
      <c r="Q19" s="1539">
        <v>0</v>
      </c>
      <c r="R19" s="895"/>
      <c r="S19" s="1539">
        <v>0</v>
      </c>
      <c r="T19" s="1414"/>
      <c r="U19" s="1539">
        <v>0</v>
      </c>
      <c r="V19" s="895"/>
      <c r="W19" s="1539">
        <f>$AD19-$E19-$G19-$I19-$K19-$M19-$O19-$Q19-$S19-$U19</f>
        <v>0</v>
      </c>
      <c r="X19" s="895"/>
      <c r="Y19" s="1539"/>
      <c r="Z19" s="895"/>
      <c r="AA19" s="1539"/>
      <c r="AB19" s="895"/>
      <c r="AC19" s="1415"/>
      <c r="AD19" s="1539">
        <v>0</v>
      </c>
      <c r="AE19" s="3208"/>
      <c r="AF19" s="1024"/>
      <c r="AG19" s="1539">
        <v>0</v>
      </c>
      <c r="AH19" s="684"/>
      <c r="AI19" s="1932"/>
      <c r="AJ19" s="684">
        <f>ROUND(AD19-AG19,1)</f>
        <v>0</v>
      </c>
      <c r="AK19" s="1723"/>
      <c r="AL19" s="1724">
        <f>ROUND(IF(AG19=0,0,AJ19/ABS(AG19)),3)</f>
        <v>0</v>
      </c>
    </row>
    <row r="20" spans="1:38" s="993" customFormat="1" ht="15.75">
      <c r="A20" s="994"/>
      <c r="B20" s="892" t="s">
        <v>1134</v>
      </c>
      <c r="C20" s="994"/>
      <c r="D20" s="994"/>
      <c r="E20" s="1539" t="s">
        <v>15</v>
      </c>
      <c r="F20" s="895"/>
      <c r="G20" s="1539"/>
      <c r="H20" s="895"/>
      <c r="I20" s="1539"/>
      <c r="J20" s="895"/>
      <c r="K20" s="1539"/>
      <c r="L20" s="895"/>
      <c r="M20" s="1539"/>
      <c r="N20" s="895"/>
      <c r="O20" s="1539"/>
      <c r="P20" s="895"/>
      <c r="Q20" s="1539"/>
      <c r="R20" s="895"/>
      <c r="S20" s="1539"/>
      <c r="T20" s="895"/>
      <c r="U20" s="1539"/>
      <c r="V20" s="895"/>
      <c r="W20" s="1539"/>
      <c r="X20" s="895"/>
      <c r="Y20" s="1539"/>
      <c r="Z20" s="895"/>
      <c r="AA20" s="1539"/>
      <c r="AB20" s="895"/>
      <c r="AC20" s="1415"/>
      <c r="AD20" s="895"/>
      <c r="AE20" s="3208"/>
      <c r="AF20" s="1024"/>
      <c r="AG20" s="895"/>
      <c r="AH20" s="684"/>
      <c r="AI20" s="1082"/>
      <c r="AJ20" s="684" t="s">
        <v>15</v>
      </c>
      <c r="AK20" s="1723"/>
      <c r="AL20" s="1725" t="s">
        <v>15</v>
      </c>
    </row>
    <row r="21" spans="1:38" s="993" customFormat="1" ht="15.75">
      <c r="A21" s="994"/>
      <c r="B21" s="892" t="s">
        <v>1049</v>
      </c>
      <c r="C21" s="994"/>
      <c r="D21" s="994"/>
      <c r="E21" s="1539">
        <v>0</v>
      </c>
      <c r="F21" s="895"/>
      <c r="G21" s="1539">
        <v>0</v>
      </c>
      <c r="H21" s="895"/>
      <c r="I21" s="1539">
        <v>0</v>
      </c>
      <c r="J21" s="895"/>
      <c r="K21" s="1539">
        <v>0</v>
      </c>
      <c r="L21" s="895"/>
      <c r="M21" s="1539">
        <v>0</v>
      </c>
      <c r="N21" s="895"/>
      <c r="O21" s="1539">
        <v>0</v>
      </c>
      <c r="P21" s="895"/>
      <c r="Q21" s="1539">
        <v>0</v>
      </c>
      <c r="R21" s="895"/>
      <c r="S21" s="1539">
        <v>0</v>
      </c>
      <c r="T21" s="1539"/>
      <c r="U21" s="1539">
        <v>0</v>
      </c>
      <c r="V21" s="895"/>
      <c r="W21" s="1539">
        <f t="shared" ref="W21:W41" si="0">$AD21-$E21-$G21-$I21-$K21-$M21-$O21-$Q21-$S21-$U21</f>
        <v>0</v>
      </c>
      <c r="X21" s="895"/>
      <c r="Y21" s="1539"/>
      <c r="Z21" s="895"/>
      <c r="AA21" s="1539"/>
      <c r="AB21" s="895"/>
      <c r="AC21" s="1415"/>
      <c r="AD21" s="1539">
        <v>0</v>
      </c>
      <c r="AE21" s="3208"/>
      <c r="AF21" s="1024"/>
      <c r="AG21" s="1539">
        <v>0</v>
      </c>
      <c r="AH21" s="684"/>
      <c r="AI21" s="1082"/>
      <c r="AJ21" s="684">
        <f t="shared" ref="AJ21:AJ41" si="1">ROUND(AD21-AG21,1)</f>
        <v>0</v>
      </c>
      <c r="AK21" s="1723"/>
      <c r="AL21" s="1725">
        <f>ROUND(IF(AG21=0,0,AJ21/ABS(AG21)),3)</f>
        <v>0</v>
      </c>
    </row>
    <row r="22" spans="1:38" s="993" customFormat="1" ht="15.75">
      <c r="A22" s="994"/>
      <c r="B22" s="892" t="s">
        <v>1139</v>
      </c>
      <c r="C22" s="994"/>
      <c r="D22" s="994"/>
      <c r="E22" s="1539" t="s">
        <v>15</v>
      </c>
      <c r="F22" s="895"/>
      <c r="G22" s="1539"/>
      <c r="H22" s="895"/>
      <c r="I22" s="1539"/>
      <c r="J22" s="895"/>
      <c r="K22" s="1539"/>
      <c r="L22" s="895"/>
      <c r="M22" s="1539"/>
      <c r="N22" s="895"/>
      <c r="O22" s="1539"/>
      <c r="P22" s="895"/>
      <c r="Q22" s="1539"/>
      <c r="R22" s="895"/>
      <c r="S22" s="1539"/>
      <c r="T22" s="895"/>
      <c r="U22" s="1539"/>
      <c r="V22" s="895"/>
      <c r="W22" s="1539"/>
      <c r="X22" s="895"/>
      <c r="Y22" s="1539"/>
      <c r="Z22" s="895"/>
      <c r="AA22" s="1539"/>
      <c r="AB22" s="895"/>
      <c r="AC22" s="1415"/>
      <c r="AD22" s="895"/>
      <c r="AE22" s="3208"/>
      <c r="AF22" s="1024"/>
      <c r="AG22" s="895"/>
      <c r="AH22" s="684"/>
      <c r="AI22" s="1082"/>
      <c r="AJ22" s="684" t="s">
        <v>15</v>
      </c>
      <c r="AK22" s="1723"/>
      <c r="AL22" s="1725" t="s">
        <v>15</v>
      </c>
    </row>
    <row r="23" spans="1:38" s="993" customFormat="1" ht="15.75">
      <c r="A23" s="994"/>
      <c r="B23" s="892" t="s">
        <v>1053</v>
      </c>
      <c r="C23" s="994"/>
      <c r="D23" s="994"/>
      <c r="E23" s="1539">
        <v>0</v>
      </c>
      <c r="F23" s="895"/>
      <c r="G23" s="1539">
        <v>0</v>
      </c>
      <c r="H23" s="895"/>
      <c r="I23" s="1539">
        <v>0</v>
      </c>
      <c r="J23" s="895"/>
      <c r="K23" s="1539">
        <v>0</v>
      </c>
      <c r="L23" s="895"/>
      <c r="M23" s="1539">
        <v>0</v>
      </c>
      <c r="N23" s="895"/>
      <c r="O23" s="1539">
        <v>0</v>
      </c>
      <c r="P23" s="895"/>
      <c r="Q23" s="1539">
        <v>0</v>
      </c>
      <c r="R23" s="895"/>
      <c r="S23" s="1539">
        <v>0</v>
      </c>
      <c r="T23" s="1539"/>
      <c r="U23" s="1539">
        <v>0</v>
      </c>
      <c r="V23" s="895"/>
      <c r="W23" s="1539">
        <f t="shared" si="0"/>
        <v>0</v>
      </c>
      <c r="X23" s="895"/>
      <c r="Y23" s="1539"/>
      <c r="Z23" s="895"/>
      <c r="AA23" s="1539"/>
      <c r="AB23" s="895"/>
      <c r="AC23" s="1415"/>
      <c r="AD23" s="1539">
        <v>0</v>
      </c>
      <c r="AE23" s="3208"/>
      <c r="AF23" s="1024"/>
      <c r="AG23" s="1539">
        <v>0</v>
      </c>
      <c r="AH23" s="684"/>
      <c r="AI23" s="1082"/>
      <c r="AJ23" s="684">
        <f t="shared" si="1"/>
        <v>0</v>
      </c>
      <c r="AK23" s="1723"/>
      <c r="AL23" s="1725">
        <f t="shared" ref="AL23:AL28" si="2">ROUND(IF(AG23=0,0,AJ23/ABS(AG23)),3)</f>
        <v>0</v>
      </c>
    </row>
    <row r="24" spans="1:38" s="993" customFormat="1" ht="15.75">
      <c r="A24" s="994"/>
      <c r="B24" s="892" t="s">
        <v>1196</v>
      </c>
      <c r="C24" s="994"/>
      <c r="D24" s="994"/>
      <c r="E24" s="1539">
        <v>0</v>
      </c>
      <c r="F24" s="895"/>
      <c r="G24" s="1539">
        <v>0</v>
      </c>
      <c r="H24" s="895"/>
      <c r="I24" s="1539">
        <v>0</v>
      </c>
      <c r="J24" s="895"/>
      <c r="K24" s="1539">
        <v>0</v>
      </c>
      <c r="L24" s="895"/>
      <c r="M24" s="1539">
        <v>0</v>
      </c>
      <c r="N24" s="895"/>
      <c r="O24" s="1539">
        <v>0</v>
      </c>
      <c r="P24" s="895"/>
      <c r="Q24" s="1539">
        <v>0</v>
      </c>
      <c r="R24" s="895"/>
      <c r="S24" s="1539">
        <v>0</v>
      </c>
      <c r="T24" s="1539"/>
      <c r="U24" s="1539">
        <v>0</v>
      </c>
      <c r="V24" s="895"/>
      <c r="W24" s="1539">
        <f t="shared" si="0"/>
        <v>0</v>
      </c>
      <c r="X24" s="895"/>
      <c r="Y24" s="1539"/>
      <c r="Z24" s="895"/>
      <c r="AA24" s="1539"/>
      <c r="AB24" s="895"/>
      <c r="AC24" s="1415"/>
      <c r="AD24" s="1539">
        <v>0</v>
      </c>
      <c r="AE24" s="3208"/>
      <c r="AF24" s="1024"/>
      <c r="AG24" s="1539">
        <v>0</v>
      </c>
      <c r="AH24" s="684"/>
      <c r="AI24" s="1082"/>
      <c r="AJ24" s="684">
        <f>ROUND(AD24-AG24,1)</f>
        <v>0</v>
      </c>
      <c r="AK24" s="1723"/>
      <c r="AL24" s="1725">
        <f t="shared" si="2"/>
        <v>0</v>
      </c>
    </row>
    <row r="25" spans="1:38" s="993" customFormat="1" ht="15.75">
      <c r="A25" s="994"/>
      <c r="B25" s="892" t="s">
        <v>1056</v>
      </c>
      <c r="C25" s="994"/>
      <c r="D25" s="994"/>
      <c r="E25" s="1539">
        <v>0</v>
      </c>
      <c r="F25" s="895"/>
      <c r="G25" s="1539">
        <v>0</v>
      </c>
      <c r="H25" s="895"/>
      <c r="I25" s="1539">
        <v>0</v>
      </c>
      <c r="J25" s="895"/>
      <c r="K25" s="1539">
        <v>0</v>
      </c>
      <c r="L25" s="895"/>
      <c r="M25" s="1539">
        <v>0</v>
      </c>
      <c r="N25" s="895"/>
      <c r="O25" s="1539">
        <v>0</v>
      </c>
      <c r="P25" s="895"/>
      <c r="Q25" s="1539">
        <v>0</v>
      </c>
      <c r="R25" s="895"/>
      <c r="S25" s="1539">
        <v>0</v>
      </c>
      <c r="T25" s="1539"/>
      <c r="U25" s="1539">
        <v>0</v>
      </c>
      <c r="V25" s="895"/>
      <c r="W25" s="1539">
        <f t="shared" si="0"/>
        <v>0</v>
      </c>
      <c r="X25" s="895"/>
      <c r="Y25" s="1539"/>
      <c r="Z25" s="895"/>
      <c r="AA25" s="1539"/>
      <c r="AB25" s="895"/>
      <c r="AC25" s="1415"/>
      <c r="AD25" s="1539">
        <v>0</v>
      </c>
      <c r="AE25" s="3208"/>
      <c r="AF25" s="1024"/>
      <c r="AG25" s="1539">
        <v>0</v>
      </c>
      <c r="AH25" s="684"/>
      <c r="AI25" s="1082"/>
      <c r="AJ25" s="684">
        <f t="shared" si="1"/>
        <v>0</v>
      </c>
      <c r="AK25" s="1723"/>
      <c r="AL25" s="1725">
        <f t="shared" si="2"/>
        <v>0</v>
      </c>
    </row>
    <row r="26" spans="1:38" s="993" customFormat="1" ht="15.75">
      <c r="A26" s="994"/>
      <c r="B26" s="892" t="s">
        <v>1057</v>
      </c>
      <c r="C26" s="994"/>
      <c r="D26" s="994"/>
      <c r="E26" s="1539">
        <v>0</v>
      </c>
      <c r="F26" s="895"/>
      <c r="G26" s="1539">
        <v>0</v>
      </c>
      <c r="H26" s="895"/>
      <c r="I26" s="1539">
        <v>0</v>
      </c>
      <c r="J26" s="895"/>
      <c r="K26" s="1539">
        <v>0</v>
      </c>
      <c r="L26" s="895"/>
      <c r="M26" s="1539">
        <v>0</v>
      </c>
      <c r="N26" s="895"/>
      <c r="O26" s="1539">
        <v>0</v>
      </c>
      <c r="P26" s="895"/>
      <c r="Q26" s="1539">
        <v>0</v>
      </c>
      <c r="R26" s="895"/>
      <c r="S26" s="1539">
        <v>0</v>
      </c>
      <c r="T26" s="1539"/>
      <c r="U26" s="1539">
        <v>0</v>
      </c>
      <c r="V26" s="895"/>
      <c r="W26" s="1539">
        <f t="shared" si="0"/>
        <v>0</v>
      </c>
      <c r="X26" s="895"/>
      <c r="Y26" s="1539"/>
      <c r="Z26" s="895"/>
      <c r="AA26" s="1539"/>
      <c r="AB26" s="895"/>
      <c r="AC26" s="1415"/>
      <c r="AD26" s="1539">
        <v>0</v>
      </c>
      <c r="AE26" s="3208"/>
      <c r="AF26" s="1024"/>
      <c r="AG26" s="1539">
        <v>0</v>
      </c>
      <c r="AH26" s="684"/>
      <c r="AI26" s="1082"/>
      <c r="AJ26" s="684">
        <f t="shared" si="1"/>
        <v>0</v>
      </c>
      <c r="AK26" s="1723"/>
      <c r="AL26" s="1725">
        <f t="shared" si="2"/>
        <v>0</v>
      </c>
    </row>
    <row r="27" spans="1:38" s="993" customFormat="1" ht="15.75">
      <c r="A27" s="994"/>
      <c r="B27" s="892" t="s">
        <v>1015</v>
      </c>
      <c r="C27" s="994"/>
      <c r="D27" s="994"/>
      <c r="E27" s="1539">
        <v>0</v>
      </c>
      <c r="F27" s="895"/>
      <c r="G27" s="1539">
        <v>0</v>
      </c>
      <c r="H27" s="895"/>
      <c r="I27" s="1539">
        <v>0</v>
      </c>
      <c r="J27" s="895"/>
      <c r="K27" s="1539">
        <v>0</v>
      </c>
      <c r="L27" s="895"/>
      <c r="M27" s="1539">
        <v>0</v>
      </c>
      <c r="N27" s="895"/>
      <c r="O27" s="1539">
        <v>0</v>
      </c>
      <c r="P27" s="895"/>
      <c r="Q27" s="1539">
        <v>0</v>
      </c>
      <c r="R27" s="895"/>
      <c r="S27" s="1539">
        <v>0</v>
      </c>
      <c r="T27" s="1539"/>
      <c r="U27" s="1539">
        <v>0</v>
      </c>
      <c r="V27" s="895"/>
      <c r="W27" s="1539">
        <f t="shared" si="0"/>
        <v>0</v>
      </c>
      <c r="X27" s="895"/>
      <c r="Y27" s="1539"/>
      <c r="Z27" s="895"/>
      <c r="AA27" s="1539"/>
      <c r="AB27" s="895"/>
      <c r="AC27" s="1415"/>
      <c r="AD27" s="1539">
        <v>0</v>
      </c>
      <c r="AE27" s="3208"/>
      <c r="AF27" s="1024"/>
      <c r="AG27" s="1539">
        <v>0</v>
      </c>
      <c r="AH27" s="684"/>
      <c r="AI27" s="1082"/>
      <c r="AJ27" s="684">
        <f t="shared" si="1"/>
        <v>0</v>
      </c>
      <c r="AK27" s="1723"/>
      <c r="AL27" s="1725">
        <f t="shared" si="2"/>
        <v>0</v>
      </c>
    </row>
    <row r="28" spans="1:38" s="993" customFormat="1" ht="15.75">
      <c r="A28" s="994"/>
      <c r="B28" s="892" t="s">
        <v>1016</v>
      </c>
      <c r="C28" s="994"/>
      <c r="D28" s="994"/>
      <c r="E28" s="1539">
        <v>0</v>
      </c>
      <c r="F28" s="895"/>
      <c r="G28" s="1539">
        <v>0</v>
      </c>
      <c r="H28" s="895"/>
      <c r="I28" s="1539">
        <v>0</v>
      </c>
      <c r="J28" s="895"/>
      <c r="K28" s="1539">
        <v>0</v>
      </c>
      <c r="L28" s="895"/>
      <c r="M28" s="1539">
        <v>0</v>
      </c>
      <c r="N28" s="895"/>
      <c r="O28" s="1539">
        <v>0</v>
      </c>
      <c r="P28" s="895"/>
      <c r="Q28" s="1539">
        <v>0</v>
      </c>
      <c r="R28" s="895"/>
      <c r="S28" s="1539">
        <v>0</v>
      </c>
      <c r="T28" s="1539"/>
      <c r="U28" s="1539">
        <v>0</v>
      </c>
      <c r="V28" s="895"/>
      <c r="W28" s="1539">
        <f t="shared" si="0"/>
        <v>0</v>
      </c>
      <c r="X28" s="895"/>
      <c r="Y28" s="1539"/>
      <c r="Z28" s="895"/>
      <c r="AA28" s="1539"/>
      <c r="AB28" s="895"/>
      <c r="AC28" s="1415"/>
      <c r="AD28" s="1539">
        <v>0</v>
      </c>
      <c r="AE28" s="3208"/>
      <c r="AF28" s="1024"/>
      <c r="AG28" s="1539">
        <v>0</v>
      </c>
      <c r="AH28" s="684"/>
      <c r="AI28" s="1082"/>
      <c r="AJ28" s="684">
        <f t="shared" si="1"/>
        <v>0</v>
      </c>
      <c r="AK28" s="1723"/>
      <c r="AL28" s="1725">
        <f t="shared" si="2"/>
        <v>0</v>
      </c>
    </row>
    <row r="29" spans="1:38" s="993" customFormat="1" ht="15.75">
      <c r="A29" s="994"/>
      <c r="B29" s="892" t="s">
        <v>1137</v>
      </c>
      <c r="C29" s="994"/>
      <c r="D29" s="994"/>
      <c r="E29" s="1539" t="s">
        <v>15</v>
      </c>
      <c r="F29" s="895"/>
      <c r="G29" s="1539"/>
      <c r="H29" s="895"/>
      <c r="I29" s="1539"/>
      <c r="J29" s="895"/>
      <c r="K29" s="1539"/>
      <c r="L29" s="895"/>
      <c r="M29" s="1539"/>
      <c r="N29" s="895"/>
      <c r="O29" s="1539"/>
      <c r="P29" s="895"/>
      <c r="Q29" s="1539"/>
      <c r="R29" s="895"/>
      <c r="S29" s="1539"/>
      <c r="T29" s="895"/>
      <c r="U29" s="1539"/>
      <c r="V29" s="895"/>
      <c r="W29" s="1539"/>
      <c r="X29" s="895"/>
      <c r="Y29" s="1539"/>
      <c r="Z29" s="895"/>
      <c r="AA29" s="1539"/>
      <c r="AB29" s="895"/>
      <c r="AC29" s="1415"/>
      <c r="AD29" s="895"/>
      <c r="AE29" s="3208"/>
      <c r="AF29" s="1024"/>
      <c r="AG29" s="895"/>
      <c r="AH29" s="684"/>
      <c r="AI29" s="1082"/>
      <c r="AJ29" s="684" t="s">
        <v>15</v>
      </c>
      <c r="AK29" s="1723"/>
      <c r="AL29" s="1725" t="s">
        <v>15</v>
      </c>
    </row>
    <row r="30" spans="1:38" s="993" customFormat="1" ht="15.75">
      <c r="A30" s="994"/>
      <c r="B30" s="892" t="s">
        <v>1061</v>
      </c>
      <c r="C30" s="994"/>
      <c r="D30" s="994"/>
      <c r="E30" s="1539">
        <v>0</v>
      </c>
      <c r="F30" s="895"/>
      <c r="G30" s="1539">
        <v>0</v>
      </c>
      <c r="H30" s="895"/>
      <c r="I30" s="1539">
        <v>0</v>
      </c>
      <c r="J30" s="895"/>
      <c r="K30" s="1539">
        <v>0</v>
      </c>
      <c r="L30" s="895"/>
      <c r="M30" s="1539">
        <v>0</v>
      </c>
      <c r="N30" s="895"/>
      <c r="O30" s="1539">
        <v>0</v>
      </c>
      <c r="P30" s="895"/>
      <c r="Q30" s="1539">
        <v>0</v>
      </c>
      <c r="R30" s="895"/>
      <c r="S30" s="1539">
        <v>0</v>
      </c>
      <c r="T30" s="1539"/>
      <c r="U30" s="1539">
        <v>0</v>
      </c>
      <c r="V30" s="895"/>
      <c r="W30" s="1539">
        <f>$AD30-$E30-$G30-$I30-$K30-$M30-$O30-$Q30-$S30-$U30</f>
        <v>0</v>
      </c>
      <c r="X30" s="895"/>
      <c r="Y30" s="1539"/>
      <c r="Z30" s="895"/>
      <c r="AA30" s="1539"/>
      <c r="AB30" s="895"/>
      <c r="AC30" s="1415"/>
      <c r="AD30" s="1539">
        <v>0</v>
      </c>
      <c r="AE30" s="3208"/>
      <c r="AF30" s="1024"/>
      <c r="AG30" s="1539">
        <v>0</v>
      </c>
      <c r="AH30" s="684"/>
      <c r="AI30" s="1082"/>
      <c r="AJ30" s="684">
        <f t="shared" si="1"/>
        <v>0</v>
      </c>
      <c r="AK30" s="1723"/>
      <c r="AL30" s="1725">
        <f>ROUND(IF(AG30=0,0,AJ30/ABS(AG30)),3)</f>
        <v>0</v>
      </c>
    </row>
    <row r="31" spans="1:38" s="993" customFormat="1" ht="15.75">
      <c r="A31" s="994"/>
      <c r="B31" s="892" t="s">
        <v>1063</v>
      </c>
      <c r="C31" s="994"/>
      <c r="D31" s="994"/>
      <c r="E31" s="1539">
        <v>0</v>
      </c>
      <c r="F31" s="1539"/>
      <c r="G31" s="1539">
        <v>0</v>
      </c>
      <c r="H31" s="1539"/>
      <c r="I31" s="1539">
        <v>0</v>
      </c>
      <c r="J31" s="1539"/>
      <c r="K31" s="1539">
        <v>0</v>
      </c>
      <c r="L31" s="1539"/>
      <c r="M31" s="1539">
        <v>0</v>
      </c>
      <c r="N31" s="895"/>
      <c r="O31" s="1539">
        <v>0</v>
      </c>
      <c r="P31" s="895"/>
      <c r="Q31" s="1539">
        <v>0</v>
      </c>
      <c r="R31" s="895"/>
      <c r="S31" s="1539">
        <v>0</v>
      </c>
      <c r="T31" s="1539"/>
      <c r="U31" s="1539">
        <v>0</v>
      </c>
      <c r="V31" s="895"/>
      <c r="W31" s="1539">
        <f t="shared" si="0"/>
        <v>0</v>
      </c>
      <c r="X31" s="895"/>
      <c r="Y31" s="1539"/>
      <c r="Z31" s="895"/>
      <c r="AA31" s="1539"/>
      <c r="AB31" s="895"/>
      <c r="AC31" s="1415"/>
      <c r="AD31" s="1539">
        <v>0</v>
      </c>
      <c r="AE31" s="3208"/>
      <c r="AF31" s="1024"/>
      <c r="AG31" s="1539">
        <v>0</v>
      </c>
      <c r="AH31" s="684"/>
      <c r="AI31" s="1082"/>
      <c r="AJ31" s="684">
        <f t="shared" si="1"/>
        <v>0</v>
      </c>
      <c r="AK31" s="1723"/>
      <c r="AL31" s="1725">
        <f>ROUND(IF(AG31=0,0,AJ31/ABS(AG31)),3)</f>
        <v>0</v>
      </c>
    </row>
    <row r="32" spans="1:38" s="993" customFormat="1" ht="15.75">
      <c r="A32" s="994"/>
      <c r="B32" s="892" t="s">
        <v>1064</v>
      </c>
      <c r="C32" s="994"/>
      <c r="D32" s="994"/>
      <c r="E32" s="1539">
        <v>0</v>
      </c>
      <c r="F32" s="895"/>
      <c r="G32" s="1539">
        <v>0</v>
      </c>
      <c r="H32" s="895"/>
      <c r="I32" s="1539">
        <v>0</v>
      </c>
      <c r="J32" s="895"/>
      <c r="K32" s="1539">
        <v>0</v>
      </c>
      <c r="L32" s="895"/>
      <c r="M32" s="1539">
        <v>0</v>
      </c>
      <c r="N32" s="895"/>
      <c r="O32" s="1539">
        <v>0</v>
      </c>
      <c r="P32" s="895"/>
      <c r="Q32" s="1539">
        <v>0</v>
      </c>
      <c r="R32" s="895"/>
      <c r="S32" s="1539">
        <v>0</v>
      </c>
      <c r="T32" s="1539"/>
      <c r="U32" s="1539">
        <v>0</v>
      </c>
      <c r="V32" s="895"/>
      <c r="W32" s="1539">
        <f t="shared" si="0"/>
        <v>0</v>
      </c>
      <c r="X32" s="895"/>
      <c r="Y32" s="1539"/>
      <c r="Z32" s="895"/>
      <c r="AA32" s="1539"/>
      <c r="AB32" s="895"/>
      <c r="AC32" s="1415"/>
      <c r="AD32" s="1539">
        <v>0</v>
      </c>
      <c r="AE32" s="3208"/>
      <c r="AF32" s="1024"/>
      <c r="AG32" s="1539">
        <v>0</v>
      </c>
      <c r="AH32" s="684"/>
      <c r="AI32" s="1082"/>
      <c r="AJ32" s="684">
        <f>ROUND(AD32-AG32,1)</f>
        <v>0</v>
      </c>
      <c r="AK32" s="1723"/>
      <c r="AL32" s="1725">
        <f>ROUND(IF(AG32=0,0,AJ32/ABS(AG32)),3)</f>
        <v>0</v>
      </c>
    </row>
    <row r="33" spans="1:39" ht="15.75">
      <c r="A33" s="107"/>
      <c r="B33" s="892" t="s">
        <v>1034</v>
      </c>
      <c r="C33" s="107"/>
      <c r="D33" s="107"/>
      <c r="E33" s="1539">
        <v>0</v>
      </c>
      <c r="F33" s="895"/>
      <c r="G33" s="1539">
        <v>0</v>
      </c>
      <c r="H33" s="895"/>
      <c r="I33" s="1539">
        <v>0</v>
      </c>
      <c r="J33" s="895"/>
      <c r="K33" s="1539">
        <v>0</v>
      </c>
      <c r="L33" s="895"/>
      <c r="M33" s="1539">
        <v>0</v>
      </c>
      <c r="N33" s="895"/>
      <c r="O33" s="1539">
        <v>0</v>
      </c>
      <c r="P33" s="895"/>
      <c r="Q33" s="1539">
        <v>0</v>
      </c>
      <c r="R33" s="895"/>
      <c r="S33" s="1539">
        <v>0</v>
      </c>
      <c r="T33" s="1539"/>
      <c r="U33" s="1539">
        <v>0</v>
      </c>
      <c r="V33" s="895"/>
      <c r="W33" s="1539">
        <f t="shared" si="0"/>
        <v>0</v>
      </c>
      <c r="X33" s="895"/>
      <c r="Y33" s="1539"/>
      <c r="Z33" s="895"/>
      <c r="AA33" s="1539"/>
      <c r="AB33" s="895"/>
      <c r="AC33" s="1415"/>
      <c r="AD33" s="1539">
        <v>0</v>
      </c>
      <c r="AE33" s="3208"/>
      <c r="AF33" s="1024"/>
      <c r="AG33" s="1539">
        <v>0</v>
      </c>
      <c r="AH33" s="119"/>
      <c r="AI33" s="1082"/>
      <c r="AJ33" s="119">
        <f t="shared" si="1"/>
        <v>0</v>
      </c>
      <c r="AK33" s="1083"/>
      <c r="AL33" s="1727">
        <f>ROUND(IF(AG33=0,0,AJ33/ABS(AG33)),3)</f>
        <v>0</v>
      </c>
    </row>
    <row r="34" spans="1:39" ht="15.75">
      <c r="A34" s="107"/>
      <c r="B34" s="892" t="s">
        <v>1035</v>
      </c>
      <c r="C34" s="107"/>
      <c r="D34" s="107"/>
      <c r="E34" s="1539">
        <v>0.1</v>
      </c>
      <c r="F34" s="895"/>
      <c r="G34" s="1539">
        <v>0</v>
      </c>
      <c r="H34" s="895"/>
      <c r="I34" s="1539">
        <v>0.1</v>
      </c>
      <c r="J34" s="895"/>
      <c r="K34" s="1539">
        <v>0</v>
      </c>
      <c r="L34" s="895"/>
      <c r="M34" s="1539">
        <v>9.9999999999999978E-2</v>
      </c>
      <c r="N34" s="895"/>
      <c r="O34" s="1539">
        <v>0.10000000000000006</v>
      </c>
      <c r="P34" s="895"/>
      <c r="Q34" s="1539">
        <v>0.1</v>
      </c>
      <c r="R34" s="895"/>
      <c r="S34" s="1539">
        <v>9.9999999999999978E-2</v>
      </c>
      <c r="T34" s="1539"/>
      <c r="U34" s="1539">
        <v>9.999999999999995E-2</v>
      </c>
      <c r="V34" s="895"/>
      <c r="W34" s="1539">
        <f t="shared" si="0"/>
        <v>0</v>
      </c>
      <c r="X34" s="895"/>
      <c r="Y34" s="1539"/>
      <c r="Z34" s="895"/>
      <c r="AA34" s="1539"/>
      <c r="AB34" s="895"/>
      <c r="AC34" s="1415"/>
      <c r="AD34" s="1539">
        <v>0.7</v>
      </c>
      <c r="AE34" s="3208"/>
      <c r="AF34" s="1024"/>
      <c r="AG34" s="1539">
        <v>0.7</v>
      </c>
      <c r="AH34" s="119"/>
      <c r="AI34" s="1082"/>
      <c r="AJ34" s="119">
        <f t="shared" si="1"/>
        <v>0</v>
      </c>
      <c r="AK34" s="1083"/>
      <c r="AL34" s="1650">
        <f>ROUND(IF(AG34=0,1,AJ34/ABS(AG34)),3)</f>
        <v>0</v>
      </c>
    </row>
    <row r="35" spans="1:39" ht="15.75">
      <c r="A35" s="107"/>
      <c r="B35" s="892" t="s">
        <v>1138</v>
      </c>
      <c r="C35" s="107"/>
      <c r="D35" s="107"/>
      <c r="E35" s="1539" t="s">
        <v>15</v>
      </c>
      <c r="F35" s="895"/>
      <c r="G35" s="1539"/>
      <c r="H35" s="895"/>
      <c r="I35" s="1539"/>
      <c r="J35" s="895"/>
      <c r="K35" s="1539"/>
      <c r="L35" s="895"/>
      <c r="M35" s="1539"/>
      <c r="N35" s="118"/>
      <c r="O35" s="1539"/>
      <c r="P35" s="118"/>
      <c r="Q35" s="1539"/>
      <c r="R35" s="118"/>
      <c r="S35" s="1539"/>
      <c r="T35" s="118"/>
      <c r="U35" s="1539"/>
      <c r="V35" s="118"/>
      <c r="W35" s="1539"/>
      <c r="X35" s="118"/>
      <c r="Y35" s="1539"/>
      <c r="Z35" s="118"/>
      <c r="AA35" s="1539"/>
      <c r="AB35" s="118"/>
      <c r="AC35" s="678"/>
      <c r="AD35" s="118"/>
      <c r="AE35" s="1085"/>
      <c r="AF35" s="67"/>
      <c r="AG35" s="118"/>
      <c r="AH35" s="119"/>
      <c r="AI35" s="1082"/>
      <c r="AJ35" s="684" t="s">
        <v>15</v>
      </c>
      <c r="AK35" s="1083"/>
      <c r="AL35" s="1725" t="s">
        <v>15</v>
      </c>
    </row>
    <row r="36" spans="1:39" ht="15.75">
      <c r="A36" s="107"/>
      <c r="B36" s="892" t="s">
        <v>1065</v>
      </c>
      <c r="C36" s="107"/>
      <c r="D36" s="107"/>
      <c r="E36" s="1539">
        <v>0</v>
      </c>
      <c r="F36" s="895"/>
      <c r="G36" s="1539">
        <v>0</v>
      </c>
      <c r="H36" s="895"/>
      <c r="I36" s="1539">
        <v>0</v>
      </c>
      <c r="J36" s="895"/>
      <c r="K36" s="1539">
        <v>0</v>
      </c>
      <c r="L36" s="895"/>
      <c r="M36" s="1539">
        <v>0</v>
      </c>
      <c r="N36" s="895"/>
      <c r="O36" s="1539">
        <v>0</v>
      </c>
      <c r="P36" s="895"/>
      <c r="Q36" s="1539">
        <v>0</v>
      </c>
      <c r="R36" s="895"/>
      <c r="S36" s="1539">
        <v>0</v>
      </c>
      <c r="T36" s="1539"/>
      <c r="U36" s="1539">
        <v>0</v>
      </c>
      <c r="V36" s="895"/>
      <c r="W36" s="1539">
        <f t="shared" si="0"/>
        <v>0</v>
      </c>
      <c r="X36" s="895"/>
      <c r="Y36" s="1539"/>
      <c r="Z36" s="895"/>
      <c r="AA36" s="1539"/>
      <c r="AB36" s="895"/>
      <c r="AC36" s="1415"/>
      <c r="AD36" s="1539">
        <v>0</v>
      </c>
      <c r="AE36" s="3208"/>
      <c r="AF36" s="1024"/>
      <c r="AG36" s="1539">
        <v>0</v>
      </c>
      <c r="AH36" s="119"/>
      <c r="AI36" s="1082"/>
      <c r="AJ36" s="119">
        <f t="shared" si="1"/>
        <v>0</v>
      </c>
      <c r="AK36" s="1083"/>
      <c r="AL36" s="1727">
        <f t="shared" ref="AL36:AL42" si="3">ROUND(IF(AG36=0,0,AJ36/ABS(AG36)),3)</f>
        <v>0</v>
      </c>
    </row>
    <row r="37" spans="1:39" ht="15.75">
      <c r="A37" s="107"/>
      <c r="B37" s="892" t="s">
        <v>1067</v>
      </c>
      <c r="C37" s="107"/>
      <c r="D37" s="107"/>
      <c r="E37" s="1539">
        <v>0</v>
      </c>
      <c r="F37" s="895"/>
      <c r="G37" s="1539">
        <v>0</v>
      </c>
      <c r="H37" s="895"/>
      <c r="I37" s="1539">
        <v>0</v>
      </c>
      <c r="J37" s="895"/>
      <c r="K37" s="1539">
        <v>0</v>
      </c>
      <c r="L37" s="895"/>
      <c r="M37" s="1539">
        <v>0</v>
      </c>
      <c r="N37" s="895"/>
      <c r="O37" s="1539">
        <v>0</v>
      </c>
      <c r="P37" s="895"/>
      <c r="Q37" s="1539">
        <v>0</v>
      </c>
      <c r="R37" s="895"/>
      <c r="S37" s="1539">
        <v>0</v>
      </c>
      <c r="T37" s="1539"/>
      <c r="U37" s="1539">
        <v>0</v>
      </c>
      <c r="V37" s="895"/>
      <c r="W37" s="1539">
        <f t="shared" si="0"/>
        <v>0</v>
      </c>
      <c r="X37" s="895"/>
      <c r="Y37" s="1539"/>
      <c r="Z37" s="895"/>
      <c r="AA37" s="1539"/>
      <c r="AB37" s="895"/>
      <c r="AC37" s="1415"/>
      <c r="AD37" s="1539">
        <v>0</v>
      </c>
      <c r="AE37" s="3208"/>
      <c r="AF37" s="1024"/>
      <c r="AG37" s="1539">
        <v>0</v>
      </c>
      <c r="AH37" s="119"/>
      <c r="AI37" s="1082"/>
      <c r="AJ37" s="119">
        <f t="shared" si="1"/>
        <v>0</v>
      </c>
      <c r="AK37" s="1083"/>
      <c r="AL37" s="1727">
        <f t="shared" si="3"/>
        <v>0</v>
      </c>
    </row>
    <row r="38" spans="1:39" ht="15.75">
      <c r="A38" s="107"/>
      <c r="B38" s="892" t="s">
        <v>1068</v>
      </c>
      <c r="C38" s="107"/>
      <c r="D38" s="107"/>
      <c r="E38" s="1539">
        <v>0</v>
      </c>
      <c r="F38" s="895"/>
      <c r="G38" s="1539">
        <v>0</v>
      </c>
      <c r="H38" s="895"/>
      <c r="I38" s="1539">
        <v>0</v>
      </c>
      <c r="J38" s="895"/>
      <c r="K38" s="1539">
        <v>0</v>
      </c>
      <c r="L38" s="895"/>
      <c r="M38" s="1539">
        <v>0</v>
      </c>
      <c r="N38" s="895"/>
      <c r="O38" s="1539">
        <v>0</v>
      </c>
      <c r="P38" s="895"/>
      <c r="Q38" s="1539">
        <v>0</v>
      </c>
      <c r="R38" s="895"/>
      <c r="S38" s="1539">
        <v>0</v>
      </c>
      <c r="T38" s="1539"/>
      <c r="U38" s="1539">
        <v>0</v>
      </c>
      <c r="V38" s="895"/>
      <c r="W38" s="1539">
        <f t="shared" si="0"/>
        <v>0</v>
      </c>
      <c r="X38" s="895"/>
      <c r="Y38" s="1539"/>
      <c r="Z38" s="895"/>
      <c r="AA38" s="1539"/>
      <c r="AB38" s="895"/>
      <c r="AC38" s="1415"/>
      <c r="AD38" s="1539">
        <v>0</v>
      </c>
      <c r="AE38" s="3208"/>
      <c r="AF38" s="1024"/>
      <c r="AG38" s="1539">
        <v>0</v>
      </c>
      <c r="AH38" s="119"/>
      <c r="AI38" s="1082"/>
      <c r="AJ38" s="119">
        <f t="shared" si="1"/>
        <v>0</v>
      </c>
      <c r="AK38" s="1083"/>
      <c r="AL38" s="1727">
        <f t="shared" si="3"/>
        <v>0</v>
      </c>
    </row>
    <row r="39" spans="1:39" ht="15.75">
      <c r="A39" s="107"/>
      <c r="B39" s="892" t="s">
        <v>1071</v>
      </c>
      <c r="C39" s="107"/>
      <c r="D39" s="107"/>
      <c r="E39" s="1539">
        <v>0</v>
      </c>
      <c r="F39" s="895"/>
      <c r="G39" s="1539">
        <v>0</v>
      </c>
      <c r="H39" s="895"/>
      <c r="I39" s="1539">
        <v>0</v>
      </c>
      <c r="J39" s="895"/>
      <c r="K39" s="1539">
        <v>0</v>
      </c>
      <c r="L39" s="895"/>
      <c r="M39" s="1539">
        <v>0</v>
      </c>
      <c r="N39" s="895"/>
      <c r="O39" s="1539">
        <v>0</v>
      </c>
      <c r="P39" s="895"/>
      <c r="Q39" s="1539">
        <v>0</v>
      </c>
      <c r="R39" s="895"/>
      <c r="S39" s="1539">
        <v>0</v>
      </c>
      <c r="T39" s="1539"/>
      <c r="U39" s="1539">
        <v>0</v>
      </c>
      <c r="V39" s="895"/>
      <c r="W39" s="1539">
        <f t="shared" si="0"/>
        <v>0</v>
      </c>
      <c r="X39" s="895"/>
      <c r="Y39" s="1539"/>
      <c r="Z39" s="895"/>
      <c r="AA39" s="1539"/>
      <c r="AB39" s="895"/>
      <c r="AC39" s="1415"/>
      <c r="AD39" s="1539">
        <v>0</v>
      </c>
      <c r="AE39" s="3208"/>
      <c r="AF39" s="1024"/>
      <c r="AG39" s="1539">
        <v>0</v>
      </c>
      <c r="AH39" s="119"/>
      <c r="AI39" s="1082"/>
      <c r="AJ39" s="119">
        <f t="shared" si="1"/>
        <v>0</v>
      </c>
      <c r="AK39" s="1083"/>
      <c r="AL39" s="1727">
        <f t="shared" si="3"/>
        <v>0</v>
      </c>
    </row>
    <row r="40" spans="1:39" ht="15.75">
      <c r="A40" s="107"/>
      <c r="B40" s="892" t="s">
        <v>1073</v>
      </c>
      <c r="C40" s="107"/>
      <c r="D40" s="107"/>
      <c r="E40" s="1539">
        <v>0</v>
      </c>
      <c r="F40" s="895"/>
      <c r="G40" s="1539">
        <v>0</v>
      </c>
      <c r="H40" s="895"/>
      <c r="I40" s="1539">
        <v>0</v>
      </c>
      <c r="J40" s="895"/>
      <c r="K40" s="1539">
        <v>0</v>
      </c>
      <c r="L40" s="895"/>
      <c r="M40" s="1539">
        <v>0</v>
      </c>
      <c r="N40" s="895"/>
      <c r="O40" s="1539">
        <v>0</v>
      </c>
      <c r="P40" s="895"/>
      <c r="Q40" s="1539">
        <v>0</v>
      </c>
      <c r="R40" s="895"/>
      <c r="S40" s="1539">
        <v>0</v>
      </c>
      <c r="T40" s="1539"/>
      <c r="U40" s="1539">
        <v>0</v>
      </c>
      <c r="V40" s="895"/>
      <c r="W40" s="1539">
        <f t="shared" si="0"/>
        <v>0</v>
      </c>
      <c r="X40" s="895"/>
      <c r="Y40" s="1539"/>
      <c r="Z40" s="895"/>
      <c r="AA40" s="1539"/>
      <c r="AB40" s="895"/>
      <c r="AC40" s="1415"/>
      <c r="AD40" s="1539">
        <v>0</v>
      </c>
      <c r="AE40" s="3208"/>
      <c r="AF40" s="1024"/>
      <c r="AG40" s="1539">
        <v>0</v>
      </c>
      <c r="AH40" s="119"/>
      <c r="AI40" s="1082"/>
      <c r="AJ40" s="119">
        <f t="shared" si="1"/>
        <v>0</v>
      </c>
      <c r="AK40" s="1083"/>
      <c r="AL40" s="1727">
        <f t="shared" si="3"/>
        <v>0</v>
      </c>
    </row>
    <row r="41" spans="1:39" ht="15.75">
      <c r="A41" s="107"/>
      <c r="B41" s="892" t="s">
        <v>1045</v>
      </c>
      <c r="C41" s="107"/>
      <c r="D41" s="107"/>
      <c r="E41" s="1539">
        <v>0</v>
      </c>
      <c r="F41" s="895"/>
      <c r="G41" s="1539">
        <v>0</v>
      </c>
      <c r="H41" s="895"/>
      <c r="I41" s="1539">
        <v>0</v>
      </c>
      <c r="J41" s="895"/>
      <c r="K41" s="1539">
        <v>0</v>
      </c>
      <c r="L41" s="895"/>
      <c r="M41" s="1539">
        <v>0</v>
      </c>
      <c r="N41" s="1536"/>
      <c r="O41" s="1539">
        <v>0.1</v>
      </c>
      <c r="P41" s="1536"/>
      <c r="Q41" s="1539">
        <v>0</v>
      </c>
      <c r="R41" s="1536"/>
      <c r="S41" s="1539">
        <v>0</v>
      </c>
      <c r="T41" s="1536"/>
      <c r="U41" s="1539">
        <v>0</v>
      </c>
      <c r="V41" s="1536"/>
      <c r="W41" s="1539">
        <f t="shared" si="0"/>
        <v>0</v>
      </c>
      <c r="X41" s="1536"/>
      <c r="Y41" s="1539"/>
      <c r="Z41" s="1536"/>
      <c r="AA41" s="1539"/>
      <c r="AB41" s="118"/>
      <c r="AC41" s="678"/>
      <c r="AD41" s="1789">
        <v>0.1</v>
      </c>
      <c r="AE41" s="3193"/>
      <c r="AF41" s="1977"/>
      <c r="AG41" s="1806">
        <v>0</v>
      </c>
      <c r="AH41" s="119"/>
      <c r="AI41" s="1082"/>
      <c r="AJ41" s="119">
        <f t="shared" si="1"/>
        <v>0.1</v>
      </c>
      <c r="AK41" s="1083"/>
      <c r="AL41" s="1724">
        <f>ROUND(IF(AG41=0,1,AJ41/ABS(AG41)),3)</f>
        <v>1</v>
      </c>
    </row>
    <row r="42" spans="1:39" s="3709" customFormat="1" ht="15.75" collapsed="1">
      <c r="A42" s="105"/>
      <c r="B42" s="310" t="s">
        <v>1080</v>
      </c>
      <c r="C42" s="105"/>
      <c r="D42" s="105"/>
      <c r="E42" s="1538">
        <f>ROUND(SUM(E19:E41),1)</f>
        <v>0.1</v>
      </c>
      <c r="F42" s="112"/>
      <c r="G42" s="1538">
        <f>ROUND(SUM(G19:G41),1)</f>
        <v>0</v>
      </c>
      <c r="H42" s="1095"/>
      <c r="I42" s="1538">
        <f>ROUND(SUM(I19:I41),1)</f>
        <v>0.1</v>
      </c>
      <c r="J42" s="112"/>
      <c r="K42" s="1538">
        <f>ROUND(SUM(K19:K41),1)</f>
        <v>0</v>
      </c>
      <c r="L42" s="112"/>
      <c r="M42" s="1538">
        <v>0.1</v>
      </c>
      <c r="N42" s="112"/>
      <c r="O42" s="1538">
        <f>ROUND(SUM(O19:O41),1)</f>
        <v>0.2</v>
      </c>
      <c r="P42" s="112"/>
      <c r="Q42" s="1538">
        <f>ROUND(SUM(Q19:Q41),1)</f>
        <v>0.1</v>
      </c>
      <c r="R42" s="112"/>
      <c r="S42" s="1538">
        <f>ROUND(SUM(S19:S41),1)</f>
        <v>0.1</v>
      </c>
      <c r="T42" s="112"/>
      <c r="U42" s="1538">
        <f>ROUND(SUM(U19:U41),1)</f>
        <v>0.1</v>
      </c>
      <c r="V42" s="112"/>
      <c r="W42" s="1538">
        <f>ROUND(SUM(W19:W41),1)</f>
        <v>0</v>
      </c>
      <c r="X42" s="112"/>
      <c r="Y42" s="1538">
        <f>ROUND(SUM(Y19:Y41),1)</f>
        <v>0</v>
      </c>
      <c r="Z42" s="112"/>
      <c r="AA42" s="1538">
        <f>ROUND(SUM(AA19:AA41),1)</f>
        <v>0</v>
      </c>
      <c r="AB42" s="112"/>
      <c r="AC42" s="679"/>
      <c r="AD42" s="1538">
        <f>ROUND(SUM(AD19:AD41),1)</f>
        <v>0.8</v>
      </c>
      <c r="AE42" s="1086"/>
      <c r="AF42" s="115"/>
      <c r="AG42" s="1538">
        <f>ROUND(SUM(AG19:AG41),1)</f>
        <v>0.7</v>
      </c>
      <c r="AH42" s="1105"/>
      <c r="AI42" s="1082"/>
      <c r="AJ42" s="1538">
        <f>ROUND(SUM(AJ19:AJ41),1)</f>
        <v>0.1</v>
      </c>
      <c r="AK42" s="3708"/>
      <c r="AL42" s="3330">
        <f t="shared" si="3"/>
        <v>0.14299999999999999</v>
      </c>
    </row>
    <row r="43" spans="1:39" s="3212" customFormat="1" ht="15.75">
      <c r="A43" s="118"/>
      <c r="B43" s="3710"/>
      <c r="C43" s="118"/>
      <c r="D43" s="118"/>
      <c r="E43" s="1539"/>
      <c r="F43" s="895"/>
      <c r="G43" s="1122"/>
      <c r="H43" s="895"/>
      <c r="I43" s="1539"/>
      <c r="J43" s="895"/>
      <c r="K43" s="1122"/>
      <c r="L43" s="118"/>
      <c r="M43" s="1080"/>
      <c r="N43" s="118"/>
      <c r="O43" s="676"/>
      <c r="P43" s="118"/>
      <c r="Q43" s="1080"/>
      <c r="R43" s="118"/>
      <c r="S43" s="676"/>
      <c r="T43" s="118"/>
      <c r="U43" s="676"/>
      <c r="V43" s="118"/>
      <c r="W43" s="1080"/>
      <c r="X43" s="118"/>
      <c r="Y43" s="1080"/>
      <c r="Z43" s="118"/>
      <c r="AA43" s="1080"/>
      <c r="AB43" s="118"/>
      <c r="AC43" s="678"/>
      <c r="AD43" s="1080"/>
      <c r="AE43" s="1081"/>
      <c r="AF43" s="678"/>
      <c r="AG43" s="1080"/>
      <c r="AH43" s="119"/>
      <c r="AI43" s="1082"/>
      <c r="AJ43" s="358"/>
      <c r="AK43" s="358"/>
      <c r="AL43" s="1084"/>
      <c r="AM43" s="358"/>
    </row>
    <row r="44" spans="1:39" ht="15.75">
      <c r="A44" s="107"/>
      <c r="B44" s="107" t="s">
        <v>149</v>
      </c>
      <c r="C44" s="107"/>
      <c r="D44" s="107"/>
      <c r="E44" s="1539">
        <v>85.7</v>
      </c>
      <c r="F44" s="895"/>
      <c r="G44" s="1539">
        <v>102.7</v>
      </c>
      <c r="H44" s="895"/>
      <c r="I44" s="1539">
        <v>167.9</v>
      </c>
      <c r="J44" s="895"/>
      <c r="K44" s="1539">
        <v>209.1</v>
      </c>
      <c r="L44" s="895"/>
      <c r="M44" s="1539">
        <v>186.69999999999996</v>
      </c>
      <c r="N44" s="895"/>
      <c r="O44" s="1539">
        <v>175.1</v>
      </c>
      <c r="P44" s="895"/>
      <c r="Q44" s="1539">
        <v>167.70000000000007</v>
      </c>
      <c r="R44" s="895"/>
      <c r="S44" s="1539">
        <v>221.89999999999984</v>
      </c>
      <c r="T44" s="1539"/>
      <c r="U44" s="1539">
        <v>228.19999999999996</v>
      </c>
      <c r="V44" s="895"/>
      <c r="W44" s="1539">
        <f>$AD44-$E44-$G44-$I44-$K44-$M44-$O44-$Q44-$S44-$U44</f>
        <v>125.90000000000018</v>
      </c>
      <c r="X44" s="895"/>
      <c r="Y44" s="1539"/>
      <c r="Z44" s="895"/>
      <c r="AA44" s="1539"/>
      <c r="AB44" s="895"/>
      <c r="AC44" s="1415"/>
      <c r="AD44" s="1539">
        <v>1670.9</v>
      </c>
      <c r="AE44" s="3208"/>
      <c r="AF44" s="1024"/>
      <c r="AG44" s="1539">
        <v>1848.2</v>
      </c>
      <c r="AH44" s="119"/>
      <c r="AI44" s="1104"/>
      <c r="AJ44" s="1112">
        <f>ROUND(AD44-AG44,1)</f>
        <v>-177.3</v>
      </c>
      <c r="AK44" s="1083"/>
      <c r="AL44" s="1728">
        <f>ROUND(IF(AG44=0,0,AJ44/ABS(AG44)),3)</f>
        <v>-9.6000000000000002E-2</v>
      </c>
    </row>
    <row r="45" spans="1:39" ht="15.75">
      <c r="A45" s="107"/>
      <c r="B45" s="107"/>
      <c r="C45" s="107"/>
      <c r="D45" s="107"/>
      <c r="E45" s="1042"/>
      <c r="F45" s="895"/>
      <c r="G45" s="1042"/>
      <c r="H45" s="895"/>
      <c r="I45" s="1042"/>
      <c r="J45" s="895"/>
      <c r="K45" s="1042"/>
      <c r="L45" s="118"/>
      <c r="M45" s="126"/>
      <c r="N45" s="118"/>
      <c r="O45" s="126"/>
      <c r="P45" s="118"/>
      <c r="Q45" s="126"/>
      <c r="R45" s="118"/>
      <c r="S45" s="126"/>
      <c r="T45" s="118"/>
      <c r="U45" s="126"/>
      <c r="V45" s="118"/>
      <c r="W45" s="126"/>
      <c r="X45" s="118"/>
      <c r="Y45" s="126"/>
      <c r="Z45" s="118"/>
      <c r="AA45" s="126"/>
      <c r="AB45" s="118"/>
      <c r="AC45" s="678"/>
      <c r="AD45" s="126"/>
      <c r="AE45" s="1081"/>
      <c r="AF45" s="678"/>
      <c r="AG45" s="126"/>
      <c r="AH45" s="67"/>
      <c r="AI45" s="1104"/>
      <c r="AJ45" s="358"/>
      <c r="AK45" s="1102"/>
      <c r="AL45" s="1084"/>
    </row>
    <row r="46" spans="1:39" ht="15.75">
      <c r="A46" s="107"/>
      <c r="B46" s="105" t="s">
        <v>196</v>
      </c>
      <c r="C46" s="107"/>
      <c r="D46" s="107"/>
      <c r="E46" s="112">
        <f>ROUND(SUM(E42+E44),1)</f>
        <v>85.8</v>
      </c>
      <c r="F46" s="112"/>
      <c r="G46" s="112">
        <f>ROUND(SUM(G42+G44),1)</f>
        <v>102.7</v>
      </c>
      <c r="H46" s="112"/>
      <c r="I46" s="112">
        <f>ROUND(SUM(I42+I44),1)</f>
        <v>168</v>
      </c>
      <c r="J46" s="112"/>
      <c r="K46" s="112">
        <f>ROUND(SUM(K42+K44),1)</f>
        <v>209.1</v>
      </c>
      <c r="L46" s="112"/>
      <c r="M46" s="112">
        <v>186.8</v>
      </c>
      <c r="N46" s="112"/>
      <c r="O46" s="112">
        <f>ROUND(SUM(O42+O44),1)</f>
        <v>175.3</v>
      </c>
      <c r="P46" s="112"/>
      <c r="Q46" s="112">
        <f>ROUND(SUM(Q42+Q44),1)</f>
        <v>167.8</v>
      </c>
      <c r="R46" s="112"/>
      <c r="S46" s="112">
        <f>ROUND(SUM(S42+S44),1)</f>
        <v>222</v>
      </c>
      <c r="T46" s="112"/>
      <c r="U46" s="112">
        <f>ROUND(SUM(U42+U44),1)</f>
        <v>228.3</v>
      </c>
      <c r="V46" s="112"/>
      <c r="W46" s="112">
        <f>ROUND(SUM(W42+W44),1)</f>
        <v>125.9</v>
      </c>
      <c r="X46" s="112"/>
      <c r="Y46" s="112">
        <f>ROUND(SUM(Y42+Y44),1)</f>
        <v>0</v>
      </c>
      <c r="Z46" s="112"/>
      <c r="AA46" s="112">
        <f>ROUND(SUM(AA42+AA44),1)</f>
        <v>0</v>
      </c>
      <c r="AB46" s="112"/>
      <c r="AC46" s="679"/>
      <c r="AD46" s="112">
        <f>ROUND(SUM(AD42+AD44),1)</f>
        <v>1671.7</v>
      </c>
      <c r="AE46" s="1086"/>
      <c r="AF46" s="679"/>
      <c r="AG46" s="112">
        <f>ROUND(SUM(AG42+AG44),1)</f>
        <v>1848.9</v>
      </c>
      <c r="AH46" s="1105"/>
      <c r="AI46" s="1104"/>
      <c r="AJ46" s="1107">
        <f>ROUND(SUM(AJ42+AJ44),1)</f>
        <v>-177.2</v>
      </c>
      <c r="AK46" s="1117"/>
      <c r="AL46" s="3711">
        <f>ROUND(SUM(AD46-AG46)/ABS(AG46),3)</f>
        <v>-9.6000000000000002E-2</v>
      </c>
      <c r="AM46" s="3709"/>
    </row>
    <row r="47" spans="1:39" ht="15.75">
      <c r="A47" s="107"/>
      <c r="B47" s="107"/>
      <c r="C47" s="107"/>
      <c r="D47" s="107"/>
      <c r="E47" s="1042"/>
      <c r="F47" s="895"/>
      <c r="G47" s="1042"/>
      <c r="H47" s="895"/>
      <c r="I47" s="1042"/>
      <c r="J47" s="895"/>
      <c r="K47" s="1042"/>
      <c r="L47" s="118"/>
      <c r="M47" s="126"/>
      <c r="N47" s="118"/>
      <c r="O47" s="126"/>
      <c r="P47" s="118"/>
      <c r="Q47" s="126"/>
      <c r="R47" s="118"/>
      <c r="S47" s="126"/>
      <c r="T47" s="118"/>
      <c r="U47" s="126"/>
      <c r="V47" s="118"/>
      <c r="W47" s="126"/>
      <c r="X47" s="118"/>
      <c r="Y47" s="126"/>
      <c r="Z47" s="118"/>
      <c r="AA47" s="126"/>
      <c r="AB47" s="118"/>
      <c r="AC47" s="678"/>
      <c r="AD47" s="126"/>
      <c r="AE47" s="1081"/>
      <c r="AF47" s="678"/>
      <c r="AG47" s="126"/>
      <c r="AH47" s="67"/>
      <c r="AI47" s="1104"/>
      <c r="AJ47" s="358"/>
      <c r="AK47" s="1102"/>
      <c r="AL47" s="1084"/>
    </row>
    <row r="48" spans="1:39" ht="15.75">
      <c r="A48" s="107"/>
      <c r="B48" s="105" t="s">
        <v>23</v>
      </c>
      <c r="C48" s="107"/>
      <c r="D48" s="107"/>
      <c r="E48" s="895"/>
      <c r="F48" s="895"/>
      <c r="G48" s="895"/>
      <c r="H48" s="895"/>
      <c r="I48" s="895"/>
      <c r="J48" s="895"/>
      <c r="K48" s="895"/>
      <c r="L48" s="118"/>
      <c r="M48" s="118"/>
      <c r="N48" s="118"/>
      <c r="O48" s="118"/>
      <c r="P48" s="118"/>
      <c r="Q48" s="118"/>
      <c r="R48" s="118"/>
      <c r="S48" s="118"/>
      <c r="T48" s="118"/>
      <c r="U48" s="118"/>
      <c r="V48" s="118"/>
      <c r="W48" s="118"/>
      <c r="X48" s="118"/>
      <c r="Y48" s="118"/>
      <c r="Z48" s="118"/>
      <c r="AA48" s="118"/>
      <c r="AB48" s="118"/>
      <c r="AC48" s="678"/>
      <c r="AD48" s="118"/>
      <c r="AE48" s="1081"/>
      <c r="AF48" s="678"/>
      <c r="AG48" s="118"/>
      <c r="AH48" s="118"/>
      <c r="AI48" s="1104"/>
      <c r="AJ48" s="358"/>
      <c r="AK48" s="1102"/>
      <c r="AL48" s="1084"/>
    </row>
    <row r="49" spans="1:41" ht="15.75">
      <c r="A49" s="107"/>
      <c r="B49" s="107" t="s">
        <v>151</v>
      </c>
      <c r="C49" s="107"/>
      <c r="D49" s="107"/>
      <c r="E49" s="1539"/>
      <c r="F49" s="895"/>
      <c r="G49" s="895"/>
      <c r="H49" s="895"/>
      <c r="I49" s="895"/>
      <c r="J49" s="895"/>
      <c r="K49" s="895"/>
      <c r="L49" s="118"/>
      <c r="M49" s="118"/>
      <c r="N49" s="118"/>
      <c r="O49" s="118"/>
      <c r="P49" s="118"/>
      <c r="Q49" s="1080"/>
      <c r="R49" s="118"/>
      <c r="S49" s="118"/>
      <c r="T49" s="118"/>
      <c r="U49" s="118"/>
      <c r="V49" s="118"/>
      <c r="W49" s="118"/>
      <c r="X49" s="118"/>
      <c r="Y49" s="118"/>
      <c r="Z49" s="118"/>
      <c r="AA49" s="118"/>
      <c r="AB49" s="118"/>
      <c r="AC49" s="678"/>
      <c r="AD49" s="118"/>
      <c r="AE49" s="1081"/>
      <c r="AF49" s="678"/>
      <c r="AG49" s="118"/>
      <c r="AH49" s="118"/>
      <c r="AI49" s="1104"/>
      <c r="AJ49" s="358"/>
      <c r="AK49" s="1083"/>
      <c r="AL49" s="1084"/>
    </row>
    <row r="50" spans="1:41" ht="15.75">
      <c r="A50" s="107"/>
      <c r="B50" s="107" t="s">
        <v>25</v>
      </c>
      <c r="C50" s="107"/>
      <c r="D50" s="107"/>
      <c r="E50" s="1539">
        <v>0</v>
      </c>
      <c r="F50" s="895"/>
      <c r="G50" s="1539">
        <v>0</v>
      </c>
      <c r="H50" s="895"/>
      <c r="I50" s="1539">
        <v>0</v>
      </c>
      <c r="J50" s="895"/>
      <c r="K50" s="1539">
        <v>0</v>
      </c>
      <c r="L50" s="895"/>
      <c r="M50" s="1539">
        <v>0</v>
      </c>
      <c r="N50" s="895"/>
      <c r="O50" s="1539">
        <v>0</v>
      </c>
      <c r="P50" s="895"/>
      <c r="Q50" s="1539">
        <v>0</v>
      </c>
      <c r="R50" s="895"/>
      <c r="S50" s="1539">
        <v>0</v>
      </c>
      <c r="T50" s="1539"/>
      <c r="U50" s="1539">
        <v>0</v>
      </c>
      <c r="V50" s="895"/>
      <c r="W50" s="1539">
        <f t="shared" ref="W50:W59" si="4">$AD50-$E50-$G50-$I50-$K50-$M50-$O50-$Q50-$S50-$U50</f>
        <v>0</v>
      </c>
      <c r="X50" s="1539"/>
      <c r="Y50" s="1539"/>
      <c r="Z50" s="895"/>
      <c r="AA50" s="1539"/>
      <c r="AB50" s="895"/>
      <c r="AC50" s="1415"/>
      <c r="AD50" s="1539">
        <v>0</v>
      </c>
      <c r="AE50" s="3208"/>
      <c r="AF50" s="1024"/>
      <c r="AG50" s="1539">
        <v>0</v>
      </c>
      <c r="AH50" s="119"/>
      <c r="AI50" s="1082"/>
      <c r="AJ50" s="1113">
        <f>ROUND(AD50-AG50,1)</f>
        <v>0</v>
      </c>
      <c r="AK50" s="1083"/>
      <c r="AL50" s="1727">
        <f>ROUND(IF(AG50=0,0,AJ50/ABS(AG50)),3)</f>
        <v>0</v>
      </c>
    </row>
    <row r="51" spans="1:41" ht="15.75">
      <c r="A51" s="107"/>
      <c r="B51" s="107" t="s">
        <v>26</v>
      </c>
      <c r="C51" s="107"/>
      <c r="D51" s="107"/>
      <c r="E51" s="1539">
        <v>0</v>
      </c>
      <c r="F51" s="895"/>
      <c r="G51" s="1539">
        <v>0</v>
      </c>
      <c r="H51" s="895"/>
      <c r="I51" s="1539">
        <v>0</v>
      </c>
      <c r="J51" s="895"/>
      <c r="K51" s="1539">
        <v>0</v>
      </c>
      <c r="L51" s="895"/>
      <c r="M51" s="1539">
        <v>0</v>
      </c>
      <c r="N51" s="895"/>
      <c r="O51" s="1539">
        <v>0</v>
      </c>
      <c r="P51" s="895"/>
      <c r="Q51" s="1539">
        <v>0</v>
      </c>
      <c r="R51" s="895"/>
      <c r="S51" s="1539">
        <v>0</v>
      </c>
      <c r="T51" s="1539"/>
      <c r="U51" s="1539">
        <v>0</v>
      </c>
      <c r="V51" s="895"/>
      <c r="W51" s="1539">
        <f t="shared" si="4"/>
        <v>0</v>
      </c>
      <c r="X51" s="1539"/>
      <c r="Y51" s="1539"/>
      <c r="Z51" s="895"/>
      <c r="AA51" s="1539"/>
      <c r="AB51" s="895"/>
      <c r="AC51" s="1415"/>
      <c r="AD51" s="1539">
        <v>0</v>
      </c>
      <c r="AE51" s="3208"/>
      <c r="AF51" s="1024"/>
      <c r="AG51" s="1539">
        <v>171</v>
      </c>
      <c r="AH51" s="119"/>
      <c r="AI51" s="1082"/>
      <c r="AJ51" s="1113">
        <f>ROUND(AD51-AG51,1)</f>
        <v>-171</v>
      </c>
      <c r="AK51" s="1083"/>
      <c r="AL51" s="1729">
        <f>ROUND(IF(AG51=0,0,AJ51/ABS(AG51)),3)</f>
        <v>-1</v>
      </c>
    </row>
    <row r="52" spans="1:41" ht="15.75">
      <c r="A52" s="107"/>
      <c r="B52" s="107" t="s">
        <v>27</v>
      </c>
      <c r="C52" s="107"/>
      <c r="D52" s="107"/>
      <c r="E52" s="1539">
        <v>0</v>
      </c>
      <c r="F52" s="895"/>
      <c r="G52" s="1539">
        <v>0</v>
      </c>
      <c r="H52" s="895"/>
      <c r="I52" s="1539">
        <v>0</v>
      </c>
      <c r="J52" s="895"/>
      <c r="K52" s="1539">
        <v>0</v>
      </c>
      <c r="L52" s="895"/>
      <c r="M52" s="1539">
        <v>0</v>
      </c>
      <c r="N52" s="895"/>
      <c r="O52" s="1539">
        <v>0</v>
      </c>
      <c r="P52" s="895"/>
      <c r="Q52" s="1539">
        <v>0</v>
      </c>
      <c r="R52" s="895"/>
      <c r="S52" s="1539">
        <v>0</v>
      </c>
      <c r="T52" s="1539"/>
      <c r="U52" s="1539">
        <v>0</v>
      </c>
      <c r="V52" s="895"/>
      <c r="W52" s="1539">
        <f t="shared" si="4"/>
        <v>0</v>
      </c>
      <c r="X52" s="1539"/>
      <c r="Y52" s="1539"/>
      <c r="Z52" s="895"/>
      <c r="AA52" s="1539"/>
      <c r="AB52" s="895"/>
      <c r="AC52" s="1415"/>
      <c r="AD52" s="1539">
        <v>0</v>
      </c>
      <c r="AE52" s="3208"/>
      <c r="AF52" s="1024"/>
      <c r="AG52" s="1539">
        <v>0</v>
      </c>
      <c r="AH52" s="119"/>
      <c r="AI52" s="1082"/>
      <c r="AJ52" s="1113">
        <f>ROUND(AD52-AG52,1)</f>
        <v>0</v>
      </c>
      <c r="AK52" s="1102"/>
      <c r="AL52" s="1727">
        <f>ROUND(IF(AG52=0,0,AJ52/ABS(AG52)),3)</f>
        <v>0</v>
      </c>
    </row>
    <row r="53" spans="1:41" ht="15.75">
      <c r="A53" s="107"/>
      <c r="B53" s="107" t="s">
        <v>28</v>
      </c>
      <c r="C53" s="107"/>
      <c r="D53" s="107"/>
      <c r="E53" s="1539" t="s">
        <v>15</v>
      </c>
      <c r="F53" s="895"/>
      <c r="G53" s="1539"/>
      <c r="H53" s="895"/>
      <c r="I53" s="1539"/>
      <c r="J53" s="895"/>
      <c r="K53" s="1539"/>
      <c r="L53" s="895"/>
      <c r="M53" s="1539"/>
      <c r="N53" s="895"/>
      <c r="O53" s="1539"/>
      <c r="P53" s="895"/>
      <c r="Q53" s="1539"/>
      <c r="R53" s="895"/>
      <c r="S53" s="1539"/>
      <c r="T53" s="1539"/>
      <c r="U53" s="1539"/>
      <c r="V53" s="895"/>
      <c r="W53" s="1539"/>
      <c r="X53" s="1539"/>
      <c r="Y53" s="1539"/>
      <c r="Z53" s="895"/>
      <c r="AA53" s="1539"/>
      <c r="AB53" s="895"/>
      <c r="AC53" s="1415"/>
      <c r="AD53" s="1539"/>
      <c r="AE53" s="3208"/>
      <c r="AF53" s="1024"/>
      <c r="AG53" s="1539"/>
      <c r="AH53" s="118"/>
      <c r="AI53" s="1104"/>
      <c r="AJ53" s="1114"/>
      <c r="AK53" s="1083"/>
      <c r="AL53" s="1730" t="s">
        <v>15</v>
      </c>
    </row>
    <row r="54" spans="1:41" ht="15.75">
      <c r="A54" s="107"/>
      <c r="B54" s="107" t="s">
        <v>29</v>
      </c>
      <c r="C54" s="105"/>
      <c r="D54" s="107"/>
      <c r="E54" s="1539">
        <v>0</v>
      </c>
      <c r="F54" s="895"/>
      <c r="G54" s="1539">
        <v>0</v>
      </c>
      <c r="H54" s="895"/>
      <c r="I54" s="1539">
        <v>0</v>
      </c>
      <c r="J54" s="895"/>
      <c r="K54" s="1539">
        <v>0</v>
      </c>
      <c r="L54" s="895"/>
      <c r="M54" s="1539">
        <v>0</v>
      </c>
      <c r="N54" s="895"/>
      <c r="O54" s="1539">
        <v>0</v>
      </c>
      <c r="P54" s="895"/>
      <c r="Q54" s="1539">
        <v>0</v>
      </c>
      <c r="R54" s="895"/>
      <c r="S54" s="1539">
        <v>0</v>
      </c>
      <c r="T54" s="1539"/>
      <c r="U54" s="1539">
        <v>0</v>
      </c>
      <c r="V54" s="895"/>
      <c r="W54" s="1539">
        <f t="shared" si="4"/>
        <v>0</v>
      </c>
      <c r="X54" s="1539"/>
      <c r="Y54" s="1539"/>
      <c r="Z54" s="895"/>
      <c r="AA54" s="1539"/>
      <c r="AB54" s="895"/>
      <c r="AC54" s="1415"/>
      <c r="AD54" s="1539">
        <v>0</v>
      </c>
      <c r="AE54" s="3208"/>
      <c r="AF54" s="1024"/>
      <c r="AG54" s="1539">
        <v>0</v>
      </c>
      <c r="AH54" s="118"/>
      <c r="AI54" s="1104"/>
      <c r="AJ54" s="1113">
        <f t="shared" ref="AJ54:AJ59" si="5">ROUND(AD54-AG54,1)</f>
        <v>0</v>
      </c>
      <c r="AK54" s="1102"/>
      <c r="AL54" s="1727">
        <f>ROUND(IF(AG54=0,0,AJ54/ABS(AG54)),3)</f>
        <v>0</v>
      </c>
      <c r="AM54" s="1102"/>
    </row>
    <row r="55" spans="1:41" ht="15.75">
      <c r="A55" s="107"/>
      <c r="B55" s="107" t="s">
        <v>30</v>
      </c>
      <c r="C55" s="107"/>
      <c r="D55" s="107"/>
      <c r="E55" s="1539">
        <v>0</v>
      </c>
      <c r="F55" s="895"/>
      <c r="G55" s="1539">
        <v>0</v>
      </c>
      <c r="H55" s="895"/>
      <c r="I55" s="1539">
        <v>0</v>
      </c>
      <c r="J55" s="895"/>
      <c r="K55" s="1539">
        <v>1.2</v>
      </c>
      <c r="L55" s="895"/>
      <c r="M55" s="1539">
        <v>0</v>
      </c>
      <c r="N55" s="895"/>
      <c r="O55" s="1539">
        <v>0.60000000000000009</v>
      </c>
      <c r="P55" s="895"/>
      <c r="Q55" s="1539">
        <v>0</v>
      </c>
      <c r="R55" s="895"/>
      <c r="S55" s="1539">
        <v>0</v>
      </c>
      <c r="T55" s="1539"/>
      <c r="U55" s="1539">
        <v>0.30000000000000004</v>
      </c>
      <c r="V55" s="895"/>
      <c r="W55" s="1539">
        <f t="shared" si="4"/>
        <v>0</v>
      </c>
      <c r="X55" s="1539"/>
      <c r="Y55" s="1539"/>
      <c r="Z55" s="895"/>
      <c r="AA55" s="1539"/>
      <c r="AB55" s="895"/>
      <c r="AC55" s="1415"/>
      <c r="AD55" s="1539">
        <v>2.1</v>
      </c>
      <c r="AE55" s="3208"/>
      <c r="AF55" s="1024"/>
      <c r="AG55" s="1539">
        <v>39.1</v>
      </c>
      <c r="AH55" s="119"/>
      <c r="AI55" s="1082"/>
      <c r="AJ55" s="1113">
        <f t="shared" si="5"/>
        <v>-37</v>
      </c>
      <c r="AK55" s="1083"/>
      <c r="AL55" s="2196">
        <f>ROUND(IF(AG55=0,0,AJ55/ABS(AG55)),3)</f>
        <v>-0.94599999999999995</v>
      </c>
    </row>
    <row r="56" spans="1:41" ht="15.75">
      <c r="A56" s="107"/>
      <c r="B56" s="107" t="s">
        <v>31</v>
      </c>
      <c r="C56" s="107"/>
      <c r="D56" s="107"/>
      <c r="E56" s="1539">
        <v>0</v>
      </c>
      <c r="F56" s="895"/>
      <c r="G56" s="1539">
        <v>0</v>
      </c>
      <c r="H56" s="895"/>
      <c r="I56" s="1539">
        <v>3.1</v>
      </c>
      <c r="J56" s="895"/>
      <c r="K56" s="1539">
        <v>0</v>
      </c>
      <c r="L56" s="895"/>
      <c r="M56" s="1539">
        <v>0</v>
      </c>
      <c r="N56" s="895"/>
      <c r="O56" s="1539">
        <v>0.39999999999999991</v>
      </c>
      <c r="P56" s="895"/>
      <c r="Q56" s="1539">
        <v>0</v>
      </c>
      <c r="R56" s="895"/>
      <c r="S56" s="1539">
        <v>0</v>
      </c>
      <c r="T56" s="1539"/>
      <c r="U56" s="1539">
        <v>0.90000000000000036</v>
      </c>
      <c r="V56" s="895"/>
      <c r="W56" s="1539">
        <f t="shared" si="4"/>
        <v>0</v>
      </c>
      <c r="X56" s="1539"/>
      <c r="Y56" s="1539"/>
      <c r="Z56" s="895"/>
      <c r="AA56" s="1539"/>
      <c r="AB56" s="895"/>
      <c r="AC56" s="1415"/>
      <c r="AD56" s="1539">
        <v>4.4000000000000004</v>
      </c>
      <c r="AE56" s="3208"/>
      <c r="AF56" s="1024"/>
      <c r="AG56" s="1539">
        <v>28.6</v>
      </c>
      <c r="AH56" s="119"/>
      <c r="AI56" s="1082"/>
      <c r="AJ56" s="1113">
        <f t="shared" si="5"/>
        <v>-24.2</v>
      </c>
      <c r="AK56" s="1102"/>
      <c r="AL56" s="2196">
        <f>ROUND(IF(AG56=0,0,AJ56/ABS(AG56)),3)</f>
        <v>-0.84599999999999997</v>
      </c>
    </row>
    <row r="57" spans="1:41" ht="15.75">
      <c r="A57" s="107"/>
      <c r="B57" s="107" t="s">
        <v>32</v>
      </c>
      <c r="C57" s="107"/>
      <c r="D57" s="107"/>
      <c r="E57" s="1539">
        <v>0</v>
      </c>
      <c r="F57" s="895"/>
      <c r="G57" s="1539">
        <v>0</v>
      </c>
      <c r="H57" s="895"/>
      <c r="I57" s="1539">
        <v>0</v>
      </c>
      <c r="J57" s="895"/>
      <c r="K57" s="1539">
        <v>0</v>
      </c>
      <c r="L57" s="895"/>
      <c r="M57" s="1539">
        <v>0</v>
      </c>
      <c r="N57" s="895"/>
      <c r="O57" s="1539">
        <v>0</v>
      </c>
      <c r="P57" s="895"/>
      <c r="Q57" s="1539">
        <v>0</v>
      </c>
      <c r="R57" s="895"/>
      <c r="S57" s="1539">
        <v>0</v>
      </c>
      <c r="T57" s="1539"/>
      <c r="U57" s="1539">
        <v>0</v>
      </c>
      <c r="V57" s="895"/>
      <c r="W57" s="1539">
        <f t="shared" si="4"/>
        <v>0</v>
      </c>
      <c r="X57" s="1539"/>
      <c r="Y57" s="1539"/>
      <c r="Z57" s="895"/>
      <c r="AA57" s="1539"/>
      <c r="AB57" s="895"/>
      <c r="AC57" s="1415"/>
      <c r="AD57" s="1539">
        <v>0</v>
      </c>
      <c r="AE57" s="3208"/>
      <c r="AF57" s="1024"/>
      <c r="AG57" s="1539">
        <v>0</v>
      </c>
      <c r="AH57" s="118"/>
      <c r="AI57" s="1104"/>
      <c r="AJ57" s="1113">
        <f t="shared" si="5"/>
        <v>0</v>
      </c>
      <c r="AK57" s="1083"/>
      <c r="AL57" s="1727">
        <f>ROUND(IF(AG57=0,0,AJ57/ABS(AG57)),3)</f>
        <v>0</v>
      </c>
    </row>
    <row r="58" spans="1:41" ht="15.75">
      <c r="A58" s="107"/>
      <c r="B58" s="107" t="s">
        <v>33</v>
      </c>
      <c r="C58" s="105"/>
      <c r="D58" s="107"/>
      <c r="E58" s="1539">
        <v>0</v>
      </c>
      <c r="F58" s="895"/>
      <c r="G58" s="1539">
        <v>0</v>
      </c>
      <c r="H58" s="895"/>
      <c r="I58" s="1539">
        <v>0</v>
      </c>
      <c r="J58" s="895"/>
      <c r="K58" s="1539">
        <v>0</v>
      </c>
      <c r="L58" s="895"/>
      <c r="M58" s="1539">
        <v>0</v>
      </c>
      <c r="N58" s="895"/>
      <c r="O58" s="1539">
        <v>0</v>
      </c>
      <c r="P58" s="895"/>
      <c r="Q58" s="1539">
        <v>0</v>
      </c>
      <c r="R58" s="895"/>
      <c r="S58" s="1539">
        <v>0</v>
      </c>
      <c r="T58" s="1539"/>
      <c r="U58" s="1539">
        <v>0</v>
      </c>
      <c r="V58" s="895"/>
      <c r="W58" s="1539">
        <f t="shared" si="4"/>
        <v>0</v>
      </c>
      <c r="X58" s="1539"/>
      <c r="Y58" s="1539"/>
      <c r="Z58" s="895"/>
      <c r="AA58" s="1539"/>
      <c r="AB58" s="895"/>
      <c r="AC58" s="1415"/>
      <c r="AD58" s="1539">
        <v>0</v>
      </c>
      <c r="AE58" s="3208"/>
      <c r="AF58" s="1024"/>
      <c r="AG58" s="1539">
        <v>0</v>
      </c>
      <c r="AH58" s="118"/>
      <c r="AI58" s="1104"/>
      <c r="AJ58" s="1113">
        <f t="shared" si="5"/>
        <v>0</v>
      </c>
      <c r="AK58" s="1102"/>
      <c r="AL58" s="1727">
        <f>ROUND(IF(AG58=0,0,AJ58/ABS(AG58)),3)</f>
        <v>0</v>
      </c>
      <c r="AM58" s="1102"/>
    </row>
    <row r="59" spans="1:41" ht="15.75">
      <c r="A59" s="107"/>
      <c r="B59" s="107" t="s">
        <v>34</v>
      </c>
      <c r="C59" s="107"/>
      <c r="D59" s="107"/>
      <c r="E59" s="1539">
        <v>22</v>
      </c>
      <c r="F59" s="895"/>
      <c r="G59" s="1539">
        <v>41.5</v>
      </c>
      <c r="H59" s="895"/>
      <c r="I59" s="1539">
        <v>35.599999999999994</v>
      </c>
      <c r="J59" s="895"/>
      <c r="K59" s="1539">
        <v>41.5</v>
      </c>
      <c r="L59" s="895"/>
      <c r="M59" s="1539">
        <v>42.700000000000017</v>
      </c>
      <c r="N59" s="895"/>
      <c r="O59" s="1539">
        <v>52.699999999999989</v>
      </c>
      <c r="P59" s="895"/>
      <c r="Q59" s="1539">
        <v>50.699999999999989</v>
      </c>
      <c r="R59" s="895"/>
      <c r="S59" s="1539">
        <v>47.400000000000034</v>
      </c>
      <c r="T59" s="1539"/>
      <c r="U59" s="1539">
        <v>64.899999999999949</v>
      </c>
      <c r="V59" s="895"/>
      <c r="W59" s="1539">
        <f t="shared" si="4"/>
        <v>45.700000000000017</v>
      </c>
      <c r="X59" s="1539"/>
      <c r="Y59" s="1539"/>
      <c r="Z59" s="895"/>
      <c r="AA59" s="1539"/>
      <c r="AB59" s="895"/>
      <c r="AC59" s="1415"/>
      <c r="AD59" s="1539">
        <v>444.7</v>
      </c>
      <c r="AE59" s="3208"/>
      <c r="AF59" s="1024"/>
      <c r="AG59" s="1539">
        <v>415.8</v>
      </c>
      <c r="AH59" s="67"/>
      <c r="AI59" s="1104"/>
      <c r="AJ59" s="1113">
        <f t="shared" si="5"/>
        <v>28.9</v>
      </c>
      <c r="AK59" s="1102"/>
      <c r="AL59" s="1731">
        <f>ROUND((AD59-AG59)/ABS(AG59),3)</f>
        <v>7.0000000000000007E-2</v>
      </c>
    </row>
    <row r="60" spans="1:41" ht="15.75">
      <c r="A60" s="107"/>
      <c r="B60" s="105" t="s">
        <v>197</v>
      </c>
      <c r="C60" s="107"/>
      <c r="D60" s="107"/>
      <c r="E60" s="1096">
        <f>ROUND(SUM(E50:E59),1)</f>
        <v>22</v>
      </c>
      <c r="F60" s="112"/>
      <c r="G60" s="1096">
        <f>ROUND(SUM(G50:G59),1)</f>
        <v>41.5</v>
      </c>
      <c r="H60" s="112"/>
      <c r="I60" s="1096">
        <f>ROUND(SUM(I50:I59),1)</f>
        <v>38.700000000000003</v>
      </c>
      <c r="J60" s="112"/>
      <c r="K60" s="1096">
        <f>ROUND(SUM(K50:K59),1)</f>
        <v>42.7</v>
      </c>
      <c r="L60" s="112"/>
      <c r="M60" s="1096">
        <f>ROUND(SUM(M50:M59),1)</f>
        <v>42.7</v>
      </c>
      <c r="N60" s="112"/>
      <c r="O60" s="1096">
        <f>ROUND(SUM(O50:O59),1)</f>
        <v>53.7</v>
      </c>
      <c r="P60" s="112"/>
      <c r="Q60" s="1096">
        <f>ROUND(SUM(Q50:Q59),1)</f>
        <v>50.7</v>
      </c>
      <c r="R60" s="112"/>
      <c r="S60" s="1096">
        <f>ROUND(SUM(S50:S59),1)</f>
        <v>47.4</v>
      </c>
      <c r="T60" s="112"/>
      <c r="U60" s="1096">
        <f>ROUND(SUM(U50:U59),1)</f>
        <v>66.099999999999994</v>
      </c>
      <c r="V60" s="112"/>
      <c r="W60" s="1096">
        <f>ROUND(SUM(W50:W59),1)</f>
        <v>45.7</v>
      </c>
      <c r="X60" s="112"/>
      <c r="Y60" s="1096">
        <f>ROUND(SUM(Y50:Y59),1)</f>
        <v>0</v>
      </c>
      <c r="Z60" s="112"/>
      <c r="AA60" s="1096">
        <f>ROUND(SUM(AA50:AA59),1)</f>
        <v>0</v>
      </c>
      <c r="AB60" s="112"/>
      <c r="AC60" s="679"/>
      <c r="AD60" s="1096">
        <f>ROUND(SUM(AD50:AD59),1)</f>
        <v>451.2</v>
      </c>
      <c r="AE60" s="1086"/>
      <c r="AF60" s="679"/>
      <c r="AG60" s="1096">
        <f>ROUND(SUM(AG50:AG59),1)</f>
        <v>654.5</v>
      </c>
      <c r="AH60" s="115"/>
      <c r="AI60" s="1104"/>
      <c r="AJ60" s="1096">
        <f>ROUND(SUM(AJ50:AJ59),1)</f>
        <v>-203.3</v>
      </c>
      <c r="AK60" s="3712"/>
      <c r="AL60" s="3713">
        <f>ROUND(SUM(AD60-AG60)/ABS(AG60),3)</f>
        <v>-0.311</v>
      </c>
      <c r="AM60" s="3712"/>
      <c r="AN60" s="3709"/>
      <c r="AO60" s="3709"/>
    </row>
    <row r="61" spans="1:41" ht="15.75">
      <c r="A61" s="107"/>
      <c r="B61" s="107" t="s">
        <v>198</v>
      </c>
      <c r="C61" s="107"/>
      <c r="D61" s="107"/>
      <c r="E61" s="895"/>
      <c r="F61" s="895"/>
      <c r="G61" s="895"/>
      <c r="H61" s="895"/>
      <c r="I61" s="895"/>
      <c r="J61" s="895"/>
      <c r="K61" s="895"/>
      <c r="L61" s="118"/>
      <c r="M61" s="118"/>
      <c r="N61" s="118"/>
      <c r="O61" s="118"/>
      <c r="P61" s="118"/>
      <c r="Q61" s="118"/>
      <c r="R61" s="118"/>
      <c r="S61" s="118"/>
      <c r="T61" s="118"/>
      <c r="U61" s="118"/>
      <c r="V61" s="118"/>
      <c r="W61" s="118"/>
      <c r="X61" s="118"/>
      <c r="Y61" s="118"/>
      <c r="Z61" s="118"/>
      <c r="AA61" s="118"/>
      <c r="AB61" s="118"/>
      <c r="AC61" s="678"/>
      <c r="AD61" s="118"/>
      <c r="AE61" s="1081"/>
      <c r="AF61" s="678"/>
      <c r="AG61" s="118"/>
      <c r="AH61" s="118"/>
      <c r="AI61" s="1104"/>
      <c r="AJ61" s="358"/>
      <c r="AK61" s="1102"/>
      <c r="AL61" s="1084"/>
    </row>
    <row r="62" spans="1:41" ht="15.75">
      <c r="A62" s="107"/>
      <c r="B62" s="107" t="s">
        <v>199</v>
      </c>
      <c r="C62" s="107"/>
      <c r="D62" s="107"/>
      <c r="E62" s="1539">
        <v>0</v>
      </c>
      <c r="F62" s="895"/>
      <c r="G62" s="1539">
        <v>0</v>
      </c>
      <c r="H62" s="895"/>
      <c r="I62" s="1539">
        <v>0</v>
      </c>
      <c r="J62" s="895"/>
      <c r="K62" s="1539">
        <v>0</v>
      </c>
      <c r="L62" s="895"/>
      <c r="M62" s="1539">
        <v>0</v>
      </c>
      <c r="N62" s="895"/>
      <c r="O62" s="1539">
        <v>0</v>
      </c>
      <c r="P62" s="895"/>
      <c r="Q62" s="1539">
        <v>0</v>
      </c>
      <c r="R62" s="895"/>
      <c r="S62" s="1539">
        <v>0</v>
      </c>
      <c r="T62" s="1539"/>
      <c r="U62" s="1539">
        <v>0</v>
      </c>
      <c r="V62" s="895"/>
      <c r="W62" s="1539">
        <f t="shared" ref="W62:W65" si="6">$AD62-$E62-$G62-$I62-$K62-$M62-$O62-$Q62-$S62-$U62</f>
        <v>0</v>
      </c>
      <c r="X62" s="895"/>
      <c r="Y62" s="1539"/>
      <c r="Z62" s="895"/>
      <c r="AA62" s="1539"/>
      <c r="AB62" s="895"/>
      <c r="AC62" s="1415"/>
      <c r="AD62" s="1539">
        <v>0</v>
      </c>
      <c r="AE62" s="3208"/>
      <c r="AF62" s="1024"/>
      <c r="AG62" s="1539">
        <v>0</v>
      </c>
      <c r="AH62" s="127"/>
      <c r="AI62" s="1108"/>
      <c r="AJ62" s="1113">
        <f>ROUND(AD62-AG62,1)</f>
        <v>0</v>
      </c>
      <c r="AK62" s="1102"/>
      <c r="AL62" s="1727">
        <f>ROUND(IF(AG62=0,0,AJ62/ABS(AG62)),3)</f>
        <v>0</v>
      </c>
      <c r="AM62" s="1103"/>
    </row>
    <row r="63" spans="1:41" ht="15.75">
      <c r="A63" s="107"/>
      <c r="B63" s="107" t="s">
        <v>200</v>
      </c>
      <c r="C63" s="107"/>
      <c r="D63" s="107"/>
      <c r="E63" s="1539">
        <v>0</v>
      </c>
      <c r="F63" s="895"/>
      <c r="G63" s="1539">
        <v>0</v>
      </c>
      <c r="H63" s="895"/>
      <c r="I63" s="1539">
        <v>0</v>
      </c>
      <c r="J63" s="895"/>
      <c r="K63" s="1539">
        <v>0</v>
      </c>
      <c r="L63" s="895"/>
      <c r="M63" s="1539">
        <v>0</v>
      </c>
      <c r="N63" s="895"/>
      <c r="O63" s="1539">
        <v>0</v>
      </c>
      <c r="P63" s="895"/>
      <c r="Q63" s="1539">
        <v>0</v>
      </c>
      <c r="R63" s="895"/>
      <c r="S63" s="1539">
        <v>0</v>
      </c>
      <c r="T63" s="1539"/>
      <c r="U63" s="1539">
        <v>0</v>
      </c>
      <c r="V63" s="895"/>
      <c r="W63" s="1539">
        <f t="shared" si="6"/>
        <v>0</v>
      </c>
      <c r="X63" s="895"/>
      <c r="Y63" s="1539"/>
      <c r="Z63" s="895"/>
      <c r="AA63" s="1539"/>
      <c r="AB63" s="895"/>
      <c r="AC63" s="1415"/>
      <c r="AD63" s="1539">
        <v>0</v>
      </c>
      <c r="AE63" s="3208"/>
      <c r="AF63" s="1024"/>
      <c r="AG63" s="1539">
        <v>0</v>
      </c>
      <c r="AH63" s="127"/>
      <c r="AI63" s="1108"/>
      <c r="AJ63" s="1113">
        <f>ROUND(AD63-AG63,1)</f>
        <v>0</v>
      </c>
      <c r="AK63" s="1102"/>
      <c r="AL63" s="1727">
        <f>ROUND(IF(AG63=0,0,AJ63/ABS(AG63)),3)</f>
        <v>0</v>
      </c>
    </row>
    <row r="64" spans="1:41" ht="15.75">
      <c r="A64" s="107"/>
      <c r="B64" s="107" t="s">
        <v>201</v>
      </c>
      <c r="C64" s="107"/>
      <c r="D64" s="107"/>
      <c r="E64" s="1539">
        <v>0</v>
      </c>
      <c r="F64" s="895"/>
      <c r="G64" s="1539">
        <v>0</v>
      </c>
      <c r="H64" s="895"/>
      <c r="I64" s="1539">
        <v>0</v>
      </c>
      <c r="J64" s="895"/>
      <c r="K64" s="1539">
        <v>0</v>
      </c>
      <c r="L64" s="895"/>
      <c r="M64" s="1539">
        <v>0</v>
      </c>
      <c r="N64" s="895"/>
      <c r="O64" s="1539">
        <v>0</v>
      </c>
      <c r="P64" s="895"/>
      <c r="Q64" s="1539">
        <v>0</v>
      </c>
      <c r="R64" s="895"/>
      <c r="S64" s="1539">
        <v>0</v>
      </c>
      <c r="T64" s="1539"/>
      <c r="U64" s="1539">
        <v>0</v>
      </c>
      <c r="V64" s="895"/>
      <c r="W64" s="1539">
        <f t="shared" si="6"/>
        <v>0</v>
      </c>
      <c r="X64" s="895"/>
      <c r="Y64" s="1539"/>
      <c r="Z64" s="895"/>
      <c r="AA64" s="1539"/>
      <c r="AB64" s="895"/>
      <c r="AC64" s="1415"/>
      <c r="AD64" s="1539">
        <v>0</v>
      </c>
      <c r="AE64" s="3208"/>
      <c r="AF64" s="1024"/>
      <c r="AG64" s="1539">
        <v>0</v>
      </c>
      <c r="AH64" s="127"/>
      <c r="AI64" s="1108"/>
      <c r="AJ64" s="1113">
        <f>ROUND(AD64-AG64,1)</f>
        <v>0</v>
      </c>
      <c r="AK64" s="1102"/>
      <c r="AL64" s="1727">
        <f>ROUND(IF(AG64=0,0,AJ64/ABS(AG64)),3)</f>
        <v>0</v>
      </c>
    </row>
    <row r="65" spans="1:39" ht="15.75">
      <c r="A65" s="107"/>
      <c r="B65" s="1726" t="s">
        <v>212</v>
      </c>
      <c r="C65" s="107"/>
      <c r="D65" s="107"/>
      <c r="E65" s="1539">
        <v>57.7</v>
      </c>
      <c r="F65" s="895"/>
      <c r="G65" s="1539">
        <v>72.499999999999986</v>
      </c>
      <c r="H65" s="895"/>
      <c r="I65" s="1539">
        <v>140</v>
      </c>
      <c r="J65" s="895"/>
      <c r="K65" s="1539">
        <v>129</v>
      </c>
      <c r="L65" s="895"/>
      <c r="M65" s="1539">
        <v>118.50000000000006</v>
      </c>
      <c r="N65" s="895"/>
      <c r="O65" s="1539">
        <v>159.2999999999999</v>
      </c>
      <c r="P65" s="895"/>
      <c r="Q65" s="1539">
        <v>103.39999999999998</v>
      </c>
      <c r="R65" s="895"/>
      <c r="S65" s="1539">
        <v>94</v>
      </c>
      <c r="T65" s="1539"/>
      <c r="U65" s="1539">
        <v>54.899999999999977</v>
      </c>
      <c r="V65" s="895"/>
      <c r="W65" s="1539">
        <f t="shared" si="6"/>
        <v>67.700000000000045</v>
      </c>
      <c r="X65" s="895"/>
      <c r="Y65" s="1539"/>
      <c r="Z65" s="895"/>
      <c r="AA65" s="1539"/>
      <c r="AB65" s="895"/>
      <c r="AC65" s="1415"/>
      <c r="AD65" s="3209">
        <v>997</v>
      </c>
      <c r="AE65" s="3208"/>
      <c r="AF65" s="1024"/>
      <c r="AG65" s="3209">
        <v>978.8</v>
      </c>
      <c r="AH65" s="70"/>
      <c r="AI65" s="1082"/>
      <c r="AJ65" s="1115">
        <f>ROUND(AD65-AG65,1)</f>
        <v>18.2</v>
      </c>
      <c r="AK65" s="1102"/>
      <c r="AL65" s="1728">
        <f>ROUND(IF(AG65=0,0,AJ65/ABS(AG65)),3)</f>
        <v>1.9E-2</v>
      </c>
    </row>
    <row r="66" spans="1:39" ht="15.75">
      <c r="A66" s="107"/>
      <c r="B66" s="107"/>
      <c r="C66" s="107"/>
      <c r="D66" s="107"/>
      <c r="E66" s="1042"/>
      <c r="F66" s="895"/>
      <c r="G66" s="1042"/>
      <c r="H66" s="895"/>
      <c r="I66" s="1042"/>
      <c r="J66" s="895"/>
      <c r="K66" s="1042"/>
      <c r="L66" s="118"/>
      <c r="M66" s="126"/>
      <c r="N66" s="118"/>
      <c r="O66" s="126"/>
      <c r="P66" s="118"/>
      <c r="Q66" s="126"/>
      <c r="R66" s="118"/>
      <c r="S66" s="126"/>
      <c r="T66" s="118"/>
      <c r="U66" s="126"/>
      <c r="V66" s="118"/>
      <c r="W66" s="126"/>
      <c r="X66" s="118"/>
      <c r="Y66" s="126"/>
      <c r="Z66" s="118"/>
      <c r="AA66" s="126"/>
      <c r="AB66" s="118"/>
      <c r="AC66" s="678"/>
      <c r="AD66" s="358"/>
      <c r="AE66" s="1081"/>
      <c r="AF66" s="678"/>
      <c r="AG66" s="358"/>
      <c r="AH66" s="358"/>
      <c r="AI66" s="1109"/>
      <c r="AJ66" s="358"/>
      <c r="AK66" s="1102"/>
      <c r="AL66" s="1084"/>
    </row>
    <row r="67" spans="1:39" ht="15.75">
      <c r="A67" s="107"/>
      <c r="B67" s="105" t="s">
        <v>202</v>
      </c>
      <c r="C67" s="107"/>
      <c r="D67" s="107"/>
      <c r="E67" s="112">
        <f>ROUND(SUM(E60:E65),1)</f>
        <v>79.7</v>
      </c>
      <c r="F67" s="112"/>
      <c r="G67" s="112">
        <f>ROUND(SUM(G60:G65),1)</f>
        <v>114</v>
      </c>
      <c r="H67" s="112"/>
      <c r="I67" s="112">
        <f>ROUND(SUM(I60:I65),1)</f>
        <v>178.7</v>
      </c>
      <c r="J67" s="112"/>
      <c r="K67" s="112">
        <f>ROUND(SUM(K60:K65),1)</f>
        <v>171.7</v>
      </c>
      <c r="L67" s="112"/>
      <c r="M67" s="112">
        <f>ROUND(SUM(M60:M65),1)</f>
        <v>161.19999999999999</v>
      </c>
      <c r="N67" s="112"/>
      <c r="O67" s="112">
        <f>ROUND(SUM(O60:O65),1)</f>
        <v>213</v>
      </c>
      <c r="P67" s="112"/>
      <c r="Q67" s="112">
        <f>ROUND(SUM(Q60:Q65),1)</f>
        <v>154.1</v>
      </c>
      <c r="R67" s="112"/>
      <c r="S67" s="112">
        <f>ROUND(SUM(S60:S65),1)</f>
        <v>141.4</v>
      </c>
      <c r="T67" s="112"/>
      <c r="U67" s="112">
        <f>ROUND(SUM(U60:U65),1)</f>
        <v>121</v>
      </c>
      <c r="V67" s="112"/>
      <c r="W67" s="112">
        <f>ROUND(SUM(W60:W65),1)</f>
        <v>113.4</v>
      </c>
      <c r="X67" s="112"/>
      <c r="Y67" s="112">
        <f>ROUND(SUM(Y60:Y65),1)</f>
        <v>0</v>
      </c>
      <c r="Z67" s="112"/>
      <c r="AA67" s="112">
        <f>ROUND(SUM(AA60:AA65),1)</f>
        <v>0</v>
      </c>
      <c r="AB67" s="112"/>
      <c r="AC67" s="679"/>
      <c r="AD67" s="112">
        <f>SUM(AD60:AD65)</f>
        <v>1448.2</v>
      </c>
      <c r="AE67" s="1086"/>
      <c r="AF67" s="679"/>
      <c r="AG67" s="112">
        <f>SUM(AG60:AG65)</f>
        <v>1633.3</v>
      </c>
      <c r="AH67" s="115"/>
      <c r="AI67" s="1104"/>
      <c r="AJ67" s="113">
        <f>ROUND(AD67-AG67,1)</f>
        <v>-185.1</v>
      </c>
      <c r="AK67" s="3712"/>
      <c r="AL67" s="3711">
        <f>ROUND(SUM(AD67-AG67)/ABS(AG67),3)</f>
        <v>-0.113</v>
      </c>
    </row>
    <row r="68" spans="1:39" ht="15.75">
      <c r="A68" s="107"/>
      <c r="B68" s="107"/>
      <c r="C68" s="107"/>
      <c r="D68" s="107"/>
      <c r="E68" s="1042"/>
      <c r="F68" s="895"/>
      <c r="G68" s="1042"/>
      <c r="H68" s="895"/>
      <c r="I68" s="1042"/>
      <c r="J68" s="895"/>
      <c r="K68" s="1042"/>
      <c r="L68" s="118"/>
      <c r="M68" s="126"/>
      <c r="N68" s="118"/>
      <c r="O68" s="126"/>
      <c r="P68" s="118"/>
      <c r="Q68" s="126"/>
      <c r="R68" s="118"/>
      <c r="S68" s="126"/>
      <c r="T68" s="118"/>
      <c r="U68" s="126"/>
      <c r="V68" s="118"/>
      <c r="W68" s="126"/>
      <c r="X68" s="118"/>
      <c r="Y68" s="126"/>
      <c r="Z68" s="118"/>
      <c r="AA68" s="126"/>
      <c r="AB68" s="118"/>
      <c r="AC68" s="678"/>
      <c r="AD68" s="1042" t="s">
        <v>15</v>
      </c>
      <c r="AE68" s="1081"/>
      <c r="AF68" s="678"/>
      <c r="AG68" s="126"/>
      <c r="AH68" s="67"/>
      <c r="AI68" s="1104"/>
      <c r="AJ68" s="358"/>
      <c r="AK68" s="1102"/>
      <c r="AL68" s="1084"/>
    </row>
    <row r="69" spans="1:39" ht="15.75">
      <c r="A69" s="107"/>
      <c r="B69" s="105" t="s">
        <v>203</v>
      </c>
      <c r="C69" s="107"/>
      <c r="D69" s="107"/>
      <c r="E69" s="895"/>
      <c r="F69" s="895"/>
      <c r="G69" s="895"/>
      <c r="H69" s="895"/>
      <c r="I69" s="895"/>
      <c r="J69" s="895"/>
      <c r="K69" s="895"/>
      <c r="L69" s="118"/>
      <c r="M69" s="118"/>
      <c r="N69" s="118"/>
      <c r="O69" s="118"/>
      <c r="P69" s="118"/>
      <c r="Q69" s="118"/>
      <c r="R69" s="118"/>
      <c r="S69" s="118"/>
      <c r="T69" s="118"/>
      <c r="U69" s="118"/>
      <c r="V69" s="118"/>
      <c r="W69" s="118"/>
      <c r="X69" s="118"/>
      <c r="Y69" s="118"/>
      <c r="Z69" s="118"/>
      <c r="AA69" s="118"/>
      <c r="AB69" s="118"/>
      <c r="AC69" s="678"/>
      <c r="AD69" s="358" t="s">
        <v>15</v>
      </c>
      <c r="AE69" s="1081"/>
      <c r="AF69" s="67"/>
      <c r="AG69" s="358"/>
      <c r="AH69" s="358"/>
      <c r="AI69" s="1109"/>
      <c r="AJ69" s="358"/>
      <c r="AK69" s="1102"/>
      <c r="AL69" s="1084"/>
    </row>
    <row r="70" spans="1:39" ht="15.75">
      <c r="A70" s="107"/>
      <c r="B70" s="105" t="s">
        <v>204</v>
      </c>
      <c r="C70" s="107"/>
      <c r="D70" s="107"/>
      <c r="E70" s="112">
        <f>ROUND(E46-E67,1)</f>
        <v>6.1</v>
      </c>
      <c r="F70" s="112"/>
      <c r="G70" s="112">
        <f>ROUND(G46-G67,1)</f>
        <v>-11.3</v>
      </c>
      <c r="H70" s="112"/>
      <c r="I70" s="112">
        <f>ROUND(I46-I67,1)</f>
        <v>-10.7</v>
      </c>
      <c r="J70" s="112"/>
      <c r="K70" s="112">
        <f>ROUND(K46-K67,1)</f>
        <v>37.4</v>
      </c>
      <c r="L70" s="112"/>
      <c r="M70" s="112">
        <f>ROUND(M46-M67,1)</f>
        <v>25.6</v>
      </c>
      <c r="N70" s="112"/>
      <c r="O70" s="112">
        <f>ROUND(O46-O67,1)</f>
        <v>-37.700000000000003</v>
      </c>
      <c r="P70" s="112"/>
      <c r="Q70" s="112">
        <f>ROUND(Q46-Q67,1)</f>
        <v>13.7</v>
      </c>
      <c r="R70" s="112"/>
      <c r="S70" s="112">
        <f>ROUND(S46-S67,1)</f>
        <v>80.599999999999994</v>
      </c>
      <c r="T70" s="112"/>
      <c r="U70" s="112">
        <f>ROUND(U46-U67,1)</f>
        <v>107.3</v>
      </c>
      <c r="V70" s="112"/>
      <c r="W70" s="112">
        <f>ROUND(W46-W67,1)</f>
        <v>12.5</v>
      </c>
      <c r="X70" s="112"/>
      <c r="Y70" s="112">
        <f>ROUND(Y46-Y67,1)</f>
        <v>0</v>
      </c>
      <c r="Z70" s="112"/>
      <c r="AA70" s="112">
        <f>ROUND(AA46-AA67,1)</f>
        <v>0</v>
      </c>
      <c r="AB70" s="112"/>
      <c r="AC70" s="679"/>
      <c r="AD70" s="112">
        <f>ROUND(SUM(AD46-AD67),1)</f>
        <v>223.5</v>
      </c>
      <c r="AE70" s="1086"/>
      <c r="AF70" s="679"/>
      <c r="AG70" s="112">
        <f>ROUND(SUM(AG46-AG67),1)</f>
        <v>215.6</v>
      </c>
      <c r="AH70" s="115"/>
      <c r="AI70" s="1104"/>
      <c r="AJ70" s="113">
        <f>ROUND(AD70-AG70,1)</f>
        <v>7.9</v>
      </c>
      <c r="AK70" s="3712"/>
      <c r="AL70" s="3671">
        <f>ROUND(SUM(AD70-AG70)/ABS(AG70),3)</f>
        <v>3.6999999999999998E-2</v>
      </c>
    </row>
    <row r="71" spans="1:39" ht="15.75">
      <c r="A71" s="107"/>
      <c r="B71" s="107"/>
      <c r="C71" s="107"/>
      <c r="D71" s="107"/>
      <c r="E71" s="1042"/>
      <c r="F71" s="895"/>
      <c r="G71" s="1042"/>
      <c r="H71" s="895"/>
      <c r="I71" s="1042"/>
      <c r="J71" s="895"/>
      <c r="K71" s="1042"/>
      <c r="L71" s="118"/>
      <c r="M71" s="126"/>
      <c r="N71" s="118"/>
      <c r="O71" s="126"/>
      <c r="P71" s="118"/>
      <c r="Q71" s="126"/>
      <c r="R71" s="118"/>
      <c r="S71" s="126"/>
      <c r="T71" s="118"/>
      <c r="U71" s="126"/>
      <c r="V71" s="118"/>
      <c r="W71" s="126"/>
      <c r="X71" s="118"/>
      <c r="Y71" s="126"/>
      <c r="Z71" s="118"/>
      <c r="AA71" s="126"/>
      <c r="AB71" s="118"/>
      <c r="AC71" s="678"/>
      <c r="AD71" s="126"/>
      <c r="AE71" s="1081"/>
      <c r="AF71" s="678"/>
      <c r="AG71" s="126"/>
      <c r="AH71" s="67"/>
      <c r="AI71" s="1104"/>
      <c r="AJ71" s="358"/>
      <c r="AK71" s="1102"/>
      <c r="AL71" s="1084"/>
    </row>
    <row r="72" spans="1:39" ht="15.75">
      <c r="A72" s="107"/>
      <c r="B72" s="105" t="s">
        <v>205</v>
      </c>
      <c r="C72" s="107"/>
      <c r="D72" s="107"/>
      <c r="E72" s="895"/>
      <c r="F72" s="895"/>
      <c r="G72" s="895"/>
      <c r="H72" s="895"/>
      <c r="I72" s="895"/>
      <c r="J72" s="895"/>
      <c r="K72" s="895"/>
      <c r="L72" s="118"/>
      <c r="M72" s="118"/>
      <c r="N72" s="118"/>
      <c r="O72" s="118"/>
      <c r="P72" s="118"/>
      <c r="Q72" s="118"/>
      <c r="R72" s="118"/>
      <c r="S72" s="118"/>
      <c r="T72" s="118"/>
      <c r="U72" s="118"/>
      <c r="V72" s="118"/>
      <c r="W72" s="118" t="s">
        <v>15</v>
      </c>
      <c r="X72" s="118"/>
      <c r="Y72" s="118"/>
      <c r="Z72" s="118"/>
      <c r="AA72" s="118"/>
      <c r="AB72" s="118"/>
      <c r="AC72" s="678"/>
      <c r="AD72" s="127"/>
      <c r="AE72" s="1081"/>
      <c r="AF72" s="678"/>
      <c r="AG72" s="127"/>
      <c r="AH72" s="127"/>
      <c r="AI72" s="1108"/>
      <c r="AJ72" s="358"/>
      <c r="AK72" s="1102"/>
      <c r="AL72" s="1084"/>
    </row>
    <row r="73" spans="1:39" ht="15.75">
      <c r="A73" s="107"/>
      <c r="B73" s="1726" t="s">
        <v>213</v>
      </c>
      <c r="C73" s="107"/>
      <c r="D73" s="107"/>
      <c r="E73" s="1539">
        <v>0</v>
      </c>
      <c r="F73" s="895"/>
      <c r="G73" s="1539">
        <v>0</v>
      </c>
      <c r="H73" s="895"/>
      <c r="I73" s="1539">
        <v>0</v>
      </c>
      <c r="J73" s="895"/>
      <c r="K73" s="1539">
        <v>0</v>
      </c>
      <c r="L73" s="895"/>
      <c r="M73" s="1539">
        <v>0</v>
      </c>
      <c r="N73" s="895"/>
      <c r="O73" s="1539">
        <v>0</v>
      </c>
      <c r="P73" s="895"/>
      <c r="Q73" s="1539">
        <v>0</v>
      </c>
      <c r="R73" s="895"/>
      <c r="S73" s="1539">
        <v>0</v>
      </c>
      <c r="T73" s="1539"/>
      <c r="U73" s="1539">
        <v>0</v>
      </c>
      <c r="V73" s="895"/>
      <c r="W73" s="1539">
        <f t="shared" ref="W73:W74" si="7">$AD73-$E73-$G73-$I73-$K73-$M73-$O73-$Q73-$S73-$U73</f>
        <v>0</v>
      </c>
      <c r="X73" s="895"/>
      <c r="Y73" s="1539"/>
      <c r="Z73" s="895"/>
      <c r="AA73" s="1539"/>
      <c r="AB73" s="895"/>
      <c r="AC73" s="1415"/>
      <c r="AD73" s="1539">
        <v>0</v>
      </c>
      <c r="AE73" s="3208"/>
      <c r="AF73" s="1024"/>
      <c r="AG73" s="1539">
        <v>0</v>
      </c>
      <c r="AH73" s="119"/>
      <c r="AI73" s="1082"/>
      <c r="AJ73" s="1933">
        <f>-ROUND(AD73-AG73,1)</f>
        <v>0</v>
      </c>
      <c r="AK73" s="1102"/>
      <c r="AL73" s="1727">
        <f>ROUND(IF(AG73=0,0,AJ73/ABS(AG73)),3)</f>
        <v>0</v>
      </c>
      <c r="AM73" s="1102"/>
    </row>
    <row r="74" spans="1:39" ht="15.75">
      <c r="A74" s="107"/>
      <c r="B74" s="1726" t="s">
        <v>214</v>
      </c>
      <c r="C74" s="107"/>
      <c r="D74" s="107"/>
      <c r="E74" s="1539">
        <v>0</v>
      </c>
      <c r="F74" s="895"/>
      <c r="G74" s="1539">
        <v>0</v>
      </c>
      <c r="H74" s="895"/>
      <c r="I74" s="1539">
        <v>0</v>
      </c>
      <c r="J74" s="895"/>
      <c r="K74" s="1539">
        <v>0</v>
      </c>
      <c r="L74" s="895"/>
      <c r="M74" s="1539">
        <v>0</v>
      </c>
      <c r="N74" s="895"/>
      <c r="O74" s="1539">
        <v>0</v>
      </c>
      <c r="P74" s="895"/>
      <c r="Q74" s="1539">
        <v>0</v>
      </c>
      <c r="R74" s="895"/>
      <c r="S74" s="1539">
        <v>0</v>
      </c>
      <c r="T74" s="1539"/>
      <c r="U74" s="1539">
        <v>0</v>
      </c>
      <c r="V74" s="895"/>
      <c r="W74" s="1539">
        <f t="shared" si="7"/>
        <v>0</v>
      </c>
      <c r="X74" s="895"/>
      <c r="Y74" s="1539"/>
      <c r="Z74" s="895"/>
      <c r="AA74" s="1539"/>
      <c r="AB74" s="895"/>
      <c r="AC74" s="1415"/>
      <c r="AD74" s="3209">
        <v>0</v>
      </c>
      <c r="AE74" s="3208"/>
      <c r="AF74" s="1024"/>
      <c r="AG74" s="3209">
        <v>-176.1</v>
      </c>
      <c r="AH74" s="67"/>
      <c r="AI74" s="1104"/>
      <c r="AJ74" s="1115">
        <f>-ROUND(AD74-AG74,1)</f>
        <v>-176.1</v>
      </c>
      <c r="AK74" s="1102"/>
      <c r="AL74" s="1729">
        <f>ROUND(IF(AG74=0,0,AJ74/ABS(AG74)),3)</f>
        <v>-1</v>
      </c>
    </row>
    <row r="75" spans="1:39" ht="15.75">
      <c r="A75" s="107"/>
      <c r="B75" s="107"/>
      <c r="C75" s="107"/>
      <c r="D75" s="107"/>
      <c r="E75" s="126"/>
      <c r="F75" s="118"/>
      <c r="G75" s="126"/>
      <c r="H75" s="118"/>
      <c r="I75" s="126"/>
      <c r="J75" s="118"/>
      <c r="K75" s="126"/>
      <c r="L75" s="118"/>
      <c r="M75" s="126"/>
      <c r="N75" s="118"/>
      <c r="O75" s="126"/>
      <c r="P75" s="118"/>
      <c r="Q75" s="126"/>
      <c r="R75" s="118"/>
      <c r="S75" s="126"/>
      <c r="T75" s="118"/>
      <c r="U75" s="126"/>
      <c r="V75" s="118"/>
      <c r="W75" s="1484"/>
      <c r="X75" s="118"/>
      <c r="Y75" s="126"/>
      <c r="Z75" s="118"/>
      <c r="AA75" s="126"/>
      <c r="AB75" s="118"/>
      <c r="AC75" s="678"/>
      <c r="AD75" s="358"/>
      <c r="AE75" s="1081"/>
      <c r="AF75" s="678"/>
      <c r="AG75" s="358"/>
      <c r="AH75" s="358"/>
      <c r="AI75" s="1109"/>
      <c r="AJ75" s="1116"/>
      <c r="AK75" s="3714"/>
      <c r="AL75" s="3715"/>
      <c r="AM75" s="1102"/>
    </row>
    <row r="76" spans="1:39" ht="15.75">
      <c r="A76" s="107"/>
      <c r="B76" s="105" t="s">
        <v>207</v>
      </c>
      <c r="C76" s="107"/>
      <c r="D76" s="107"/>
      <c r="E76" s="1111">
        <f>ROUND(SUM(E73:E75),1)</f>
        <v>0</v>
      </c>
      <c r="F76" s="118"/>
      <c r="G76" s="1111">
        <f>ROUND(SUM(G73:G75),1)</f>
        <v>0</v>
      </c>
      <c r="H76" s="118"/>
      <c r="I76" s="1111">
        <f>ROUND(SUM(I73:I75),1)</f>
        <v>0</v>
      </c>
      <c r="J76" s="118"/>
      <c r="K76" s="1111">
        <f>ROUND(SUM(K73:K75),1)</f>
        <v>0</v>
      </c>
      <c r="L76" s="118"/>
      <c r="M76" s="1111">
        <f>ROUND(SUM(M73:M75),1)</f>
        <v>0</v>
      </c>
      <c r="N76" s="118"/>
      <c r="O76" s="1111">
        <f>ROUND(SUM(O73:O75),1)</f>
        <v>0</v>
      </c>
      <c r="P76" s="118"/>
      <c r="Q76" s="1111">
        <f>ROUND(SUM(Q73:Q75),1)</f>
        <v>0</v>
      </c>
      <c r="R76" s="127"/>
      <c r="S76" s="1111">
        <f>ROUND(SUM(S73:S75),1)</f>
        <v>0</v>
      </c>
      <c r="T76" s="118"/>
      <c r="U76" s="1111">
        <f>ROUND(SUM(U73:U75),1)</f>
        <v>0</v>
      </c>
      <c r="V76" s="118"/>
      <c r="W76" s="1111">
        <f>ROUND(SUM(W73:W75),1)</f>
        <v>0</v>
      </c>
      <c r="X76" s="118"/>
      <c r="Y76" s="1111">
        <f>ROUND(SUM(Y73:Y75),1)</f>
        <v>0</v>
      </c>
      <c r="Z76" s="119"/>
      <c r="AA76" s="1111">
        <f>ROUND(SUM(AA73:AA75),1)</f>
        <v>0</v>
      </c>
      <c r="AB76" s="118"/>
      <c r="AC76" s="678"/>
      <c r="AD76" s="1111">
        <f>ROUND(SUM(AD73:AD75),1)</f>
        <v>0</v>
      </c>
      <c r="AE76" s="1081"/>
      <c r="AF76" s="678"/>
      <c r="AG76" s="1111">
        <f>ROUND(SUM(AG73:AG75),1)</f>
        <v>-176.1</v>
      </c>
      <c r="AH76" s="67"/>
      <c r="AI76" s="1104"/>
      <c r="AJ76" s="1111">
        <f>ROUND(SUM(AJ73:AJ75),1)</f>
        <v>-176.1</v>
      </c>
      <c r="AK76" s="3714"/>
      <c r="AL76" s="2597">
        <f>ROUND(IF(AG76=0,0,AJ76/ABS(AG76)),3)</f>
        <v>-1</v>
      </c>
    </row>
    <row r="77" spans="1:39" ht="15.75">
      <c r="A77" s="107"/>
      <c r="B77" s="107"/>
      <c r="C77" s="107"/>
      <c r="D77" s="107"/>
      <c r="E77" s="126"/>
      <c r="F77" s="118"/>
      <c r="G77" s="126"/>
      <c r="H77" s="118"/>
      <c r="I77" s="126"/>
      <c r="J77" s="118"/>
      <c r="K77" s="126"/>
      <c r="L77" s="118"/>
      <c r="M77" s="126"/>
      <c r="N77" s="118"/>
      <c r="O77" s="126"/>
      <c r="P77" s="118"/>
      <c r="Q77" s="126"/>
      <c r="R77" s="118"/>
      <c r="S77" s="126"/>
      <c r="T77" s="118"/>
      <c r="U77" s="126"/>
      <c r="V77" s="118"/>
      <c r="W77" s="126"/>
      <c r="X77" s="118"/>
      <c r="Y77" s="126"/>
      <c r="Z77" s="118"/>
      <c r="AA77" s="126"/>
      <c r="AB77" s="118"/>
      <c r="AC77" s="678"/>
      <c r="AD77" s="126"/>
      <c r="AE77" s="1081"/>
      <c r="AF77" s="678"/>
      <c r="AG77" s="126"/>
      <c r="AH77" s="67"/>
      <c r="AI77" s="1104"/>
      <c r="AJ77" s="126"/>
      <c r="AK77" s="1102"/>
      <c r="AL77" s="2170"/>
    </row>
    <row r="78" spans="1:39" ht="15.75">
      <c r="A78" s="107"/>
      <c r="B78" s="105" t="s">
        <v>208</v>
      </c>
      <c r="C78" s="107"/>
      <c r="D78" s="107"/>
      <c r="E78" s="118" t="s">
        <v>15</v>
      </c>
      <c r="F78" s="118" t="s">
        <v>15</v>
      </c>
      <c r="G78" s="118" t="s">
        <v>15</v>
      </c>
      <c r="H78" s="118"/>
      <c r="I78" s="118" t="s">
        <v>15</v>
      </c>
      <c r="J78" s="118"/>
      <c r="K78" s="118" t="s">
        <v>15</v>
      </c>
      <c r="L78" s="118"/>
      <c r="M78" s="118" t="s">
        <v>15</v>
      </c>
      <c r="N78" s="118"/>
      <c r="O78" s="118" t="s">
        <v>15</v>
      </c>
      <c r="P78" s="118"/>
      <c r="Q78" s="118" t="s">
        <v>15</v>
      </c>
      <c r="R78" s="118"/>
      <c r="S78" s="118" t="s">
        <v>15</v>
      </c>
      <c r="T78" s="118"/>
      <c r="U78" s="118" t="s">
        <v>15</v>
      </c>
      <c r="V78" s="118"/>
      <c r="W78" s="118" t="s">
        <v>15</v>
      </c>
      <c r="X78" s="118"/>
      <c r="Y78" s="118" t="s">
        <v>15</v>
      </c>
      <c r="Z78" s="118"/>
      <c r="AA78" s="118" t="s">
        <v>15</v>
      </c>
      <c r="AB78" s="118"/>
      <c r="AC78" s="678"/>
      <c r="AD78" s="118"/>
      <c r="AE78" s="1081"/>
      <c r="AF78" s="678"/>
      <c r="AG78" s="118"/>
      <c r="AH78" s="118"/>
      <c r="AI78" s="1104"/>
      <c r="AJ78" s="358"/>
      <c r="AK78" s="1102"/>
      <c r="AL78" s="1084"/>
    </row>
    <row r="79" spans="1:39" ht="15.75">
      <c r="A79" s="107"/>
      <c r="B79" s="105" t="s">
        <v>209</v>
      </c>
      <c r="C79" s="107"/>
      <c r="D79" s="107"/>
      <c r="E79" s="118"/>
      <c r="F79" s="118"/>
      <c r="G79" s="118" t="s">
        <v>15</v>
      </c>
      <c r="H79" s="118"/>
      <c r="I79" s="118" t="s">
        <v>15</v>
      </c>
      <c r="J79" s="118"/>
      <c r="K79" s="118" t="s">
        <v>15</v>
      </c>
      <c r="L79" s="118"/>
      <c r="M79" s="118" t="s">
        <v>15</v>
      </c>
      <c r="N79" s="118"/>
      <c r="O79" s="118" t="s">
        <v>15</v>
      </c>
      <c r="P79" s="118"/>
      <c r="Q79" s="118" t="s">
        <v>15</v>
      </c>
      <c r="R79" s="118"/>
      <c r="S79" s="118" t="s">
        <v>15</v>
      </c>
      <c r="T79" s="118"/>
      <c r="U79" s="118" t="s">
        <v>15</v>
      </c>
      <c r="V79" s="118"/>
      <c r="W79" s="118" t="s">
        <v>15</v>
      </c>
      <c r="X79" s="118"/>
      <c r="Y79" s="118" t="s">
        <v>15</v>
      </c>
      <c r="Z79" s="118"/>
      <c r="AA79" s="118" t="s">
        <v>15</v>
      </c>
      <c r="AB79" s="118"/>
      <c r="AC79" s="678"/>
      <c r="AD79" s="118"/>
      <c r="AE79" s="1081"/>
      <c r="AF79" s="678"/>
      <c r="AG79" s="118"/>
      <c r="AH79" s="118"/>
      <c r="AI79" s="1104"/>
      <c r="AJ79" s="358"/>
      <c r="AK79" s="1102"/>
      <c r="AL79" s="1084"/>
    </row>
    <row r="80" spans="1:39" ht="15.75">
      <c r="A80" s="107"/>
      <c r="B80" s="105" t="s">
        <v>167</v>
      </c>
      <c r="C80" s="107"/>
      <c r="D80" s="107"/>
      <c r="E80" s="1107">
        <f>ROUND(E70+E76,1)</f>
        <v>6.1</v>
      </c>
      <c r="F80" s="67"/>
      <c r="G80" s="1107">
        <f>ROUND(G70+G76,1)</f>
        <v>-11.3</v>
      </c>
      <c r="H80" s="67"/>
      <c r="I80" s="1107">
        <f>ROUND(I70+I76,1)</f>
        <v>-10.7</v>
      </c>
      <c r="J80" s="67"/>
      <c r="K80" s="1107">
        <f>ROUND(K70+K76,1)</f>
        <v>37.4</v>
      </c>
      <c r="L80" s="67"/>
      <c r="M80" s="1107">
        <f>ROUND(M70+M76,1)</f>
        <v>25.6</v>
      </c>
      <c r="N80" s="67"/>
      <c r="O80" s="1107">
        <f>ROUND(O70+O76,1)</f>
        <v>-37.700000000000003</v>
      </c>
      <c r="P80" s="67"/>
      <c r="Q80" s="1107">
        <f>ROUND(Q70+Q76,1)</f>
        <v>13.7</v>
      </c>
      <c r="R80" s="67"/>
      <c r="S80" s="1107">
        <f>ROUND(S70+S76,1)</f>
        <v>80.599999999999994</v>
      </c>
      <c r="T80" s="67"/>
      <c r="U80" s="1107">
        <f>ROUND(U70+U76,1)</f>
        <v>107.3</v>
      </c>
      <c r="V80" s="67"/>
      <c r="W80" s="1107">
        <f>ROUND(W70+W76,1)</f>
        <v>12.5</v>
      </c>
      <c r="X80" s="67"/>
      <c r="Y80" s="1107">
        <f>ROUND(Y70+Y76,1)</f>
        <v>0</v>
      </c>
      <c r="Z80" s="67"/>
      <c r="AA80" s="1107">
        <f>ROUND(AA70+AA76,1)</f>
        <v>0</v>
      </c>
      <c r="AB80" s="67"/>
      <c r="AC80" s="1072"/>
      <c r="AD80" s="1107">
        <f>ROUND(AD70+AD76,1)</f>
        <v>223.5</v>
      </c>
      <c r="AE80" s="3210"/>
      <c r="AF80" s="3213"/>
      <c r="AG80" s="1107">
        <f>ROUND(AG70+AG76,1)</f>
        <v>39.5</v>
      </c>
      <c r="AH80" s="1848"/>
      <c r="AI80" s="1849"/>
      <c r="AJ80" s="1107">
        <f>ROUND(AD80-AG80,1)</f>
        <v>184</v>
      </c>
      <c r="AK80" s="3468"/>
      <c r="AL80" s="3671">
        <f>ROUND(SUM(AD80-AG80)/ABS(AG80),3)</f>
        <v>4.6580000000000004</v>
      </c>
      <c r="AM80" s="3716"/>
    </row>
    <row r="81" spans="1:39" ht="15.75">
      <c r="A81" s="107"/>
      <c r="B81" s="105"/>
      <c r="C81" s="107"/>
      <c r="D81" s="107"/>
      <c r="E81" s="139"/>
      <c r="F81" s="118"/>
      <c r="G81" s="139"/>
      <c r="H81" s="118"/>
      <c r="I81" s="139"/>
      <c r="J81" s="118"/>
      <c r="K81" s="139"/>
      <c r="L81" s="118"/>
      <c r="M81" s="139"/>
      <c r="N81" s="118"/>
      <c r="O81" s="139"/>
      <c r="P81" s="118"/>
      <c r="Q81" s="139"/>
      <c r="R81" s="118"/>
      <c r="S81" s="139"/>
      <c r="T81" s="118"/>
      <c r="U81" s="139"/>
      <c r="V81" s="118"/>
      <c r="W81" s="139"/>
      <c r="X81" s="118"/>
      <c r="Y81" s="139"/>
      <c r="Z81" s="118"/>
      <c r="AA81" s="139"/>
      <c r="AB81" s="118"/>
      <c r="AC81" s="1072"/>
      <c r="AD81" s="139"/>
      <c r="AE81" s="3211"/>
      <c r="AF81" s="3214"/>
      <c r="AG81" s="139"/>
      <c r="AH81" s="1381"/>
      <c r="AI81" s="1382"/>
      <c r="AJ81" s="139"/>
      <c r="AK81" s="3712"/>
      <c r="AL81" s="3717"/>
      <c r="AM81" s="3716"/>
    </row>
    <row r="82" spans="1:39" ht="16.5" thickBot="1">
      <c r="A82" s="107"/>
      <c r="B82" s="105" t="s">
        <v>1185</v>
      </c>
      <c r="C82" s="107"/>
      <c r="D82" s="107"/>
      <c r="E82" s="1850">
        <f>ROUND(SUM(E14+E80),1)</f>
        <v>-556.6</v>
      </c>
      <c r="F82" s="118"/>
      <c r="G82" s="1850">
        <f>ROUND(SUM(G14+G80),1)</f>
        <v>-567.9</v>
      </c>
      <c r="H82" s="118"/>
      <c r="I82" s="1850">
        <f>ROUND(SUM(I14+I80),1)</f>
        <v>-578.6</v>
      </c>
      <c r="J82" s="118"/>
      <c r="K82" s="1850">
        <f>ROUND(SUM(K14+K80),1)</f>
        <v>-541.20000000000005</v>
      </c>
      <c r="L82" s="118"/>
      <c r="M82" s="1850">
        <f>ROUND(SUM(M14+M80),1)</f>
        <v>-515.6</v>
      </c>
      <c r="N82" s="118"/>
      <c r="O82" s="1850">
        <f>ROUND(SUM(O14+O80),1)</f>
        <v>-553.29999999999995</v>
      </c>
      <c r="P82" s="118"/>
      <c r="Q82" s="1850">
        <f>ROUND(SUM(Q14+Q80),1)</f>
        <v>-539.6</v>
      </c>
      <c r="R82" s="118"/>
      <c r="S82" s="1850">
        <f>ROUND(SUM(S14+S80),1)</f>
        <v>-459</v>
      </c>
      <c r="T82" s="118"/>
      <c r="U82" s="1850">
        <f>ROUND(SUM(U14+U80),1)</f>
        <v>-351.7</v>
      </c>
      <c r="V82" s="118"/>
      <c r="W82" s="1850">
        <f>ROUND(SUM(W14+W80),1)</f>
        <v>-339.2</v>
      </c>
      <c r="X82" s="118"/>
      <c r="Y82" s="1850">
        <f>ROUND(SUM(Y14+Y80),1)</f>
        <v>0</v>
      </c>
      <c r="Z82" s="118"/>
      <c r="AA82" s="1850">
        <f>ROUND(SUM(AA14+AA80),1)</f>
        <v>0</v>
      </c>
      <c r="AB82" s="118"/>
      <c r="AC82" s="1072"/>
      <c r="AD82" s="1850">
        <f>ROUND(SUM(AD14+AD80),1)</f>
        <v>-339.2</v>
      </c>
      <c r="AE82" s="3211"/>
      <c r="AF82" s="3214"/>
      <c r="AG82" s="1850">
        <f>ROUND(SUM(AG14+AG80),1)</f>
        <v>-465.2</v>
      </c>
      <c r="AH82" s="1381"/>
      <c r="AI82" s="1382"/>
      <c r="AJ82" s="1850">
        <f>ROUND(SUM(AJ14+AJ80),1)</f>
        <v>126</v>
      </c>
      <c r="AK82" s="3712"/>
      <c r="AL82" s="3718">
        <f>ROUND(SUM(AD82-AG82)/ABS(AG82),3)</f>
        <v>0.27100000000000002</v>
      </c>
      <c r="AM82" s="3716"/>
    </row>
    <row r="83" spans="1:39" ht="16.5" thickTop="1">
      <c r="A83" s="107"/>
      <c r="B83" s="107"/>
      <c r="C83" s="107"/>
      <c r="D83" s="107"/>
      <c r="E83" s="117"/>
      <c r="F83" s="117"/>
      <c r="G83" s="117"/>
      <c r="H83" s="117"/>
      <c r="I83" s="117"/>
      <c r="J83" s="117"/>
      <c r="K83" s="117"/>
      <c r="L83" s="117"/>
      <c r="M83" s="117"/>
      <c r="N83" s="117"/>
      <c r="O83" s="117"/>
      <c r="P83" s="117"/>
      <c r="Q83" s="117"/>
      <c r="R83" s="117"/>
      <c r="S83" s="117"/>
      <c r="T83" s="117"/>
      <c r="U83" s="117"/>
      <c r="V83" s="117"/>
      <c r="W83" s="117"/>
      <c r="X83" s="117"/>
      <c r="Y83" s="117"/>
      <c r="Z83" s="117"/>
      <c r="AA83" s="117"/>
      <c r="AB83" s="117"/>
      <c r="AC83" s="117"/>
      <c r="AD83" s="117"/>
      <c r="AE83" s="117"/>
      <c r="AF83" s="117"/>
      <c r="AG83" s="117"/>
      <c r="AH83" s="117"/>
      <c r="AI83" s="1117"/>
      <c r="AJ83" s="1102"/>
      <c r="AK83" s="1102"/>
      <c r="AL83" s="3719"/>
    </row>
    <row r="84" spans="1:39">
      <c r="A84" s="107"/>
      <c r="B84" s="3720"/>
      <c r="C84" s="107"/>
      <c r="D84" s="107"/>
      <c r="E84" s="109"/>
      <c r="F84" s="107"/>
      <c r="G84" s="109"/>
      <c r="H84" s="107"/>
      <c r="I84" s="109"/>
      <c r="J84" s="107"/>
      <c r="K84" s="109"/>
      <c r="L84" s="107"/>
      <c r="M84" s="109"/>
      <c r="N84" s="107"/>
      <c r="O84" s="109"/>
      <c r="P84" s="107"/>
      <c r="Q84" s="109"/>
      <c r="R84" s="107"/>
      <c r="S84" s="3721" t="s">
        <v>15</v>
      </c>
      <c r="T84" s="107"/>
      <c r="U84" s="3721" t="s">
        <v>15</v>
      </c>
      <c r="V84" s="107"/>
      <c r="W84" s="109"/>
      <c r="X84" s="107"/>
      <c r="Y84" s="109"/>
      <c r="Z84" s="107"/>
      <c r="AA84" s="109"/>
      <c r="AB84" s="107"/>
      <c r="AC84" s="107"/>
      <c r="AD84" s="109"/>
      <c r="AE84" s="107"/>
      <c r="AF84" s="107"/>
      <c r="AG84" s="109"/>
      <c r="AH84" s="109"/>
      <c r="AI84" s="109"/>
      <c r="AJ84" s="1102"/>
      <c r="AK84" s="1102"/>
      <c r="AL84" s="1084"/>
    </row>
    <row r="85" spans="1:39">
      <c r="B85" s="107"/>
      <c r="Y85" s="3469" t="s">
        <v>15</v>
      </c>
      <c r="AI85" s="1102"/>
      <c r="AJ85" s="1090" t="s">
        <v>15</v>
      </c>
      <c r="AK85" s="1102"/>
      <c r="AL85" s="3722"/>
    </row>
    <row r="90" spans="1:39">
      <c r="AD90" s="3212"/>
    </row>
  </sheetData>
  <mergeCells count="1">
    <mergeCell ref="AD10:AL10"/>
  </mergeCells>
  <pageMargins left="0.25" right="0.25" top="0.5" bottom="0.25" header="0" footer="0.25"/>
  <pageSetup scale="43" firstPageNumber="33" orientation="landscape" useFirstPageNumber="1" r:id="rId1"/>
  <headerFooter scaleWithDoc="0" alignWithMargins="0">
    <oddFooter>&amp;C&amp;8&amp;P</oddFooter>
  </headerFooter>
  <ignoredErrors>
    <ignoredError sqref="AL21:AL33 AL42 AL44 AL62:AL65 AL73 AL51:AL54 AL50 AL57:AL58 AL35:AL40" unlockedFormula="1"/>
    <ignoredError sqref="AL41"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IT57"/>
  <sheetViews>
    <sheetView showGridLines="0" zoomScale="70" zoomScaleNormal="60" workbookViewId="0"/>
  </sheetViews>
  <sheetFormatPr defaultColWidth="8.6640625" defaultRowHeight="16.5" customHeight="1"/>
  <cols>
    <col min="1" max="1" width="45.109375" style="102" customWidth="1"/>
    <col min="2" max="2" width="1.6640625" style="102" customWidth="1"/>
    <col min="3" max="3" width="9.6640625" style="102" customWidth="1"/>
    <col min="4" max="4" width="1.6640625" style="102" customWidth="1"/>
    <col min="5" max="5" width="10" style="102" customWidth="1"/>
    <col min="6" max="6" width="1.6640625" style="102" customWidth="1"/>
    <col min="7" max="7" width="11.5546875" style="102" customWidth="1"/>
    <col min="8" max="8" width="1.6640625" style="102" customWidth="1"/>
    <col min="9" max="9" width="11.109375" style="102" bestFit="1" customWidth="1"/>
    <col min="10" max="10" width="1.5546875" style="102" customWidth="1"/>
    <col min="11" max="11" width="10.109375" style="102" customWidth="1"/>
    <col min="12" max="12" width="1.5546875" style="102" customWidth="1"/>
    <col min="13" max="13" width="13.109375" style="102" customWidth="1"/>
    <col min="14" max="14" width="1.6640625" style="102" customWidth="1"/>
    <col min="15" max="15" width="11.6640625" style="102" customWidth="1"/>
    <col min="16" max="16" width="1.6640625" style="102" customWidth="1"/>
    <col min="17" max="17" width="11.6640625" style="102" customWidth="1"/>
    <col min="18" max="18" width="1.6640625" style="102" customWidth="1"/>
    <col min="19" max="19" width="12.44140625" style="102" customWidth="1"/>
    <col min="20" max="20" width="1.6640625" style="102" customWidth="1"/>
    <col min="21" max="21" width="11.6640625" style="102" customWidth="1"/>
    <col min="22" max="22" width="1.6640625" style="102" customWidth="1"/>
    <col min="23" max="23" width="10.6640625" style="102" customWidth="1"/>
    <col min="24" max="24" width="1.6640625" style="102" customWidth="1"/>
    <col min="25" max="25" width="10.109375" style="102" customWidth="1"/>
    <col min="26" max="27" width="1.6640625" style="102" customWidth="1"/>
    <col min="28" max="28" width="11.5546875" style="1713" customWidth="1"/>
    <col min="29" max="30" width="1.6640625" style="1713" customWidth="1"/>
    <col min="31" max="31" width="12.44140625" style="1713" customWidth="1"/>
    <col min="32" max="32" width="1.6640625" style="2210" customWidth="1"/>
    <col min="33" max="33" width="2.44140625" style="3227" customWidth="1"/>
    <col min="34" max="34" width="12.44140625" style="1662" customWidth="1"/>
    <col min="35" max="35" width="1.6640625" style="1133" customWidth="1"/>
    <col min="36" max="36" width="14.109375" style="1132" bestFit="1" customWidth="1"/>
    <col min="37" max="16384" width="8.6640625" style="102"/>
  </cols>
  <sheetData>
    <row r="1" spans="1:254" ht="16.5" customHeight="1">
      <c r="A1" s="644" t="s">
        <v>963</v>
      </c>
    </row>
    <row r="2" spans="1:254" ht="16.5" customHeight="1">
      <c r="A2" s="225"/>
      <c r="B2" s="225"/>
      <c r="C2" s="225"/>
      <c r="D2" s="225"/>
      <c r="E2" s="225"/>
      <c r="F2" s="225"/>
      <c r="G2" s="225"/>
      <c r="H2" s="225"/>
      <c r="I2" s="225"/>
      <c r="J2" s="225"/>
      <c r="K2" s="225"/>
      <c r="L2" s="225"/>
      <c r="M2" s="225"/>
      <c r="N2" s="225"/>
      <c r="O2" s="225"/>
      <c r="P2" s="225"/>
      <c r="Q2" s="225"/>
      <c r="R2" s="225"/>
      <c r="S2" s="225"/>
      <c r="T2" s="225"/>
      <c r="U2" s="225"/>
      <c r="V2" s="225"/>
      <c r="W2" s="225"/>
      <c r="X2" s="225"/>
      <c r="Y2" s="225"/>
      <c r="Z2" s="225"/>
      <c r="AA2" s="225"/>
      <c r="AB2" s="3123"/>
      <c r="AC2" s="3123"/>
      <c r="AD2" s="3123"/>
      <c r="AE2" s="3123"/>
    </row>
    <row r="3" spans="1:254" ht="20.25" customHeight="1">
      <c r="A3" s="3547" t="s">
        <v>0</v>
      </c>
      <c r="B3" s="221"/>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1707"/>
      <c r="AC3" s="1707"/>
      <c r="AD3" s="1707"/>
      <c r="AE3" s="1707"/>
      <c r="AF3" s="107"/>
      <c r="AJ3" s="1170" t="s">
        <v>1077</v>
      </c>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c r="BP3" s="223"/>
      <c r="BQ3" s="223"/>
      <c r="BR3" s="223"/>
      <c r="BS3" s="223"/>
      <c r="BT3" s="223"/>
      <c r="BU3" s="223"/>
      <c r="BV3" s="223"/>
      <c r="BW3" s="223"/>
      <c r="BX3" s="223"/>
      <c r="BY3" s="223"/>
      <c r="BZ3" s="223"/>
      <c r="CA3" s="223"/>
      <c r="CB3" s="223"/>
      <c r="CC3" s="223"/>
      <c r="CD3" s="223"/>
      <c r="CE3" s="223"/>
      <c r="CF3" s="223"/>
      <c r="CG3" s="223"/>
      <c r="CH3" s="223"/>
      <c r="CI3" s="223"/>
      <c r="CJ3" s="223"/>
      <c r="CK3" s="223"/>
      <c r="CL3" s="223"/>
      <c r="CM3" s="223"/>
      <c r="CN3" s="223"/>
      <c r="CO3" s="223"/>
      <c r="CP3" s="223"/>
      <c r="CQ3" s="223"/>
      <c r="CR3" s="223"/>
      <c r="CS3" s="223"/>
      <c r="CT3" s="223"/>
      <c r="CU3" s="223"/>
      <c r="CV3" s="223"/>
      <c r="CW3" s="223"/>
      <c r="CX3" s="223"/>
      <c r="CY3" s="223"/>
      <c r="CZ3" s="223"/>
      <c r="DA3" s="223"/>
      <c r="DB3" s="223"/>
      <c r="DC3" s="223"/>
      <c r="DD3" s="223"/>
      <c r="DE3" s="223"/>
      <c r="DF3" s="223"/>
      <c r="DG3" s="223"/>
      <c r="DH3" s="223"/>
      <c r="DI3" s="223"/>
      <c r="DJ3" s="223"/>
      <c r="DK3" s="223"/>
      <c r="DL3" s="223"/>
      <c r="DM3" s="223"/>
      <c r="DN3" s="223"/>
      <c r="DO3" s="223"/>
      <c r="DP3" s="223"/>
      <c r="DQ3" s="223"/>
      <c r="DR3" s="223"/>
      <c r="DS3" s="223"/>
      <c r="DT3" s="223"/>
      <c r="DU3" s="223"/>
      <c r="DV3" s="223"/>
      <c r="DW3" s="223"/>
      <c r="DX3" s="223"/>
      <c r="DY3" s="223"/>
      <c r="DZ3" s="223"/>
      <c r="EA3" s="223"/>
      <c r="EB3" s="223"/>
      <c r="EC3" s="223"/>
      <c r="ED3" s="223"/>
      <c r="EE3" s="223"/>
      <c r="EF3" s="223"/>
      <c r="EG3" s="223"/>
      <c r="EH3" s="223"/>
      <c r="EI3" s="223"/>
      <c r="EJ3" s="223"/>
      <c r="EK3" s="223"/>
      <c r="EL3" s="223"/>
      <c r="EM3" s="223"/>
      <c r="EN3" s="223"/>
      <c r="EO3" s="223"/>
      <c r="EP3" s="223"/>
      <c r="EQ3" s="223"/>
      <c r="ER3" s="223"/>
      <c r="ES3" s="223"/>
      <c r="ET3" s="223"/>
      <c r="EU3" s="223"/>
      <c r="EV3" s="223"/>
      <c r="EW3" s="223"/>
      <c r="EX3" s="223"/>
      <c r="EY3" s="223"/>
      <c r="EZ3" s="223"/>
      <c r="FA3" s="223"/>
      <c r="FB3" s="223"/>
      <c r="FC3" s="223"/>
      <c r="FD3" s="223"/>
      <c r="FE3" s="223"/>
      <c r="FF3" s="223"/>
      <c r="FG3" s="223"/>
      <c r="FH3" s="223"/>
      <c r="FI3" s="223"/>
      <c r="FJ3" s="223"/>
      <c r="FK3" s="223"/>
      <c r="FL3" s="223"/>
      <c r="FM3" s="223"/>
      <c r="FN3" s="223"/>
      <c r="FO3" s="223"/>
      <c r="FP3" s="223"/>
      <c r="FQ3" s="223"/>
      <c r="FR3" s="223"/>
      <c r="FS3" s="223"/>
      <c r="FT3" s="223"/>
      <c r="FU3" s="223"/>
      <c r="FV3" s="223"/>
      <c r="FW3" s="223"/>
      <c r="FX3" s="223"/>
      <c r="FY3" s="223"/>
      <c r="FZ3" s="223"/>
      <c r="GA3" s="223"/>
      <c r="GB3" s="223"/>
      <c r="GC3" s="223"/>
      <c r="GD3" s="223"/>
      <c r="GE3" s="223"/>
      <c r="GF3" s="223"/>
      <c r="GG3" s="223"/>
      <c r="GH3" s="223"/>
      <c r="GI3" s="223"/>
      <c r="GJ3" s="223"/>
      <c r="GK3" s="223"/>
      <c r="GL3" s="223"/>
      <c r="GM3" s="223"/>
      <c r="GN3" s="223"/>
      <c r="GO3" s="223"/>
      <c r="GP3" s="223"/>
      <c r="GQ3" s="223"/>
      <c r="GR3" s="223"/>
      <c r="GS3" s="223"/>
      <c r="GT3" s="223"/>
      <c r="GU3" s="223"/>
      <c r="GV3" s="223"/>
      <c r="GW3" s="223"/>
      <c r="GX3" s="223"/>
      <c r="GY3" s="223"/>
      <c r="GZ3" s="223"/>
      <c r="HA3" s="223"/>
      <c r="HB3" s="223"/>
      <c r="HC3" s="223"/>
      <c r="HD3" s="223"/>
      <c r="HE3" s="223"/>
      <c r="HF3" s="223"/>
      <c r="HG3" s="223"/>
      <c r="HH3" s="223"/>
      <c r="HI3" s="223"/>
      <c r="HJ3" s="223"/>
      <c r="HK3" s="223"/>
      <c r="HL3" s="223"/>
      <c r="HM3" s="223"/>
      <c r="HN3" s="223"/>
      <c r="HO3" s="223"/>
      <c r="HP3" s="223"/>
      <c r="HQ3" s="223"/>
      <c r="HR3" s="223"/>
      <c r="HS3" s="223"/>
      <c r="HT3" s="223"/>
      <c r="HU3" s="223"/>
      <c r="HV3" s="223"/>
      <c r="HW3" s="223"/>
      <c r="HX3" s="223"/>
      <c r="HY3" s="223"/>
      <c r="HZ3" s="223"/>
      <c r="IA3" s="223"/>
      <c r="IB3" s="223"/>
      <c r="IC3" s="223"/>
      <c r="ID3" s="223"/>
      <c r="IE3" s="223"/>
      <c r="IF3" s="223"/>
      <c r="IG3" s="223"/>
      <c r="IH3" s="223"/>
      <c r="II3" s="223"/>
      <c r="IJ3" s="223"/>
      <c r="IK3" s="223"/>
      <c r="IL3" s="223"/>
      <c r="IM3" s="223"/>
      <c r="IN3" s="223"/>
      <c r="IO3" s="223"/>
      <c r="IP3" s="223"/>
      <c r="IQ3" s="223"/>
      <c r="IR3" s="223"/>
      <c r="IS3" s="223"/>
      <c r="IT3" s="223"/>
    </row>
    <row r="4" spans="1:254" ht="20.25" customHeight="1">
      <c r="A4" s="3547" t="s">
        <v>215</v>
      </c>
      <c r="B4" s="221"/>
      <c r="C4" s="221"/>
      <c r="D4" s="221"/>
      <c r="E4" s="221"/>
      <c r="F4" s="221"/>
      <c r="G4" s="221"/>
      <c r="H4" s="221"/>
      <c r="I4" s="221" t="s">
        <v>15</v>
      </c>
      <c r="J4" s="221"/>
      <c r="K4" s="221"/>
      <c r="L4" s="221"/>
      <c r="M4" s="221"/>
      <c r="N4" s="221"/>
      <c r="O4" s="221"/>
      <c r="P4" s="221"/>
      <c r="Q4" s="221"/>
      <c r="R4" s="221"/>
      <c r="S4" s="221"/>
      <c r="T4" s="221"/>
      <c r="U4" s="221"/>
      <c r="V4" s="221"/>
      <c r="W4" s="221"/>
      <c r="X4" s="221"/>
      <c r="Y4" s="221" t="s">
        <v>15</v>
      </c>
      <c r="Z4" s="221"/>
      <c r="AA4" s="221"/>
      <c r="AB4" s="1707"/>
      <c r="AC4" s="1707"/>
      <c r="AD4" s="1707"/>
      <c r="AE4" s="1707"/>
      <c r="AF4" s="107"/>
      <c r="AK4" s="223"/>
      <c r="AL4" s="223"/>
      <c r="AM4" s="223"/>
      <c r="AN4" s="223"/>
      <c r="AO4" s="223"/>
      <c r="AP4" s="223"/>
      <c r="AQ4" s="223"/>
      <c r="AR4" s="223"/>
      <c r="AS4" s="223"/>
      <c r="AT4" s="223"/>
      <c r="AU4" s="223"/>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c r="BT4" s="223"/>
      <c r="BU4" s="223"/>
      <c r="BV4" s="223"/>
      <c r="BW4" s="223"/>
      <c r="BX4" s="223"/>
      <c r="BY4" s="223"/>
      <c r="BZ4" s="223"/>
      <c r="CA4" s="223"/>
      <c r="CB4" s="223"/>
      <c r="CC4" s="223"/>
      <c r="CD4" s="223"/>
      <c r="CE4" s="223"/>
      <c r="CF4" s="223"/>
      <c r="CG4" s="223"/>
      <c r="CH4" s="223"/>
      <c r="CI4" s="223"/>
      <c r="CJ4" s="223"/>
      <c r="CK4" s="223"/>
      <c r="CL4" s="223"/>
      <c r="CM4" s="223"/>
      <c r="CN4" s="223"/>
      <c r="CO4" s="223"/>
      <c r="CP4" s="223"/>
      <c r="CQ4" s="223"/>
      <c r="CR4" s="223"/>
      <c r="CS4" s="223"/>
      <c r="CT4" s="223"/>
      <c r="CU4" s="223"/>
      <c r="CV4" s="223"/>
      <c r="CW4" s="223"/>
      <c r="CX4" s="223"/>
      <c r="CY4" s="223"/>
      <c r="CZ4" s="223"/>
      <c r="DA4" s="223"/>
      <c r="DB4" s="223"/>
      <c r="DC4" s="223"/>
      <c r="DD4" s="223"/>
      <c r="DE4" s="223"/>
      <c r="DF4" s="223"/>
      <c r="DG4" s="223"/>
      <c r="DH4" s="223"/>
      <c r="DI4" s="223"/>
      <c r="DJ4" s="223"/>
      <c r="DK4" s="223"/>
      <c r="DL4" s="223"/>
      <c r="DM4" s="223"/>
      <c r="DN4" s="223"/>
      <c r="DO4" s="223"/>
      <c r="DP4" s="223"/>
      <c r="DQ4" s="223"/>
      <c r="DR4" s="223"/>
      <c r="DS4" s="223"/>
      <c r="DT4" s="223"/>
      <c r="DU4" s="223"/>
      <c r="DV4" s="223"/>
      <c r="DW4" s="223"/>
      <c r="DX4" s="223"/>
      <c r="DY4" s="223"/>
      <c r="DZ4" s="223"/>
      <c r="EA4" s="223"/>
      <c r="EB4" s="223"/>
      <c r="EC4" s="223"/>
      <c r="ED4" s="223"/>
      <c r="EE4" s="223"/>
      <c r="EF4" s="223"/>
      <c r="EG4" s="223"/>
      <c r="EH4" s="223"/>
      <c r="EI4" s="223"/>
      <c r="EJ4" s="223"/>
      <c r="EK4" s="223"/>
      <c r="EL4" s="223"/>
      <c r="EM4" s="223"/>
      <c r="EN4" s="223"/>
      <c r="EO4" s="223"/>
      <c r="EP4" s="223"/>
      <c r="EQ4" s="223"/>
      <c r="ER4" s="223"/>
      <c r="ES4" s="223"/>
      <c r="ET4" s="223"/>
      <c r="EU4" s="223"/>
      <c r="EV4" s="223"/>
      <c r="EW4" s="223"/>
      <c r="EX4" s="223"/>
      <c r="EY4" s="223"/>
      <c r="EZ4" s="223"/>
      <c r="FA4" s="223"/>
      <c r="FB4" s="223"/>
      <c r="FC4" s="223"/>
      <c r="FD4" s="223"/>
      <c r="FE4" s="223"/>
      <c r="FF4" s="223"/>
      <c r="FG4" s="223"/>
      <c r="FH4" s="223"/>
      <c r="FI4" s="223"/>
      <c r="FJ4" s="223"/>
      <c r="FK4" s="223"/>
      <c r="FL4" s="223"/>
      <c r="FM4" s="223"/>
      <c r="FN4" s="223"/>
      <c r="FO4" s="223"/>
      <c r="FP4" s="223"/>
      <c r="FQ4" s="223"/>
      <c r="FR4" s="223"/>
      <c r="FS4" s="223"/>
      <c r="FT4" s="223"/>
      <c r="FU4" s="223"/>
      <c r="FV4" s="223"/>
      <c r="FW4" s="223"/>
      <c r="FX4" s="223"/>
      <c r="FY4" s="223"/>
      <c r="FZ4" s="223"/>
      <c r="GA4" s="223"/>
      <c r="GB4" s="223"/>
      <c r="GC4" s="223"/>
      <c r="GD4" s="223"/>
      <c r="GE4" s="223"/>
      <c r="GF4" s="223"/>
      <c r="GG4" s="223"/>
      <c r="GH4" s="223"/>
      <c r="GI4" s="223"/>
      <c r="GJ4" s="223"/>
      <c r="GK4" s="223"/>
      <c r="GL4" s="223"/>
      <c r="GM4" s="223"/>
      <c r="GN4" s="223"/>
      <c r="GO4" s="223"/>
      <c r="GP4" s="223"/>
      <c r="GQ4" s="223"/>
      <c r="GR4" s="223"/>
      <c r="GS4" s="223"/>
      <c r="GT4" s="223"/>
      <c r="GU4" s="223"/>
      <c r="GV4" s="223"/>
      <c r="GW4" s="223"/>
      <c r="GX4" s="223"/>
      <c r="GY4" s="223"/>
      <c r="GZ4" s="223"/>
      <c r="HA4" s="223"/>
      <c r="HB4" s="223"/>
      <c r="HC4" s="223"/>
      <c r="HD4" s="223"/>
      <c r="HE4" s="223"/>
      <c r="HF4" s="223"/>
      <c r="HG4" s="223"/>
      <c r="HH4" s="223"/>
      <c r="HI4" s="223"/>
      <c r="HJ4" s="223"/>
      <c r="HK4" s="223"/>
      <c r="HL4" s="223"/>
      <c r="HM4" s="223"/>
      <c r="HN4" s="223"/>
      <c r="HO4" s="223"/>
      <c r="HP4" s="223"/>
      <c r="HQ4" s="223"/>
      <c r="HR4" s="223"/>
      <c r="HS4" s="223"/>
      <c r="HT4" s="223"/>
      <c r="HU4" s="223"/>
      <c r="HV4" s="223"/>
      <c r="HW4" s="223"/>
      <c r="HX4" s="223"/>
      <c r="HY4" s="223"/>
      <c r="HZ4" s="223"/>
      <c r="IA4" s="223"/>
      <c r="IB4" s="223"/>
      <c r="IC4" s="223"/>
      <c r="ID4" s="223"/>
      <c r="IE4" s="223"/>
      <c r="IF4" s="223"/>
      <c r="IG4" s="223"/>
      <c r="IH4" s="223"/>
      <c r="II4" s="223"/>
      <c r="IJ4" s="223"/>
      <c r="IK4" s="223"/>
      <c r="IL4" s="223"/>
      <c r="IM4" s="223"/>
      <c r="IN4" s="223"/>
      <c r="IO4" s="223"/>
      <c r="IP4" s="223"/>
      <c r="IQ4" s="223"/>
      <c r="IR4" s="223"/>
      <c r="IS4" s="223"/>
      <c r="IT4" s="223"/>
    </row>
    <row r="5" spans="1:254" ht="20.25" customHeight="1">
      <c r="A5" s="3548" t="s">
        <v>123</v>
      </c>
      <c r="B5" s="221"/>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F5" s="3228"/>
      <c r="AK5" s="222"/>
      <c r="AL5" s="222"/>
      <c r="AM5" s="222"/>
      <c r="AN5" s="223"/>
      <c r="AO5" s="223"/>
      <c r="AP5" s="223"/>
      <c r="AQ5" s="223"/>
      <c r="AR5" s="223"/>
      <c r="AS5" s="223"/>
      <c r="AT5" s="223"/>
      <c r="AU5" s="223"/>
      <c r="AV5" s="223"/>
      <c r="AW5" s="223"/>
      <c r="AX5" s="223"/>
      <c r="AY5" s="223"/>
      <c r="AZ5" s="223"/>
      <c r="BA5" s="223"/>
      <c r="BB5" s="223"/>
      <c r="BC5" s="223"/>
      <c r="BD5" s="223"/>
      <c r="BE5" s="223"/>
      <c r="BF5" s="223"/>
      <c r="BG5" s="223"/>
      <c r="BH5" s="223"/>
      <c r="BI5" s="223"/>
      <c r="BJ5" s="223"/>
      <c r="BK5" s="223"/>
      <c r="BL5" s="223"/>
      <c r="BM5" s="223"/>
      <c r="BN5" s="223"/>
      <c r="BO5" s="223"/>
      <c r="BP5" s="223"/>
      <c r="BQ5" s="223"/>
      <c r="BR5" s="223"/>
      <c r="BS5" s="223"/>
      <c r="BT5" s="223"/>
      <c r="BU5" s="223"/>
      <c r="BV5" s="223"/>
      <c r="BW5" s="223"/>
      <c r="BX5" s="223"/>
      <c r="BY5" s="223"/>
      <c r="BZ5" s="223"/>
      <c r="CA5" s="223"/>
      <c r="CB5" s="223"/>
      <c r="CC5" s="223"/>
      <c r="CD5" s="223"/>
      <c r="CE5" s="223"/>
      <c r="CF5" s="223"/>
      <c r="CG5" s="223"/>
      <c r="CH5" s="223"/>
      <c r="CI5" s="223"/>
      <c r="CJ5" s="223"/>
      <c r="CK5" s="223"/>
      <c r="CL5" s="223"/>
      <c r="CM5" s="223"/>
      <c r="CN5" s="223"/>
      <c r="CO5" s="223"/>
      <c r="CP5" s="223"/>
      <c r="CQ5" s="223"/>
      <c r="CR5" s="223"/>
      <c r="CS5" s="223"/>
      <c r="CT5" s="223"/>
      <c r="CU5" s="223"/>
      <c r="CV5" s="223"/>
      <c r="CW5" s="223"/>
      <c r="CX5" s="223"/>
      <c r="CY5" s="223"/>
      <c r="CZ5" s="223"/>
      <c r="DA5" s="223"/>
      <c r="DB5" s="223"/>
      <c r="DC5" s="223"/>
      <c r="DD5" s="223"/>
      <c r="DE5" s="223"/>
      <c r="DF5" s="223"/>
      <c r="DG5" s="223"/>
      <c r="DH5" s="223"/>
      <c r="DI5" s="223"/>
      <c r="DJ5" s="223"/>
      <c r="DK5" s="223"/>
      <c r="DL5" s="223"/>
      <c r="DM5" s="223"/>
      <c r="DN5" s="223"/>
      <c r="DO5" s="223"/>
      <c r="DP5" s="223"/>
      <c r="DQ5" s="223"/>
      <c r="DR5" s="223"/>
      <c r="DS5" s="223"/>
      <c r="DT5" s="223"/>
      <c r="DU5" s="223"/>
      <c r="DV5" s="223"/>
      <c r="DW5" s="223"/>
      <c r="DX5" s="223"/>
      <c r="DY5" s="223"/>
      <c r="DZ5" s="223"/>
      <c r="EA5" s="223"/>
      <c r="EB5" s="223"/>
      <c r="EC5" s="223"/>
      <c r="ED5" s="223"/>
      <c r="EE5" s="223"/>
      <c r="EF5" s="223"/>
      <c r="EG5" s="223"/>
      <c r="EH5" s="223"/>
      <c r="EI5" s="223"/>
      <c r="EJ5" s="223"/>
      <c r="EK5" s="223"/>
      <c r="EL5" s="223"/>
      <c r="EM5" s="223"/>
      <c r="EN5" s="223"/>
      <c r="EO5" s="223"/>
      <c r="EP5" s="223"/>
      <c r="EQ5" s="223"/>
      <c r="ER5" s="223"/>
      <c r="ES5" s="223"/>
      <c r="ET5" s="223"/>
      <c r="EU5" s="223"/>
      <c r="EV5" s="223"/>
      <c r="EW5" s="223"/>
      <c r="EX5" s="223"/>
      <c r="EY5" s="223"/>
      <c r="EZ5" s="223"/>
      <c r="FA5" s="223"/>
      <c r="FB5" s="223"/>
      <c r="FC5" s="223"/>
      <c r="FD5" s="223"/>
      <c r="FE5" s="223"/>
      <c r="FF5" s="223"/>
      <c r="FG5" s="223"/>
      <c r="FH5" s="223"/>
      <c r="FI5" s="223"/>
      <c r="FJ5" s="223"/>
      <c r="FK5" s="223"/>
      <c r="FL5" s="223"/>
      <c r="FM5" s="223"/>
      <c r="FN5" s="223"/>
      <c r="FO5" s="223"/>
      <c r="FP5" s="223"/>
      <c r="FQ5" s="223"/>
      <c r="FR5" s="223"/>
      <c r="FS5" s="223"/>
      <c r="FT5" s="223"/>
      <c r="FU5" s="223"/>
      <c r="FV5" s="223"/>
      <c r="FW5" s="223"/>
      <c r="FX5" s="223"/>
      <c r="FY5" s="223"/>
      <c r="FZ5" s="223"/>
      <c r="GA5" s="223"/>
      <c r="GB5" s="223"/>
      <c r="GC5" s="223"/>
      <c r="GD5" s="223"/>
      <c r="GE5" s="223"/>
      <c r="GF5" s="223"/>
      <c r="GG5" s="223"/>
      <c r="GH5" s="223"/>
      <c r="GI5" s="223"/>
      <c r="GJ5" s="223"/>
      <c r="GK5" s="223"/>
      <c r="GL5" s="223"/>
      <c r="GM5" s="223"/>
      <c r="GN5" s="223"/>
      <c r="GO5" s="223"/>
      <c r="GP5" s="223"/>
      <c r="GQ5" s="223"/>
      <c r="GR5" s="223"/>
      <c r="GS5" s="223"/>
      <c r="GT5" s="223"/>
      <c r="GU5" s="223"/>
      <c r="GV5" s="223"/>
      <c r="GW5" s="223"/>
      <c r="GX5" s="223"/>
      <c r="GY5" s="223"/>
      <c r="GZ5" s="223"/>
      <c r="HA5" s="223"/>
      <c r="HB5" s="223"/>
      <c r="HC5" s="223"/>
      <c r="HD5" s="223"/>
      <c r="HE5" s="223"/>
      <c r="HF5" s="223"/>
      <c r="HG5" s="223"/>
      <c r="HH5" s="223"/>
      <c r="HI5" s="223"/>
      <c r="HJ5" s="223"/>
      <c r="HK5" s="223"/>
      <c r="HL5" s="223"/>
      <c r="HM5" s="223"/>
      <c r="HN5" s="223"/>
      <c r="HO5" s="223"/>
      <c r="HP5" s="223"/>
      <c r="HQ5" s="223"/>
      <c r="HR5" s="223"/>
      <c r="HS5" s="223"/>
      <c r="HT5" s="223"/>
      <c r="HU5" s="223"/>
      <c r="HV5" s="223"/>
      <c r="HW5" s="223"/>
      <c r="HX5" s="223"/>
      <c r="HY5" s="223"/>
      <c r="HZ5" s="223"/>
      <c r="IA5" s="223"/>
      <c r="IB5" s="223"/>
      <c r="IC5" s="223"/>
      <c r="ID5" s="223"/>
      <c r="IE5" s="223"/>
      <c r="IF5" s="223"/>
      <c r="IG5" s="223"/>
      <c r="IH5" s="223"/>
      <c r="II5" s="223"/>
      <c r="IJ5" s="223"/>
      <c r="IK5" s="223"/>
      <c r="IL5" s="223"/>
      <c r="IM5" s="223"/>
      <c r="IN5" s="223"/>
      <c r="IO5" s="223"/>
      <c r="IP5" s="223"/>
      <c r="IQ5" s="223"/>
      <c r="IR5" s="223"/>
      <c r="IS5" s="223"/>
      <c r="IT5" s="223"/>
    </row>
    <row r="6" spans="1:254" ht="20.25" customHeight="1">
      <c r="A6" s="3548" t="str">
        <f>'Cashflow Governmental'!A6</f>
        <v xml:space="preserve">FISCAL YEAR 2020-2021   </v>
      </c>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1707"/>
      <c r="AC6" s="1707"/>
      <c r="AD6" s="1707"/>
      <c r="AE6" s="1707"/>
      <c r="AF6" s="107"/>
      <c r="AK6" s="223"/>
      <c r="AL6" s="223"/>
      <c r="AM6" s="223"/>
      <c r="AN6" s="223"/>
      <c r="AO6" s="223"/>
      <c r="AP6" s="223"/>
      <c r="AQ6" s="223"/>
      <c r="AR6" s="223"/>
      <c r="AS6" s="223"/>
      <c r="AT6" s="223"/>
      <c r="AU6" s="223"/>
      <c r="AV6" s="223"/>
      <c r="AW6" s="223"/>
      <c r="AX6" s="223"/>
      <c r="AY6" s="223"/>
      <c r="AZ6" s="223"/>
      <c r="BA6" s="223"/>
      <c r="BB6" s="223"/>
      <c r="BC6" s="223"/>
      <c r="BD6" s="223"/>
      <c r="BE6" s="223"/>
      <c r="BF6" s="223"/>
      <c r="BG6" s="223"/>
      <c r="BH6" s="223"/>
      <c r="BI6" s="223"/>
      <c r="BJ6" s="223"/>
      <c r="BK6" s="223"/>
      <c r="BL6" s="223"/>
      <c r="BM6" s="223"/>
      <c r="BN6" s="223"/>
      <c r="BO6" s="223"/>
      <c r="BP6" s="223"/>
      <c r="BQ6" s="223"/>
      <c r="BR6" s="223"/>
      <c r="BS6" s="223"/>
      <c r="BT6" s="223"/>
      <c r="BU6" s="223"/>
      <c r="BV6" s="223"/>
      <c r="BW6" s="223"/>
      <c r="BX6" s="223"/>
      <c r="BY6" s="223"/>
      <c r="BZ6" s="223"/>
      <c r="CA6" s="223"/>
      <c r="CB6" s="223"/>
      <c r="CC6" s="223"/>
      <c r="CD6" s="223"/>
      <c r="CE6" s="223"/>
      <c r="CF6" s="223"/>
      <c r="CG6" s="223"/>
      <c r="CH6" s="223"/>
      <c r="CI6" s="223"/>
      <c r="CJ6" s="223"/>
      <c r="CK6" s="223"/>
      <c r="CL6" s="223"/>
      <c r="CM6" s="223"/>
      <c r="CN6" s="223"/>
      <c r="CO6" s="223"/>
      <c r="CP6" s="223"/>
      <c r="CQ6" s="223"/>
      <c r="CR6" s="223"/>
      <c r="CS6" s="223"/>
      <c r="CT6" s="223"/>
      <c r="CU6" s="223"/>
      <c r="CV6" s="223"/>
      <c r="CW6" s="223"/>
      <c r="CX6" s="223"/>
      <c r="CY6" s="223"/>
      <c r="CZ6" s="223"/>
      <c r="DA6" s="223"/>
      <c r="DB6" s="223"/>
      <c r="DC6" s="223"/>
      <c r="DD6" s="223"/>
      <c r="DE6" s="223"/>
      <c r="DF6" s="223"/>
      <c r="DG6" s="223"/>
      <c r="DH6" s="223"/>
      <c r="DI6" s="223"/>
      <c r="DJ6" s="223"/>
      <c r="DK6" s="223"/>
      <c r="DL6" s="223"/>
      <c r="DM6" s="223"/>
      <c r="DN6" s="223"/>
      <c r="DO6" s="223"/>
      <c r="DP6" s="223"/>
      <c r="DQ6" s="223"/>
      <c r="DR6" s="223"/>
      <c r="DS6" s="223"/>
      <c r="DT6" s="223"/>
      <c r="DU6" s="223"/>
      <c r="DV6" s="223"/>
      <c r="DW6" s="223"/>
      <c r="DX6" s="223"/>
      <c r="DY6" s="223"/>
      <c r="DZ6" s="223"/>
      <c r="EA6" s="223"/>
      <c r="EB6" s="223"/>
      <c r="EC6" s="223"/>
      <c r="ED6" s="223"/>
      <c r="EE6" s="223"/>
      <c r="EF6" s="223"/>
      <c r="EG6" s="223"/>
      <c r="EH6" s="223"/>
      <c r="EI6" s="223"/>
      <c r="EJ6" s="223"/>
      <c r="EK6" s="223"/>
      <c r="EL6" s="223"/>
      <c r="EM6" s="223"/>
      <c r="EN6" s="223"/>
      <c r="EO6" s="223"/>
      <c r="EP6" s="223"/>
      <c r="EQ6" s="223"/>
      <c r="ER6" s="223"/>
      <c r="ES6" s="223"/>
      <c r="ET6" s="223"/>
      <c r="EU6" s="223"/>
      <c r="EV6" s="223"/>
      <c r="EW6" s="223"/>
      <c r="EX6" s="223"/>
      <c r="EY6" s="223"/>
      <c r="EZ6" s="223"/>
      <c r="FA6" s="223"/>
      <c r="FB6" s="223"/>
      <c r="FC6" s="223"/>
      <c r="FD6" s="223"/>
      <c r="FE6" s="223"/>
      <c r="FF6" s="223"/>
      <c r="FG6" s="223"/>
      <c r="FH6" s="223"/>
      <c r="FI6" s="223"/>
      <c r="FJ6" s="223"/>
      <c r="FK6" s="223"/>
      <c r="FL6" s="223"/>
      <c r="FM6" s="223"/>
      <c r="FN6" s="223"/>
      <c r="FO6" s="223"/>
      <c r="FP6" s="223"/>
      <c r="FQ6" s="223"/>
      <c r="FR6" s="223"/>
      <c r="FS6" s="223"/>
      <c r="FT6" s="223"/>
      <c r="FU6" s="223"/>
      <c r="FV6" s="223"/>
      <c r="FW6" s="223"/>
      <c r="FX6" s="223"/>
      <c r="FY6" s="223"/>
      <c r="FZ6" s="223"/>
      <c r="GA6" s="223"/>
      <c r="GB6" s="223"/>
      <c r="GC6" s="223"/>
      <c r="GD6" s="223"/>
      <c r="GE6" s="223"/>
      <c r="GF6" s="223"/>
      <c r="GG6" s="223"/>
      <c r="GH6" s="223"/>
      <c r="GI6" s="223"/>
      <c r="GJ6" s="223"/>
      <c r="GK6" s="223"/>
      <c r="GL6" s="223"/>
      <c r="GM6" s="223"/>
      <c r="GN6" s="223"/>
      <c r="GO6" s="223"/>
      <c r="GP6" s="223"/>
      <c r="GQ6" s="223"/>
      <c r="GR6" s="223"/>
      <c r="GS6" s="223"/>
      <c r="GT6" s="223"/>
      <c r="GU6" s="223"/>
      <c r="GV6" s="223"/>
      <c r="GW6" s="223"/>
      <c r="GX6" s="223"/>
      <c r="GY6" s="223"/>
      <c r="GZ6" s="223"/>
      <c r="HA6" s="223"/>
      <c r="HB6" s="223"/>
      <c r="HC6" s="223"/>
      <c r="HD6" s="223"/>
      <c r="HE6" s="223"/>
      <c r="HF6" s="223"/>
      <c r="HG6" s="223"/>
      <c r="HH6" s="223"/>
      <c r="HI6" s="223"/>
      <c r="HJ6" s="223"/>
      <c r="HK6" s="223"/>
      <c r="HL6" s="223"/>
      <c r="HM6" s="223"/>
      <c r="HN6" s="223"/>
      <c r="HO6" s="223"/>
      <c r="HP6" s="223"/>
      <c r="HQ6" s="223"/>
      <c r="HR6" s="223"/>
      <c r="HS6" s="223"/>
      <c r="HT6" s="223"/>
      <c r="HU6" s="223"/>
      <c r="HV6" s="223"/>
      <c r="HW6" s="223"/>
      <c r="HX6" s="223"/>
      <c r="HY6" s="223"/>
      <c r="HZ6" s="223"/>
      <c r="IA6" s="223"/>
      <c r="IB6" s="223"/>
      <c r="IC6" s="223"/>
      <c r="ID6" s="223"/>
      <c r="IE6" s="223"/>
      <c r="IF6" s="223"/>
      <c r="IG6" s="223"/>
      <c r="IH6" s="223"/>
      <c r="II6" s="223"/>
      <c r="IJ6" s="223"/>
      <c r="IK6" s="223"/>
      <c r="IL6" s="223"/>
      <c r="IM6" s="223"/>
      <c r="IN6" s="223"/>
      <c r="IO6" s="223"/>
      <c r="IP6" s="223"/>
      <c r="IQ6" s="223"/>
      <c r="IR6" s="223"/>
      <c r="IS6" s="223"/>
      <c r="IT6" s="223"/>
    </row>
    <row r="7" spans="1:254" ht="20.25" customHeight="1">
      <c r="A7" s="3547" t="s">
        <v>1363</v>
      </c>
      <c r="B7" s="221"/>
      <c r="C7" s="221"/>
      <c r="D7" s="221"/>
      <c r="E7" s="221"/>
      <c r="F7" s="221"/>
      <c r="G7" s="221"/>
      <c r="H7" s="221"/>
      <c r="I7" s="221"/>
      <c r="J7" s="221"/>
      <c r="K7" s="221"/>
      <c r="L7" s="221"/>
      <c r="M7" s="221"/>
      <c r="N7" s="221"/>
      <c r="O7" s="221"/>
      <c r="P7" s="221"/>
      <c r="Q7" s="221"/>
      <c r="R7" s="221"/>
      <c r="S7" s="221"/>
      <c r="T7" s="221"/>
      <c r="U7" s="221"/>
      <c r="V7" s="221"/>
      <c r="W7" s="221"/>
      <c r="X7" s="221"/>
      <c r="Y7" s="221"/>
      <c r="Z7" s="221"/>
      <c r="AA7" s="221"/>
      <c r="AB7" s="1707"/>
      <c r="AC7" s="1707"/>
      <c r="AD7" s="1707"/>
      <c r="AE7" s="1707"/>
      <c r="AF7" s="107"/>
      <c r="AK7" s="223"/>
      <c r="AL7" s="223"/>
      <c r="AM7" s="223"/>
      <c r="AN7" s="223"/>
      <c r="AO7" s="223"/>
      <c r="AP7" s="223"/>
      <c r="AQ7" s="223"/>
      <c r="AR7" s="223"/>
      <c r="AS7" s="223"/>
      <c r="AT7" s="223"/>
      <c r="AU7" s="223"/>
      <c r="AV7" s="223"/>
      <c r="AW7" s="223"/>
      <c r="AX7" s="223"/>
      <c r="AY7" s="223"/>
      <c r="AZ7" s="223"/>
      <c r="BA7" s="223"/>
      <c r="BB7" s="223"/>
      <c r="BC7" s="223"/>
      <c r="BD7" s="223"/>
      <c r="BE7" s="223"/>
      <c r="BF7" s="223"/>
      <c r="BG7" s="223"/>
      <c r="BH7" s="223"/>
      <c r="BI7" s="223"/>
      <c r="BJ7" s="223"/>
      <c r="BK7" s="223"/>
      <c r="BL7" s="223"/>
      <c r="BM7" s="223"/>
      <c r="BN7" s="223"/>
      <c r="BO7" s="223"/>
      <c r="BP7" s="223"/>
      <c r="BQ7" s="223"/>
      <c r="BR7" s="223"/>
      <c r="BS7" s="223"/>
      <c r="BT7" s="223"/>
      <c r="BU7" s="223"/>
      <c r="BV7" s="223"/>
      <c r="BW7" s="223"/>
      <c r="BX7" s="223"/>
      <c r="BY7" s="223"/>
      <c r="BZ7" s="223"/>
      <c r="CA7" s="223"/>
      <c r="CB7" s="223"/>
      <c r="CC7" s="223"/>
      <c r="CD7" s="223"/>
      <c r="CE7" s="223"/>
      <c r="CF7" s="223"/>
      <c r="CG7" s="223"/>
      <c r="CH7" s="223"/>
      <c r="CI7" s="223"/>
      <c r="CJ7" s="223"/>
      <c r="CK7" s="223"/>
      <c r="CL7" s="223"/>
      <c r="CM7" s="223"/>
      <c r="CN7" s="223"/>
      <c r="CO7" s="223"/>
      <c r="CP7" s="223"/>
      <c r="CQ7" s="223"/>
      <c r="CR7" s="223"/>
      <c r="CS7" s="223"/>
      <c r="CT7" s="223"/>
      <c r="CU7" s="223"/>
      <c r="CV7" s="223"/>
      <c r="CW7" s="223"/>
      <c r="CX7" s="223"/>
      <c r="CY7" s="223"/>
      <c r="CZ7" s="223"/>
      <c r="DA7" s="223"/>
      <c r="DB7" s="223"/>
      <c r="DC7" s="223"/>
      <c r="DD7" s="223"/>
      <c r="DE7" s="223"/>
      <c r="DF7" s="223"/>
      <c r="DG7" s="223"/>
      <c r="DH7" s="223"/>
      <c r="DI7" s="223"/>
      <c r="DJ7" s="223"/>
      <c r="DK7" s="223"/>
      <c r="DL7" s="223"/>
      <c r="DM7" s="223"/>
      <c r="DN7" s="223"/>
      <c r="DO7" s="223"/>
      <c r="DP7" s="223"/>
      <c r="DQ7" s="223"/>
      <c r="DR7" s="223"/>
      <c r="DS7" s="223"/>
      <c r="DT7" s="223"/>
      <c r="DU7" s="223"/>
      <c r="DV7" s="223"/>
      <c r="DW7" s="223"/>
      <c r="DX7" s="223"/>
      <c r="DY7" s="223"/>
      <c r="DZ7" s="223"/>
      <c r="EA7" s="223"/>
      <c r="EB7" s="223"/>
      <c r="EC7" s="223"/>
      <c r="ED7" s="223"/>
      <c r="EE7" s="223"/>
      <c r="EF7" s="223"/>
      <c r="EG7" s="223"/>
      <c r="EH7" s="223"/>
      <c r="EI7" s="223"/>
      <c r="EJ7" s="223"/>
      <c r="EK7" s="223"/>
      <c r="EL7" s="223"/>
      <c r="EM7" s="223"/>
      <c r="EN7" s="223"/>
      <c r="EO7" s="223"/>
      <c r="EP7" s="223"/>
      <c r="EQ7" s="223"/>
      <c r="ER7" s="223"/>
      <c r="ES7" s="223"/>
      <c r="ET7" s="223"/>
      <c r="EU7" s="223"/>
      <c r="EV7" s="223"/>
      <c r="EW7" s="223"/>
      <c r="EX7" s="223"/>
      <c r="EY7" s="223"/>
      <c r="EZ7" s="223"/>
      <c r="FA7" s="223"/>
      <c r="FB7" s="223"/>
      <c r="FC7" s="223"/>
      <c r="FD7" s="223"/>
      <c r="FE7" s="223"/>
      <c r="FF7" s="223"/>
      <c r="FG7" s="223"/>
      <c r="FH7" s="223"/>
      <c r="FI7" s="223"/>
      <c r="FJ7" s="223"/>
      <c r="FK7" s="223"/>
      <c r="FL7" s="223"/>
      <c r="FM7" s="223"/>
      <c r="FN7" s="223"/>
      <c r="FO7" s="223"/>
      <c r="FP7" s="223"/>
      <c r="FQ7" s="223"/>
      <c r="FR7" s="223"/>
      <c r="FS7" s="223"/>
      <c r="FT7" s="223"/>
      <c r="FU7" s="223"/>
      <c r="FV7" s="223"/>
      <c r="FW7" s="223"/>
      <c r="FX7" s="223"/>
      <c r="FY7" s="223"/>
      <c r="FZ7" s="223"/>
      <c r="GA7" s="223"/>
      <c r="GB7" s="223"/>
      <c r="GC7" s="223"/>
      <c r="GD7" s="223"/>
      <c r="GE7" s="223"/>
      <c r="GF7" s="223"/>
      <c r="GG7" s="223"/>
      <c r="GH7" s="223"/>
      <c r="GI7" s="223"/>
      <c r="GJ7" s="223"/>
      <c r="GK7" s="223"/>
      <c r="GL7" s="223"/>
      <c r="GM7" s="223"/>
      <c r="GN7" s="223"/>
      <c r="GO7" s="223"/>
      <c r="GP7" s="223"/>
      <c r="GQ7" s="223"/>
      <c r="GR7" s="223"/>
      <c r="GS7" s="223"/>
      <c r="GT7" s="223"/>
      <c r="GU7" s="223"/>
      <c r="GV7" s="223"/>
      <c r="GW7" s="223"/>
      <c r="GX7" s="223"/>
      <c r="GY7" s="223"/>
      <c r="GZ7" s="223"/>
      <c r="HA7" s="223"/>
      <c r="HB7" s="223"/>
      <c r="HC7" s="223"/>
      <c r="HD7" s="223"/>
      <c r="HE7" s="223"/>
      <c r="HF7" s="223"/>
      <c r="HG7" s="223"/>
      <c r="HH7" s="223"/>
      <c r="HI7" s="223"/>
      <c r="HJ7" s="223"/>
      <c r="HK7" s="223"/>
      <c r="HL7" s="223"/>
      <c r="HM7" s="223"/>
      <c r="HN7" s="223"/>
      <c r="HO7" s="223"/>
      <c r="HP7" s="223"/>
      <c r="HQ7" s="223"/>
      <c r="HR7" s="223"/>
      <c r="HS7" s="223"/>
      <c r="HT7" s="223"/>
      <c r="HU7" s="223"/>
      <c r="HV7" s="223"/>
      <c r="HW7" s="223"/>
      <c r="HX7" s="223"/>
      <c r="HY7" s="223"/>
      <c r="HZ7" s="223"/>
      <c r="IA7" s="223"/>
      <c r="IB7" s="223"/>
      <c r="IC7" s="223"/>
      <c r="ID7" s="223"/>
      <c r="IE7" s="223"/>
      <c r="IF7" s="223"/>
      <c r="IG7" s="223"/>
      <c r="IH7" s="223"/>
      <c r="II7" s="223"/>
      <c r="IJ7" s="223"/>
      <c r="IK7" s="223"/>
      <c r="IL7" s="223"/>
      <c r="IM7" s="223"/>
      <c r="IN7" s="223"/>
      <c r="IO7" s="223"/>
      <c r="IP7" s="223"/>
      <c r="IQ7" s="223"/>
      <c r="IR7" s="223"/>
      <c r="IS7" s="223"/>
      <c r="IT7" s="223"/>
    </row>
    <row r="8" spans="1:254" ht="16.5" customHeight="1">
      <c r="A8" s="225"/>
      <c r="B8" s="225"/>
      <c r="C8" s="225"/>
      <c r="D8" s="225"/>
      <c r="E8" s="225"/>
      <c r="F8" s="225"/>
      <c r="G8" s="225"/>
      <c r="H8" s="225"/>
      <c r="I8" s="225"/>
      <c r="J8" s="225"/>
      <c r="K8" s="225"/>
      <c r="L8" s="225"/>
      <c r="M8" s="225"/>
      <c r="N8" s="225"/>
      <c r="O8" s="225"/>
      <c r="P8" s="225"/>
      <c r="Q8" s="225"/>
      <c r="R8" s="225"/>
      <c r="S8" s="225"/>
      <c r="T8" s="225"/>
      <c r="U8" s="225"/>
      <c r="V8" s="225"/>
      <c r="W8" s="225"/>
      <c r="X8" s="225"/>
      <c r="Y8" s="225"/>
      <c r="Z8" s="225"/>
      <c r="AA8" s="225"/>
      <c r="AB8" s="3123"/>
      <c r="AC8" s="3123"/>
      <c r="AD8" s="3123"/>
      <c r="AE8" s="3123"/>
      <c r="AF8" s="107"/>
    </row>
    <row r="9" spans="1:254" ht="16.5" customHeight="1">
      <c r="A9" s="225"/>
      <c r="B9" s="225"/>
      <c r="C9" s="225"/>
      <c r="D9" s="225"/>
      <c r="E9" s="225"/>
      <c r="F9" s="225"/>
      <c r="G9" s="225"/>
      <c r="H9" s="225"/>
      <c r="I9" s="225"/>
      <c r="J9" s="225"/>
      <c r="K9" s="225"/>
      <c r="L9" s="225"/>
      <c r="M9" s="225"/>
      <c r="N9" s="225"/>
      <c r="O9" s="225"/>
      <c r="P9" s="225"/>
      <c r="Q9" s="225"/>
      <c r="R9" s="225"/>
      <c r="S9" s="225"/>
      <c r="T9" s="225"/>
      <c r="U9" s="225"/>
      <c r="V9" s="225"/>
      <c r="W9" s="225"/>
      <c r="X9" s="225"/>
      <c r="Y9" s="225"/>
      <c r="Z9" s="225"/>
      <c r="AA9" s="225"/>
      <c r="AB9" s="3123"/>
      <c r="AC9" s="3123"/>
      <c r="AD9" s="3123"/>
      <c r="AE9" s="3123"/>
      <c r="AF9" s="1088"/>
      <c r="AG9" s="3229"/>
    </row>
    <row r="10" spans="1:254" ht="16.5" customHeight="1">
      <c r="A10" s="225"/>
      <c r="B10" s="225"/>
      <c r="C10" s="225"/>
      <c r="D10" s="225"/>
      <c r="E10" s="225"/>
      <c r="F10" s="225"/>
      <c r="G10" s="225"/>
      <c r="H10" s="225"/>
      <c r="I10" s="225"/>
      <c r="J10" s="225"/>
      <c r="K10" s="225"/>
      <c r="L10" s="225"/>
      <c r="M10" s="225"/>
      <c r="N10" s="225"/>
      <c r="O10" s="225"/>
      <c r="P10" s="225"/>
      <c r="Q10" s="225"/>
      <c r="R10" s="225"/>
      <c r="S10" s="225"/>
      <c r="T10" s="225"/>
      <c r="U10" s="225"/>
      <c r="V10" s="225"/>
      <c r="W10" s="225"/>
      <c r="X10" s="225"/>
      <c r="Y10" s="225"/>
      <c r="Z10" s="225"/>
      <c r="AA10" s="225"/>
      <c r="AB10" s="3123"/>
      <c r="AC10" s="3123"/>
      <c r="AD10" s="3123"/>
      <c r="AE10" s="3123"/>
      <c r="AF10" s="1713"/>
      <c r="AG10" s="3230"/>
    </row>
    <row r="11" spans="1:254" ht="16.5" customHeight="1">
      <c r="A11" s="225"/>
      <c r="B11" s="225"/>
      <c r="C11" s="225"/>
      <c r="D11" s="225"/>
      <c r="E11" s="225"/>
      <c r="F11" s="225"/>
      <c r="G11" s="225"/>
      <c r="H11" s="225"/>
      <c r="I11" s="225"/>
      <c r="J11" s="225"/>
      <c r="K11" s="225"/>
      <c r="L11" s="225"/>
      <c r="M11" s="225"/>
      <c r="N11" s="225"/>
      <c r="O11" s="225"/>
      <c r="P11" s="225"/>
      <c r="Q11" s="225"/>
      <c r="R11" s="225"/>
      <c r="S11" s="225"/>
      <c r="T11" s="225"/>
      <c r="U11" s="225"/>
      <c r="V11" s="225"/>
      <c r="W11" s="225"/>
      <c r="X11" s="225"/>
      <c r="Y11" s="225"/>
      <c r="Z11" s="225"/>
      <c r="AA11" s="225"/>
      <c r="AC11" s="3123"/>
      <c r="AD11" s="3123"/>
      <c r="AE11" s="3123"/>
      <c r="AF11" s="3231"/>
      <c r="AG11" s="3232"/>
      <c r="AH11" s="3229"/>
      <c r="AI11" s="1134"/>
      <c r="AJ11" s="1134"/>
    </row>
    <row r="12" spans="1:254" ht="16.5" customHeight="1">
      <c r="A12" s="221"/>
      <c r="B12" s="221"/>
      <c r="C12" s="230"/>
      <c r="D12" s="230"/>
      <c r="E12" s="230"/>
      <c r="F12" s="230"/>
      <c r="G12" s="230"/>
      <c r="H12" s="230"/>
      <c r="I12" s="230"/>
      <c r="J12" s="230"/>
      <c r="K12" s="230"/>
      <c r="L12" s="230"/>
      <c r="M12" s="230"/>
      <c r="N12" s="230"/>
      <c r="O12" s="230"/>
      <c r="P12" s="230"/>
      <c r="Q12" s="230"/>
      <c r="R12" s="230"/>
      <c r="S12" s="230"/>
      <c r="T12" s="230"/>
      <c r="U12" s="230"/>
      <c r="V12" s="230"/>
      <c r="W12" s="230"/>
      <c r="X12" s="230"/>
      <c r="Y12" s="764"/>
      <c r="Z12" s="764"/>
      <c r="AA12" s="230"/>
      <c r="AB12" s="3963" t="s">
        <v>1558</v>
      </c>
      <c r="AC12" s="3964"/>
      <c r="AD12" s="3964"/>
      <c r="AE12" s="3964"/>
      <c r="AF12" s="3964"/>
      <c r="AG12" s="3964"/>
      <c r="AH12" s="3964"/>
      <c r="AI12" s="3964"/>
      <c r="AJ12" s="3964"/>
    </row>
    <row r="13" spans="1:254" ht="16.5" customHeight="1">
      <c r="A13" s="221"/>
      <c r="B13" s="221"/>
      <c r="C13" s="908" t="str">
        <f>'Cashflow Governmental'!C13</f>
        <v>2020</v>
      </c>
      <c r="D13" s="230"/>
      <c r="E13" s="230"/>
      <c r="F13" s="230"/>
      <c r="G13" s="230"/>
      <c r="H13" s="230"/>
      <c r="I13" s="230"/>
      <c r="J13" s="230"/>
      <c r="K13" s="230"/>
      <c r="L13" s="230"/>
      <c r="M13" s="230"/>
      <c r="N13" s="230"/>
      <c r="O13" s="230"/>
      <c r="P13" s="230"/>
      <c r="Q13" s="230"/>
      <c r="R13" s="230"/>
      <c r="S13" s="230"/>
      <c r="T13" s="230"/>
      <c r="U13" s="908">
        <f>'Cashflow Governmental'!U13</f>
        <v>2021</v>
      </c>
      <c r="V13" s="230"/>
      <c r="W13" s="230"/>
      <c r="X13" s="230"/>
      <c r="Y13" s="230"/>
      <c r="Z13" s="230"/>
      <c r="AA13" s="230"/>
      <c r="AB13" s="3124"/>
      <c r="AC13" s="3215"/>
      <c r="AD13" s="3215"/>
      <c r="AE13" s="3215"/>
      <c r="AF13" s="3233"/>
      <c r="AG13" s="3234"/>
      <c r="AH13" s="3235" t="s">
        <v>8</v>
      </c>
      <c r="AI13" s="1136"/>
      <c r="AJ13" s="1137" t="s">
        <v>9</v>
      </c>
    </row>
    <row r="14" spans="1:254" ht="16.5" customHeight="1">
      <c r="A14" s="221"/>
      <c r="B14" s="221"/>
      <c r="C14" s="765" t="s">
        <v>124</v>
      </c>
      <c r="D14" s="230"/>
      <c r="E14" s="765" t="s">
        <v>125</v>
      </c>
      <c r="F14" s="230"/>
      <c r="G14" s="765" t="s">
        <v>126</v>
      </c>
      <c r="H14" s="230"/>
      <c r="I14" s="765" t="s">
        <v>127</v>
      </c>
      <c r="J14" s="230"/>
      <c r="K14" s="765" t="s">
        <v>128</v>
      </c>
      <c r="L14" s="230"/>
      <c r="M14" s="765" t="s">
        <v>143</v>
      </c>
      <c r="N14" s="230"/>
      <c r="O14" s="765" t="s">
        <v>144</v>
      </c>
      <c r="P14" s="230"/>
      <c r="Q14" s="765" t="s">
        <v>131</v>
      </c>
      <c r="R14" s="230"/>
      <c r="S14" s="765" t="s">
        <v>132</v>
      </c>
      <c r="T14" s="230"/>
      <c r="U14" s="765" t="s">
        <v>133</v>
      </c>
      <c r="V14" s="230"/>
      <c r="W14" s="765" t="s">
        <v>134</v>
      </c>
      <c r="X14" s="230"/>
      <c r="Y14" s="765" t="s">
        <v>185</v>
      </c>
      <c r="Z14" s="230"/>
      <c r="AA14" s="230"/>
      <c r="AB14" s="3216">
        <f>'Cashflow Governmental'!AB14</f>
        <v>2021</v>
      </c>
      <c r="AC14" s="1706" t="s">
        <v>15</v>
      </c>
      <c r="AD14" s="1706"/>
      <c r="AE14" s="3216">
        <f>'Cashflow Governmental'!AE14</f>
        <v>2020</v>
      </c>
      <c r="AF14" s="3236"/>
      <c r="AG14" s="3237"/>
      <c r="AH14" s="3238" t="s">
        <v>12</v>
      </c>
      <c r="AI14" s="1139"/>
      <c r="AJ14" s="1138" t="s">
        <v>13</v>
      </c>
    </row>
    <row r="15" spans="1:254" ht="4.5" customHeight="1">
      <c r="A15" s="221"/>
      <c r="B15" s="221"/>
      <c r="C15" s="226"/>
      <c r="D15" s="221"/>
      <c r="E15" s="226"/>
      <c r="F15" s="221"/>
      <c r="G15" s="226"/>
      <c r="H15" s="221"/>
      <c r="I15" s="226"/>
      <c r="J15" s="221"/>
      <c r="K15" s="226"/>
      <c r="L15" s="221"/>
      <c r="M15" s="226"/>
      <c r="N15" s="221"/>
      <c r="O15" s="226" t="s">
        <v>15</v>
      </c>
      <c r="P15" s="221"/>
      <c r="Q15" s="226"/>
      <c r="R15" s="221"/>
      <c r="S15" s="226"/>
      <c r="T15" s="221"/>
      <c r="U15" s="226" t="s">
        <v>15</v>
      </c>
      <c r="V15" s="221"/>
      <c r="W15" s="226"/>
      <c r="X15" s="221"/>
      <c r="Y15" s="226"/>
      <c r="Z15" s="221"/>
      <c r="AA15" s="221"/>
      <c r="AB15" s="3217"/>
      <c r="AC15" s="1707"/>
      <c r="AD15" s="1707"/>
      <c r="AE15" s="3217"/>
      <c r="AF15" s="3236"/>
      <c r="AG15" s="3237"/>
    </row>
    <row r="16" spans="1:254" ht="16.5" customHeight="1">
      <c r="A16" s="227" t="s">
        <v>136</v>
      </c>
      <c r="B16" s="221"/>
      <c r="C16" s="2141">
        <v>29.7</v>
      </c>
      <c r="D16" s="228"/>
      <c r="E16" s="228">
        <f>C51</f>
        <v>45.9</v>
      </c>
      <c r="F16" s="359"/>
      <c r="G16" s="228">
        <f>E51</f>
        <v>35.9</v>
      </c>
      <c r="H16" s="359"/>
      <c r="I16" s="228">
        <f>G51</f>
        <v>35.299999999999997</v>
      </c>
      <c r="J16" s="228"/>
      <c r="K16" s="228">
        <f>I51</f>
        <v>40.4</v>
      </c>
      <c r="L16" s="359"/>
      <c r="M16" s="228">
        <f>K51</f>
        <v>42.2</v>
      </c>
      <c r="N16" s="359"/>
      <c r="O16" s="228">
        <f>M51</f>
        <v>42.1</v>
      </c>
      <c r="P16" s="359"/>
      <c r="Q16" s="228">
        <f>O51</f>
        <v>41.3</v>
      </c>
      <c r="R16" s="359"/>
      <c r="S16" s="228">
        <f>Q51</f>
        <v>41</v>
      </c>
      <c r="T16" s="359"/>
      <c r="U16" s="228">
        <f>S51</f>
        <v>38.4</v>
      </c>
      <c r="V16" s="359"/>
      <c r="W16" s="228"/>
      <c r="X16" s="359"/>
      <c r="Y16" s="228"/>
      <c r="Z16" s="228"/>
      <c r="AA16" s="229"/>
      <c r="AB16" s="3218">
        <f>C16</f>
        <v>29.7</v>
      </c>
      <c r="AC16" s="3218"/>
      <c r="AD16" s="3239"/>
      <c r="AE16" s="2141">
        <v>26.6</v>
      </c>
      <c r="AF16" s="1688"/>
      <c r="AG16" s="1672"/>
      <c r="AH16" s="1661">
        <f>ROUND(SUM(AB16-AE16),1)</f>
        <v>3.1</v>
      </c>
      <c r="AJ16" s="3685">
        <f>ROUND(IF(AH16=0,0,AH16/(AE16)),3)</f>
        <v>0.11700000000000001</v>
      </c>
    </row>
    <row r="17" spans="1:38" ht="16.5" customHeight="1">
      <c r="A17" s="221"/>
      <c r="B17" s="221"/>
      <c r="C17" s="221" t="s">
        <v>15</v>
      </c>
      <c r="D17" s="221"/>
      <c r="E17" s="231"/>
      <c r="F17" s="231"/>
      <c r="G17" s="231"/>
      <c r="H17" s="231"/>
      <c r="I17" s="231"/>
      <c r="J17" s="231"/>
      <c r="K17" s="231"/>
      <c r="L17" s="231"/>
      <c r="M17" s="231"/>
      <c r="N17" s="231"/>
      <c r="O17" s="231"/>
      <c r="P17" s="231"/>
      <c r="Q17" s="231"/>
      <c r="R17" s="231"/>
      <c r="S17" s="231"/>
      <c r="T17" s="231"/>
      <c r="U17" s="231"/>
      <c r="V17" s="231"/>
      <c r="W17" s="231"/>
      <c r="X17" s="231"/>
      <c r="Y17" s="231"/>
      <c r="Z17" s="221"/>
      <c r="AA17" s="232"/>
      <c r="AB17" s="1707" t="s">
        <v>15</v>
      </c>
      <c r="AC17" s="1707"/>
      <c r="AD17" s="3240"/>
      <c r="AE17" s="1707" t="s">
        <v>15</v>
      </c>
      <c r="AF17" s="1700"/>
      <c r="AG17" s="1672"/>
      <c r="AH17" s="3241"/>
      <c r="AJ17" s="3638"/>
    </row>
    <row r="18" spans="1:38" ht="16.5" customHeight="1">
      <c r="A18" s="230" t="s">
        <v>14</v>
      </c>
      <c r="B18" s="221"/>
      <c r="C18" s="221"/>
      <c r="D18" s="221"/>
      <c r="E18" s="231"/>
      <c r="F18" s="231"/>
      <c r="G18" s="231"/>
      <c r="H18" s="231"/>
      <c r="I18" s="231"/>
      <c r="J18" s="231"/>
      <c r="K18" s="231"/>
      <c r="L18" s="231"/>
      <c r="M18" s="231"/>
      <c r="N18" s="231"/>
      <c r="O18" s="231"/>
      <c r="P18" s="231"/>
      <c r="Q18" s="231"/>
      <c r="R18" s="231"/>
      <c r="S18" s="231"/>
      <c r="T18" s="231"/>
      <c r="U18" s="231"/>
      <c r="V18" s="231"/>
      <c r="W18" s="231"/>
      <c r="X18" s="231"/>
      <c r="Y18" s="231"/>
      <c r="Z18" s="221"/>
      <c r="AA18" s="232"/>
      <c r="AB18" s="1707"/>
      <c r="AC18" s="1707"/>
      <c r="AD18" s="3240"/>
      <c r="AE18" s="1707"/>
      <c r="AF18" s="1673"/>
      <c r="AG18" s="1672"/>
      <c r="AH18" s="3241"/>
      <c r="AJ18" s="3638"/>
    </row>
    <row r="19" spans="1:38" ht="18.75" customHeight="1">
      <c r="A19" s="221" t="s">
        <v>178</v>
      </c>
      <c r="B19" s="221"/>
      <c r="C19" s="233">
        <v>4.2</v>
      </c>
      <c r="D19" s="233"/>
      <c r="E19" s="233">
        <v>4.8</v>
      </c>
      <c r="F19" s="242"/>
      <c r="G19" s="233">
        <v>6.3999999999999995</v>
      </c>
      <c r="H19" s="242"/>
      <c r="I19" s="233">
        <v>6.8999999999999977</v>
      </c>
      <c r="J19" s="242"/>
      <c r="K19" s="233">
        <v>7.7000000000000037</v>
      </c>
      <c r="L19" s="242"/>
      <c r="M19" s="233">
        <v>6.9999999999999956</v>
      </c>
      <c r="N19" s="242"/>
      <c r="O19" s="233">
        <v>4.400000000000003</v>
      </c>
      <c r="P19" s="242"/>
      <c r="Q19" s="1703">
        <v>3.8999999999999977</v>
      </c>
      <c r="R19" s="242"/>
      <c r="S19" s="1703">
        <v>3.1000000000000014</v>
      </c>
      <c r="T19" s="242"/>
      <c r="U19" s="1703">
        <f>$AB19-$C19-$E19-$G19-$I19-$K19-$M19-$O19-$Q19-$S19</f>
        <v>9.6000000000000014</v>
      </c>
      <c r="V19" s="242"/>
      <c r="W19" s="1703"/>
      <c r="X19" s="242"/>
      <c r="Y19" s="1703"/>
      <c r="Z19" s="233"/>
      <c r="AA19" s="234"/>
      <c r="AB19" s="2110">
        <v>58</v>
      </c>
      <c r="AC19" s="1560"/>
      <c r="AD19" s="1709"/>
      <c r="AE19" s="2110">
        <v>71.599999999999994</v>
      </c>
      <c r="AF19" s="1579"/>
      <c r="AG19" s="1672"/>
      <c r="AH19" s="3242">
        <f>ROUND(AB19-AE19,1)</f>
        <v>-13.6</v>
      </c>
      <c r="AI19" s="1142"/>
      <c r="AJ19" s="3686">
        <f>ROUND(IF(AE19=0,0,AH19/ABS(AE19)),3)</f>
        <v>-0.19</v>
      </c>
    </row>
    <row r="20" spans="1:38" ht="17.25" customHeight="1">
      <c r="A20" s="227" t="s">
        <v>216</v>
      </c>
      <c r="B20" s="221"/>
      <c r="C20" s="233">
        <v>2584</v>
      </c>
      <c r="D20" s="233"/>
      <c r="E20" s="233">
        <v>5993.2999999999993</v>
      </c>
      <c r="F20" s="242"/>
      <c r="G20" s="233">
        <v>10834.5</v>
      </c>
      <c r="H20" s="242"/>
      <c r="I20" s="233">
        <v>8949.5</v>
      </c>
      <c r="J20" s="242"/>
      <c r="K20" s="233">
        <v>3020.9000000000015</v>
      </c>
      <c r="L20" s="242"/>
      <c r="M20" s="233">
        <v>2491.7000000000007</v>
      </c>
      <c r="N20" s="242"/>
      <c r="O20" s="233">
        <v>2489.5</v>
      </c>
      <c r="P20" s="242"/>
      <c r="Q20" s="1703">
        <v>2484.9000000000015</v>
      </c>
      <c r="R20" s="242"/>
      <c r="S20" s="1703">
        <v>2184.5999999999985</v>
      </c>
      <c r="T20" s="242"/>
      <c r="U20" s="1703">
        <f t="shared" ref="U20:U21" si="0">$AB20-$C20-$E20-$G20-$I20-$K20-$M20-$O20-$Q20-$S20</f>
        <v>4910.8999999999978</v>
      </c>
      <c r="V20" s="242"/>
      <c r="W20" s="1703"/>
      <c r="X20" s="242"/>
      <c r="Y20" s="1703"/>
      <c r="Z20" s="233"/>
      <c r="AA20" s="234"/>
      <c r="AB20" s="2110">
        <v>45943.8</v>
      </c>
      <c r="AC20" s="1560"/>
      <c r="AD20" s="1709"/>
      <c r="AE20" s="2110">
        <v>14.7</v>
      </c>
      <c r="AF20" s="1579"/>
      <c r="AG20" s="1672"/>
      <c r="AH20" s="3242">
        <f>ROUND(AB20-AE20,1)</f>
        <v>45929.1</v>
      </c>
      <c r="AI20" s="1142"/>
      <c r="AJ20" s="3645">
        <f>ROUND(IF(AE20=0,0,AH20/ABS(AE20)),3)</f>
        <v>3124.4290000000001</v>
      </c>
    </row>
    <row r="21" spans="1:38" ht="17.25" customHeight="1">
      <c r="A21" s="244" t="s">
        <v>217</v>
      </c>
      <c r="B21" s="221"/>
      <c r="C21" s="233">
        <v>1823.9</v>
      </c>
      <c r="D21" s="233"/>
      <c r="E21" s="233">
        <v>2261.6999999999998</v>
      </c>
      <c r="F21" s="242"/>
      <c r="G21" s="233">
        <v>2631.7</v>
      </c>
      <c r="H21" s="242"/>
      <c r="I21" s="233">
        <v>1980.9000000000015</v>
      </c>
      <c r="J21" s="242"/>
      <c r="K21" s="233">
        <v>1831.2999999999993</v>
      </c>
      <c r="L21" s="242"/>
      <c r="M21" s="233">
        <v>1396.3999999999996</v>
      </c>
      <c r="N21" s="242"/>
      <c r="O21" s="233">
        <v>613.40000000000055</v>
      </c>
      <c r="P21" s="242"/>
      <c r="Q21" s="1703">
        <v>544.20000000000073</v>
      </c>
      <c r="R21" s="242"/>
      <c r="S21" s="1703">
        <v>561.29999999999927</v>
      </c>
      <c r="T21" s="242"/>
      <c r="U21" s="1703">
        <f t="shared" si="0"/>
        <v>499.79999999999927</v>
      </c>
      <c r="V21" s="242"/>
      <c r="W21" s="1703"/>
      <c r="X21" s="242"/>
      <c r="Y21" s="1703"/>
      <c r="Z21" s="233"/>
      <c r="AA21" s="234"/>
      <c r="AB21" s="2110">
        <v>14144.6</v>
      </c>
      <c r="AC21" s="1560"/>
      <c r="AD21" s="1709"/>
      <c r="AE21" s="2110">
        <v>1704.7</v>
      </c>
      <c r="AF21" s="1675"/>
      <c r="AG21" s="1678"/>
      <c r="AH21" s="3243">
        <f>ROUND(AB21-AE21,1)</f>
        <v>12439.9</v>
      </c>
      <c r="AI21" s="1142"/>
      <c r="AJ21" s="3697">
        <f>ROUND(IF(AE21=0,0,AH21/ABS(AE21)),3)</f>
        <v>7.2969999999999997</v>
      </c>
    </row>
    <row r="22" spans="1:38" ht="16.5" customHeight="1">
      <c r="A22" s="221"/>
      <c r="B22" s="221"/>
      <c r="C22" s="362"/>
      <c r="D22" s="233"/>
      <c r="E22" s="363"/>
      <c r="F22" s="242"/>
      <c r="G22" s="363"/>
      <c r="H22" s="242"/>
      <c r="I22" s="363"/>
      <c r="J22" s="242"/>
      <c r="K22" s="363"/>
      <c r="L22" s="242"/>
      <c r="M22" s="363"/>
      <c r="N22" s="242"/>
      <c r="O22" s="363"/>
      <c r="P22" s="242"/>
      <c r="Q22" s="363"/>
      <c r="R22" s="242"/>
      <c r="S22" s="363"/>
      <c r="T22" s="242"/>
      <c r="U22" s="363"/>
      <c r="V22" s="242"/>
      <c r="W22" s="1705"/>
      <c r="X22" s="242"/>
      <c r="Y22" s="363"/>
      <c r="Z22" s="233"/>
      <c r="AA22" s="234"/>
      <c r="AB22" s="3219"/>
      <c r="AC22" s="1560"/>
      <c r="AD22" s="1709"/>
      <c r="AE22" s="3219"/>
      <c r="AF22" s="1576"/>
      <c r="AG22" s="1678"/>
      <c r="AH22" s="1689"/>
      <c r="AJ22" s="3638"/>
    </row>
    <row r="23" spans="1:38" ht="16.5" customHeight="1">
      <c r="A23" s="230" t="s">
        <v>150</v>
      </c>
      <c r="B23" s="221"/>
      <c r="C23" s="243">
        <f>ROUND(SUM(C19:C22),1)</f>
        <v>4412.1000000000004</v>
      </c>
      <c r="D23" s="235"/>
      <c r="E23" s="243">
        <f>ROUND(SUM(E19:E22),1)</f>
        <v>8259.7999999999993</v>
      </c>
      <c r="F23" s="243"/>
      <c r="G23" s="243">
        <f>ROUND(SUM(G19:G22),1)</f>
        <v>13472.6</v>
      </c>
      <c r="H23" s="243"/>
      <c r="I23" s="243">
        <f>ROUND(SUM(I19:I22),1)</f>
        <v>10937.3</v>
      </c>
      <c r="J23" s="243"/>
      <c r="K23" s="243">
        <f>ROUND(SUM(K19:K22),1)</f>
        <v>4859.8999999999996</v>
      </c>
      <c r="L23" s="243"/>
      <c r="M23" s="243">
        <f>ROUND(SUM(M19:M22),1)</f>
        <v>3895.1</v>
      </c>
      <c r="N23" s="243"/>
      <c r="O23" s="243">
        <f>ROUND(SUM(O19:O22),1)</f>
        <v>3107.3</v>
      </c>
      <c r="P23" s="243"/>
      <c r="Q23" s="243">
        <f>ROUND(SUM(Q19:Q22),1)</f>
        <v>3033</v>
      </c>
      <c r="R23" s="243"/>
      <c r="S23" s="243">
        <f>ROUND(SUM(S19:S22),1)</f>
        <v>2749</v>
      </c>
      <c r="T23" s="243"/>
      <c r="U23" s="243">
        <f>ROUND(SUM(U19:U22),1)</f>
        <v>5420.3</v>
      </c>
      <c r="V23" s="243"/>
      <c r="W23" s="3220">
        <f>ROUND(SUM(W19:W22),1)</f>
        <v>0</v>
      </c>
      <c r="X23" s="243"/>
      <c r="Y23" s="243">
        <f>ROUND(SUM(Y19:Y22),1)</f>
        <v>0</v>
      </c>
      <c r="Z23" s="235"/>
      <c r="AA23" s="236"/>
      <c r="AB23" s="3220">
        <f>ROUND(SUM(AB19:AB22),1)</f>
        <v>60146.400000000001</v>
      </c>
      <c r="AC23" s="3221"/>
      <c r="AD23" s="3244"/>
      <c r="AE23" s="3220">
        <f>ROUND(SUM(AE19:AE22),1)</f>
        <v>1791</v>
      </c>
      <c r="AF23" s="1675"/>
      <c r="AG23" s="1678"/>
      <c r="AH23" s="3245">
        <f>ROUND(SUM(AH19:AH21),1)</f>
        <v>58355.4</v>
      </c>
      <c r="AI23" s="1144"/>
      <c r="AJ23" s="3643">
        <f>ROUND(IF(AH23=0,0,AH23/ABS(AE23)),3)</f>
        <v>32.582999999999998</v>
      </c>
      <c r="AK23" s="360"/>
      <c r="AL23" s="360"/>
    </row>
    <row r="24" spans="1:38" ht="16.5" customHeight="1">
      <c r="A24" s="221"/>
      <c r="B24" s="221"/>
      <c r="C24" s="362"/>
      <c r="D24" s="233"/>
      <c r="E24" s="363"/>
      <c r="F24" s="242"/>
      <c r="G24" s="363"/>
      <c r="H24" s="242"/>
      <c r="I24" s="363"/>
      <c r="J24" s="242"/>
      <c r="K24" s="363"/>
      <c r="L24" s="242"/>
      <c r="M24" s="363"/>
      <c r="N24" s="242"/>
      <c r="O24" s="363"/>
      <c r="P24" s="242"/>
      <c r="Q24" s="363"/>
      <c r="R24" s="242"/>
      <c r="S24" s="363"/>
      <c r="T24" s="242"/>
      <c r="U24" s="363"/>
      <c r="V24" s="242"/>
      <c r="W24" s="363"/>
      <c r="X24" s="242"/>
      <c r="Y24" s="363"/>
      <c r="Z24" s="233"/>
      <c r="AA24" s="234"/>
      <c r="AB24" s="3219"/>
      <c r="AC24" s="1560"/>
      <c r="AD24" s="1709"/>
      <c r="AE24" s="3219"/>
      <c r="AF24" s="2198"/>
      <c r="AG24" s="1678"/>
      <c r="AH24" s="1689"/>
      <c r="AJ24" s="3638"/>
    </row>
    <row r="25" spans="1:38" ht="16.5" customHeight="1">
      <c r="A25" s="221"/>
      <c r="B25" s="221"/>
      <c r="C25" s="233"/>
      <c r="D25" s="233"/>
      <c r="E25" s="242"/>
      <c r="F25" s="242"/>
      <c r="G25" s="242"/>
      <c r="H25" s="242"/>
      <c r="I25" s="242"/>
      <c r="J25" s="242"/>
      <c r="K25" s="242"/>
      <c r="L25" s="242"/>
      <c r="M25" s="242"/>
      <c r="N25" s="242"/>
      <c r="O25" s="242"/>
      <c r="P25" s="242"/>
      <c r="Q25" s="242"/>
      <c r="R25" s="242"/>
      <c r="S25" s="242"/>
      <c r="T25" s="242"/>
      <c r="U25" s="242"/>
      <c r="V25" s="242"/>
      <c r="W25" s="242"/>
      <c r="X25" s="242"/>
      <c r="Y25" s="242"/>
      <c r="Z25" s="233"/>
      <c r="AA25" s="234"/>
      <c r="AB25" s="1560"/>
      <c r="AC25" s="1560"/>
      <c r="AD25" s="1709"/>
      <c r="AE25" s="1560"/>
      <c r="AF25" s="1673"/>
      <c r="AG25" s="1672"/>
      <c r="AH25" s="1689"/>
      <c r="AJ25" s="3639"/>
    </row>
    <row r="26" spans="1:38" ht="16.5" customHeight="1">
      <c r="A26" s="230" t="s">
        <v>23</v>
      </c>
      <c r="B26" s="221"/>
      <c r="C26" s="233"/>
      <c r="D26" s="233"/>
      <c r="E26" s="242"/>
      <c r="F26" s="242"/>
      <c r="G26" s="242"/>
      <c r="H26" s="242"/>
      <c r="I26" s="242"/>
      <c r="J26" s="242"/>
      <c r="K26" s="242"/>
      <c r="L26" s="242"/>
      <c r="M26" s="242"/>
      <c r="N26" s="242"/>
      <c r="O26" s="242"/>
      <c r="P26" s="242"/>
      <c r="Q26" s="242"/>
      <c r="R26" s="242"/>
      <c r="S26" s="242"/>
      <c r="T26" s="242"/>
      <c r="U26" s="242"/>
      <c r="V26" s="242"/>
      <c r="W26" s="242"/>
      <c r="X26" s="1704"/>
      <c r="Y26" s="1704"/>
      <c r="Z26" s="1560"/>
      <c r="AA26" s="1709"/>
      <c r="AB26" s="1560"/>
      <c r="AC26" s="1560"/>
      <c r="AD26" s="1709"/>
      <c r="AE26" s="1560"/>
      <c r="AF26" s="1579"/>
      <c r="AG26" s="1672"/>
      <c r="AH26" s="1689"/>
      <c r="AI26" s="1147"/>
      <c r="AJ26" s="3639"/>
    </row>
    <row r="27" spans="1:38" ht="16.5" customHeight="1">
      <c r="A27" s="221" t="s">
        <v>152</v>
      </c>
      <c r="B27" s="221"/>
      <c r="C27" s="233"/>
      <c r="D27" s="233"/>
      <c r="E27" s="242"/>
      <c r="F27" s="242"/>
      <c r="G27" s="242"/>
      <c r="H27" s="242"/>
      <c r="I27" s="242"/>
      <c r="J27" s="242"/>
      <c r="K27" s="242"/>
      <c r="L27" s="242"/>
      <c r="M27" s="242"/>
      <c r="N27" s="242"/>
      <c r="O27" s="242"/>
      <c r="P27" s="242"/>
      <c r="Q27" s="242"/>
      <c r="R27" s="242"/>
      <c r="S27" s="1703"/>
      <c r="T27" s="242"/>
      <c r="U27" s="242"/>
      <c r="V27" s="242"/>
      <c r="W27" s="242"/>
      <c r="X27" s="1704"/>
      <c r="Y27" s="1704"/>
      <c r="Z27" s="1560"/>
      <c r="AA27" s="1709"/>
      <c r="AB27" s="1560"/>
      <c r="AC27" s="1560"/>
      <c r="AD27" s="1709"/>
      <c r="AE27" s="1560"/>
      <c r="AF27" s="2201"/>
      <c r="AG27" s="1678"/>
      <c r="AH27" s="1689"/>
      <c r="AJ27" s="3639"/>
    </row>
    <row r="28" spans="1:38" ht="16.5" customHeight="1">
      <c r="A28" s="221" t="s">
        <v>218</v>
      </c>
      <c r="B28" s="221"/>
      <c r="C28" s="233">
        <v>1.4</v>
      </c>
      <c r="D28" s="233"/>
      <c r="E28" s="233">
        <v>0.89999999999999991</v>
      </c>
      <c r="F28" s="242"/>
      <c r="G28" s="233">
        <v>1.1000000000000001</v>
      </c>
      <c r="H28" s="242"/>
      <c r="I28" s="233">
        <v>1.1000000000000001</v>
      </c>
      <c r="J28" s="242"/>
      <c r="K28" s="233">
        <v>1.3000000000000003</v>
      </c>
      <c r="L28" s="242"/>
      <c r="M28" s="233">
        <v>1.6999999999999993</v>
      </c>
      <c r="N28" s="242"/>
      <c r="O28" s="233">
        <v>1.1000000000000001</v>
      </c>
      <c r="P28" s="242"/>
      <c r="Q28" s="1703">
        <v>0.90000000000000036</v>
      </c>
      <c r="R28" s="242"/>
      <c r="S28" s="1703">
        <v>0.89999999999999991</v>
      </c>
      <c r="T28" s="242"/>
      <c r="U28" s="1703">
        <f t="shared" ref="U28:U31" si="1">$AB28-$C28-$E28-$G28-$I28-$K28-$M28-$O28-$Q28-$S28</f>
        <v>0.69999999999999929</v>
      </c>
      <c r="V28" s="242"/>
      <c r="W28" s="1703"/>
      <c r="X28" s="1704"/>
      <c r="Y28" s="1703"/>
      <c r="Z28" s="1560"/>
      <c r="AA28" s="1709"/>
      <c r="AB28" s="2110">
        <v>11.1</v>
      </c>
      <c r="AC28" s="1560"/>
      <c r="AD28" s="1709"/>
      <c r="AE28" s="2110">
        <v>15.3</v>
      </c>
      <c r="AF28" s="1673"/>
      <c r="AG28" s="1683"/>
      <c r="AH28" s="1689">
        <f>ROUND(SUM(AB28-AE28),1)</f>
        <v>-4.2</v>
      </c>
      <c r="AJ28" s="1148">
        <f>ROUND(IF(AH28=0,0,AH28/ABS(AE28)),3)</f>
        <v>-0.27500000000000002</v>
      </c>
    </row>
    <row r="29" spans="1:38" ht="16.5" customHeight="1">
      <c r="A29" s="221" t="s">
        <v>179</v>
      </c>
      <c r="B29" s="221"/>
      <c r="C29" s="233">
        <v>3.6</v>
      </c>
      <c r="D29" s="233"/>
      <c r="E29" s="233">
        <v>4.9000000000000004</v>
      </c>
      <c r="F29" s="242"/>
      <c r="G29" s="233">
        <v>5.4</v>
      </c>
      <c r="H29" s="242"/>
      <c r="I29" s="233">
        <v>4.9000000000000004</v>
      </c>
      <c r="J29" s="242"/>
      <c r="K29" s="233">
        <v>4.5999999999999961</v>
      </c>
      <c r="L29" s="242"/>
      <c r="M29" s="233">
        <v>4.4000000000000004</v>
      </c>
      <c r="N29" s="242"/>
      <c r="O29" s="233">
        <v>4.1000000000000032</v>
      </c>
      <c r="P29" s="242"/>
      <c r="Q29" s="1703">
        <v>3.9000000000000004</v>
      </c>
      <c r="R29" s="242"/>
      <c r="S29" s="1703">
        <v>4.6000000000000032</v>
      </c>
      <c r="T29" s="242"/>
      <c r="U29" s="1703">
        <f t="shared" si="1"/>
        <v>3.6000000000000032</v>
      </c>
      <c r="V29" s="242"/>
      <c r="W29" s="1703"/>
      <c r="X29" s="1704"/>
      <c r="Y29" s="1703"/>
      <c r="Z29" s="1560"/>
      <c r="AA29" s="1709"/>
      <c r="AB29" s="2110">
        <v>44</v>
      </c>
      <c r="AC29" s="1560"/>
      <c r="AD29" s="1709"/>
      <c r="AE29" s="2110">
        <v>50</v>
      </c>
      <c r="AF29" s="1579"/>
      <c r="AG29" s="1683"/>
      <c r="AH29" s="1689">
        <f>ROUND(SUM(AB29-AE29),1)</f>
        <v>-6</v>
      </c>
      <c r="AJ29" s="1148">
        <f t="shared" ref="AJ29:AJ30" si="2">ROUND(IF(AH29=0,0,AH29/ABS(AE29)),3)</f>
        <v>-0.12</v>
      </c>
    </row>
    <row r="30" spans="1:38" ht="16.5" customHeight="1">
      <c r="A30" s="221" t="s">
        <v>155</v>
      </c>
      <c r="B30" s="221"/>
      <c r="C30" s="233">
        <v>0.2</v>
      </c>
      <c r="D30" s="233"/>
      <c r="E30" s="233">
        <v>9.9999999999999978E-2</v>
      </c>
      <c r="F30" s="242"/>
      <c r="G30" s="233">
        <v>0.2</v>
      </c>
      <c r="H30" s="242"/>
      <c r="I30" s="233">
        <v>9.9999999999999978E-2</v>
      </c>
      <c r="J30" s="242"/>
      <c r="K30" s="233">
        <v>9.9999999999999978E-2</v>
      </c>
      <c r="L30" s="242"/>
      <c r="M30" s="233">
        <v>0.2</v>
      </c>
      <c r="N30" s="242"/>
      <c r="O30" s="233">
        <v>0.10000000000000003</v>
      </c>
      <c r="P30" s="242"/>
      <c r="Q30" s="1703">
        <v>0.19999999999999996</v>
      </c>
      <c r="R30" s="242"/>
      <c r="S30" s="1703">
        <v>0.20000000000000023</v>
      </c>
      <c r="T30" s="242"/>
      <c r="U30" s="1703">
        <f t="shared" si="1"/>
        <v>0</v>
      </c>
      <c r="V30" s="242"/>
      <c r="W30" s="1703"/>
      <c r="X30" s="1704"/>
      <c r="Y30" s="1703"/>
      <c r="Z30" s="1560"/>
      <c r="AA30" s="1709"/>
      <c r="AB30" s="2110">
        <v>1.4</v>
      </c>
      <c r="AC30" s="1560"/>
      <c r="AD30" s="1709"/>
      <c r="AE30" s="2110">
        <v>1.4</v>
      </c>
      <c r="AF30" s="1675"/>
      <c r="AG30" s="1682"/>
      <c r="AH30" s="1689">
        <f>ROUND(SUM(AB30-AE30),1)</f>
        <v>0</v>
      </c>
      <c r="AJ30" s="1148">
        <f t="shared" si="2"/>
        <v>0</v>
      </c>
    </row>
    <row r="31" spans="1:38" ht="16.5" customHeight="1">
      <c r="A31" s="244" t="s">
        <v>219</v>
      </c>
      <c r="B31" s="221"/>
      <c r="C31" s="233">
        <v>4390.7</v>
      </c>
      <c r="D31" s="233"/>
      <c r="E31" s="233">
        <v>8263.9000000000015</v>
      </c>
      <c r="F31" s="242"/>
      <c r="G31" s="233">
        <v>13469.499999999996</v>
      </c>
      <c r="H31" s="242"/>
      <c r="I31" s="233">
        <v>10926.099999999999</v>
      </c>
      <c r="J31" s="242"/>
      <c r="K31" s="233">
        <v>4852.1000000000095</v>
      </c>
      <c r="L31" s="242"/>
      <c r="M31" s="233">
        <v>3888.8999999999942</v>
      </c>
      <c r="N31" s="242"/>
      <c r="O31" s="233">
        <v>3102.8000000000029</v>
      </c>
      <c r="P31" s="242"/>
      <c r="Q31" s="1703">
        <v>3028.3000000000029</v>
      </c>
      <c r="R31" s="242"/>
      <c r="S31" s="1703">
        <v>2745.8999999999942</v>
      </c>
      <c r="T31" s="242"/>
      <c r="U31" s="1703">
        <f t="shared" si="1"/>
        <v>5411.3999999999978</v>
      </c>
      <c r="V31" s="242"/>
      <c r="W31" s="1703"/>
      <c r="X31" s="242"/>
      <c r="Y31" s="1703"/>
      <c r="Z31" s="233"/>
      <c r="AA31" s="234"/>
      <c r="AB31" s="2110">
        <v>60079.6</v>
      </c>
      <c r="AC31" s="1560"/>
      <c r="AD31" s="1709"/>
      <c r="AE31" s="2110">
        <v>1720.5</v>
      </c>
      <c r="AF31" s="1675"/>
      <c r="AG31" s="1683"/>
      <c r="AH31" s="1701">
        <f>ROUND(SUM(AB31-AE31),1)</f>
        <v>58359.1</v>
      </c>
      <c r="AJ31" s="3644">
        <f>ROUND(IF(AH31=0,0,AH31/ABS(AE31)),3)</f>
        <v>33.92</v>
      </c>
    </row>
    <row r="32" spans="1:38" ht="16.5" customHeight="1">
      <c r="A32" s="221"/>
      <c r="B32" s="221"/>
      <c r="C32" s="362"/>
      <c r="D32" s="233"/>
      <c r="E32" s="363"/>
      <c r="F32" s="242"/>
      <c r="G32" s="363"/>
      <c r="H32" s="242"/>
      <c r="I32" s="363"/>
      <c r="J32" s="242"/>
      <c r="K32" s="363"/>
      <c r="L32" s="242"/>
      <c r="M32" s="363"/>
      <c r="N32" s="242"/>
      <c r="O32" s="363"/>
      <c r="P32" s="242"/>
      <c r="Q32" s="363"/>
      <c r="R32" s="242"/>
      <c r="S32" s="363"/>
      <c r="T32" s="242"/>
      <c r="U32" s="363"/>
      <c r="V32" s="242"/>
      <c r="W32" s="1705"/>
      <c r="X32" s="242"/>
      <c r="Y32" s="363"/>
      <c r="Z32" s="233"/>
      <c r="AA32" s="234"/>
      <c r="AB32" s="3219"/>
      <c r="AC32" s="1560"/>
      <c r="AD32" s="1709"/>
      <c r="AE32" s="3219"/>
      <c r="AF32" s="2204"/>
      <c r="AG32" s="1682"/>
      <c r="AH32" s="1689"/>
      <c r="AI32" s="1149"/>
      <c r="AJ32" s="3639"/>
    </row>
    <row r="33" spans="1:37" ht="16.5" customHeight="1">
      <c r="A33" s="230" t="s">
        <v>156</v>
      </c>
      <c r="B33" s="221"/>
      <c r="C33" s="243">
        <f>ROUND(SUM(C28:C32),1)</f>
        <v>4395.8999999999996</v>
      </c>
      <c r="D33" s="235"/>
      <c r="E33" s="243">
        <f>ROUND(SUM(E28:E32),1)</f>
        <v>8269.7999999999993</v>
      </c>
      <c r="F33" s="243"/>
      <c r="G33" s="243">
        <f>ROUND(SUM(G28:G32),1)</f>
        <v>13476.2</v>
      </c>
      <c r="H33" s="243"/>
      <c r="I33" s="243">
        <f>ROUND(SUM(I28:I32),1)</f>
        <v>10932.2</v>
      </c>
      <c r="J33" s="243"/>
      <c r="K33" s="899">
        <f>ROUND(SUM(K28:K32),1)</f>
        <v>4858.1000000000004</v>
      </c>
      <c r="L33" s="364"/>
      <c r="M33" s="899">
        <f>ROUND(SUM(M28:M32),1)</f>
        <v>3895.2</v>
      </c>
      <c r="N33" s="243"/>
      <c r="O33" s="243">
        <f>ROUND(SUM(O28:O32),1)</f>
        <v>3108.1</v>
      </c>
      <c r="P33" s="243"/>
      <c r="Q33" s="243">
        <f>ROUND(SUM(Q28:Q32),1)</f>
        <v>3033.3</v>
      </c>
      <c r="R33" s="243"/>
      <c r="S33" s="243">
        <f>ROUND(SUM(S28:S32),1)</f>
        <v>2751.6</v>
      </c>
      <c r="T33" s="243"/>
      <c r="U33" s="243">
        <f>ROUND(SUM(U28:U32),1)</f>
        <v>5415.7</v>
      </c>
      <c r="V33" s="243"/>
      <c r="W33" s="3220">
        <f>ROUND(SUM(W28:W32),1)</f>
        <v>0</v>
      </c>
      <c r="X33" s="243"/>
      <c r="Y33" s="243">
        <f>ROUND(SUM(Y28:Y32),1)</f>
        <v>0</v>
      </c>
      <c r="Z33" s="235"/>
      <c r="AA33" s="236"/>
      <c r="AB33" s="3220">
        <f>ROUND(SUM(AB28:AB32),1)</f>
        <v>60136.1</v>
      </c>
      <c r="AC33" s="3221"/>
      <c r="AD33" s="3244"/>
      <c r="AE33" s="3220">
        <f>ROUND(SUM(AE28:AE32),1)</f>
        <v>1787.2</v>
      </c>
      <c r="AF33" s="1673"/>
      <c r="AG33" s="1672"/>
      <c r="AH33" s="3245">
        <f>ROUND(SUM(AH28:AH31),1)</f>
        <v>58348.9</v>
      </c>
      <c r="AI33" s="1144"/>
      <c r="AJ33" s="3643">
        <f>ROUND(IF(AH33=0,0,AH33/ABS(AE33)),3)</f>
        <v>32.648000000000003</v>
      </c>
      <c r="AK33" s="360"/>
    </row>
    <row r="34" spans="1:37" ht="16.5" customHeight="1">
      <c r="A34" s="221"/>
      <c r="B34" s="221"/>
      <c r="C34" s="362"/>
      <c r="D34" s="233"/>
      <c r="E34" s="363"/>
      <c r="F34" s="242"/>
      <c r="G34" s="363"/>
      <c r="H34" s="242"/>
      <c r="I34" s="363"/>
      <c r="J34" s="242"/>
      <c r="K34" s="240"/>
      <c r="L34" s="242"/>
      <c r="M34" s="240"/>
      <c r="N34" s="242"/>
      <c r="O34" s="363"/>
      <c r="P34" s="242"/>
      <c r="Q34" s="363"/>
      <c r="R34" s="242"/>
      <c r="S34" s="363"/>
      <c r="T34" s="242"/>
      <c r="U34" s="363"/>
      <c r="V34" s="242"/>
      <c r="W34" s="363"/>
      <c r="X34" s="242"/>
      <c r="Y34" s="363"/>
      <c r="Z34" s="233"/>
      <c r="AA34" s="234"/>
      <c r="AB34" s="3219"/>
      <c r="AC34" s="3222"/>
      <c r="AD34" s="1709"/>
      <c r="AE34" s="3219"/>
      <c r="AF34" s="1579"/>
      <c r="AG34" s="1672"/>
      <c r="AH34" s="1689"/>
      <c r="AJ34" s="3638"/>
    </row>
    <row r="35" spans="1:37" ht="16.5" customHeight="1">
      <c r="A35" s="221"/>
      <c r="B35" s="221"/>
      <c r="C35" s="233"/>
      <c r="D35" s="233"/>
      <c r="E35" s="242"/>
      <c r="F35" s="242"/>
      <c r="G35" s="242"/>
      <c r="H35" s="242"/>
      <c r="I35" s="242"/>
      <c r="J35" s="242"/>
      <c r="K35" s="242"/>
      <c r="L35" s="242"/>
      <c r="M35" s="242"/>
      <c r="N35" s="242"/>
      <c r="O35" s="242"/>
      <c r="P35" s="242"/>
      <c r="Q35" s="242"/>
      <c r="R35" s="242"/>
      <c r="S35" s="242"/>
      <c r="T35" s="242"/>
      <c r="U35" s="242"/>
      <c r="V35" s="242"/>
      <c r="W35" s="242"/>
      <c r="X35" s="242"/>
      <c r="Y35" s="242"/>
      <c r="Z35" s="233"/>
      <c r="AA35" s="234"/>
      <c r="AB35" s="1560"/>
      <c r="AC35" s="3222"/>
      <c r="AD35" s="1709"/>
      <c r="AE35" s="1560"/>
      <c r="AF35" s="2201"/>
      <c r="AG35" s="2206"/>
      <c r="AH35" s="1689"/>
      <c r="AI35" s="1147"/>
      <c r="AJ35" s="3639"/>
    </row>
    <row r="36" spans="1:37" ht="16.5" customHeight="1">
      <c r="A36" s="230" t="s">
        <v>157</v>
      </c>
      <c r="B36" s="221"/>
      <c r="C36" s="233"/>
      <c r="D36" s="233"/>
      <c r="E36" s="242" t="s">
        <v>15</v>
      </c>
      <c r="F36" s="242"/>
      <c r="G36" s="242"/>
      <c r="H36" s="242"/>
      <c r="I36" s="242"/>
      <c r="J36" s="242"/>
      <c r="K36" s="242"/>
      <c r="L36" s="242"/>
      <c r="M36" s="242"/>
      <c r="N36" s="242"/>
      <c r="O36" s="242"/>
      <c r="P36" s="242"/>
      <c r="Q36" s="242"/>
      <c r="R36" s="242"/>
      <c r="S36" s="242"/>
      <c r="T36" s="242"/>
      <c r="U36" s="242"/>
      <c r="V36" s="242"/>
      <c r="W36" s="242"/>
      <c r="X36" s="242"/>
      <c r="Y36" s="242"/>
      <c r="Z36" s="233"/>
      <c r="AA36" s="234"/>
      <c r="AB36" s="1560"/>
      <c r="AC36" s="3222"/>
      <c r="AD36" s="1709"/>
      <c r="AE36" s="1560"/>
      <c r="AF36" s="2207"/>
      <c r="AG36" s="2208"/>
      <c r="AH36" s="1689"/>
      <c r="AI36" s="1147"/>
      <c r="AJ36" s="3639"/>
    </row>
    <row r="37" spans="1:37" ht="16.5" customHeight="1">
      <c r="A37" s="230" t="s">
        <v>45</v>
      </c>
      <c r="B37" s="221"/>
      <c r="C37" s="243">
        <f>ROUND(C23-C33,1)</f>
        <v>16.2</v>
      </c>
      <c r="D37" s="235"/>
      <c r="E37" s="243">
        <f>ROUND(E23-E33,1)</f>
        <v>-10</v>
      </c>
      <c r="F37" s="243"/>
      <c r="G37" s="243">
        <f>ROUND(G23-G33,1)</f>
        <v>-3.6</v>
      </c>
      <c r="H37" s="243"/>
      <c r="I37" s="243">
        <f>ROUND(I23-I33,1)</f>
        <v>5.0999999999999996</v>
      </c>
      <c r="J37" s="243"/>
      <c r="K37" s="243">
        <f>ROUND(K23-K33,1)</f>
        <v>1.8</v>
      </c>
      <c r="L37" s="243"/>
      <c r="M37" s="243">
        <f>ROUND(M23-M33,1)</f>
        <v>-0.1</v>
      </c>
      <c r="N37" s="243"/>
      <c r="O37" s="243">
        <f>ROUND(O23-O33,1)</f>
        <v>-0.8</v>
      </c>
      <c r="P37" s="243"/>
      <c r="Q37" s="243">
        <f>ROUND(Q23-Q33,1)</f>
        <v>-0.3</v>
      </c>
      <c r="R37" s="243"/>
      <c r="S37" s="243">
        <f>ROUND(S23-S33,1)</f>
        <v>-2.6</v>
      </c>
      <c r="T37" s="243"/>
      <c r="U37" s="243">
        <f>ROUND(U23-U33,1)</f>
        <v>4.5999999999999996</v>
      </c>
      <c r="V37" s="243"/>
      <c r="W37" s="243">
        <f>ROUND(W23-W33,1)</f>
        <v>0</v>
      </c>
      <c r="X37" s="243"/>
      <c r="Y37" s="243">
        <f>ROUND(Y23-Y33,1)</f>
        <v>0</v>
      </c>
      <c r="Z37" s="235"/>
      <c r="AA37" s="236"/>
      <c r="AB37" s="3220">
        <f>ROUND(AB23-AB33,1)</f>
        <v>10.3</v>
      </c>
      <c r="AC37" s="3221"/>
      <c r="AD37" s="3244"/>
      <c r="AE37" s="3220">
        <f>ROUND(AE23-AE33,1)</f>
        <v>3.8</v>
      </c>
      <c r="AF37" s="2209"/>
      <c r="AG37" s="1710"/>
      <c r="AH37" s="3245">
        <f>ROUND(SUM(AH23-AH33),1)</f>
        <v>6.5</v>
      </c>
      <c r="AI37" s="1144"/>
      <c r="AJ37" s="2119">
        <f>ROUND(IF(AE37=0,1,AH37/ABS(AE37)),3)</f>
        <v>1.7110000000000001</v>
      </c>
    </row>
    <row r="38" spans="1:37" ht="16.5" customHeight="1">
      <c r="A38" s="221"/>
      <c r="B38" s="221"/>
      <c r="C38" s="362"/>
      <c r="D38" s="233"/>
      <c r="E38" s="363"/>
      <c r="F38" s="242"/>
      <c r="G38" s="363"/>
      <c r="H38" s="242"/>
      <c r="I38" s="363"/>
      <c r="J38" s="242"/>
      <c r="K38" s="363"/>
      <c r="L38" s="242"/>
      <c r="M38" s="363"/>
      <c r="N38" s="242"/>
      <c r="O38" s="363"/>
      <c r="P38" s="242"/>
      <c r="Q38" s="363"/>
      <c r="R38" s="242"/>
      <c r="S38" s="363"/>
      <c r="T38" s="242"/>
      <c r="U38" s="363"/>
      <c r="V38" s="242"/>
      <c r="W38" s="363"/>
      <c r="X38" s="242"/>
      <c r="Y38" s="363"/>
      <c r="Z38" s="233"/>
      <c r="AA38" s="234"/>
      <c r="AB38" s="3219"/>
      <c r="AC38" s="3222"/>
      <c r="AD38" s="1709"/>
      <c r="AE38" s="3219"/>
      <c r="AF38" s="117"/>
      <c r="AG38" s="1710"/>
      <c r="AH38" s="1689"/>
      <c r="AJ38" s="3638"/>
    </row>
    <row r="39" spans="1:37" ht="16.5" customHeight="1">
      <c r="A39" s="221"/>
      <c r="B39" s="221"/>
      <c r="C39" s="233"/>
      <c r="D39" s="233"/>
      <c r="E39" s="242"/>
      <c r="F39" s="242"/>
      <c r="G39" s="242"/>
      <c r="H39" s="242"/>
      <c r="I39" s="242"/>
      <c r="J39" s="242"/>
      <c r="K39" s="242"/>
      <c r="L39" s="242"/>
      <c r="M39" s="242"/>
      <c r="N39" s="242"/>
      <c r="O39" s="242"/>
      <c r="P39" s="242"/>
      <c r="Q39" s="242"/>
      <c r="R39" s="242"/>
      <c r="S39" s="242"/>
      <c r="T39" s="242"/>
      <c r="U39" s="242"/>
      <c r="V39" s="242"/>
      <c r="W39" s="242"/>
      <c r="X39" s="242"/>
      <c r="Y39" s="242"/>
      <c r="Z39" s="233"/>
      <c r="AA39" s="234"/>
      <c r="AB39" s="1560"/>
      <c r="AC39" s="1560"/>
      <c r="AD39" s="1709"/>
      <c r="AE39" s="1560"/>
      <c r="AG39" s="1678"/>
      <c r="AH39" s="1689"/>
      <c r="AJ39" s="3639"/>
    </row>
    <row r="40" spans="1:37" s="1713" customFormat="1" ht="16.5" customHeight="1">
      <c r="A40" s="1706" t="s">
        <v>46</v>
      </c>
      <c r="B40" s="1707"/>
      <c r="C40" s="233"/>
      <c r="D40" s="233"/>
      <c r="E40" s="242"/>
      <c r="F40" s="242"/>
      <c r="G40" s="242"/>
      <c r="H40" s="242"/>
      <c r="I40" s="242"/>
      <c r="J40" s="1704"/>
      <c r="K40" s="1708"/>
      <c r="L40" s="1704"/>
      <c r="M40" s="1708"/>
      <c r="N40" s="1704"/>
      <c r="O40" s="1704"/>
      <c r="P40" s="1704"/>
      <c r="Q40" s="1704"/>
      <c r="R40" s="1704"/>
      <c r="S40" s="1704"/>
      <c r="T40" s="1704"/>
      <c r="U40" s="1704"/>
      <c r="V40" s="1704"/>
      <c r="W40" s="1704"/>
      <c r="X40" s="1704"/>
      <c r="Y40" s="1704"/>
      <c r="Z40" s="1560"/>
      <c r="AA40" s="1709"/>
      <c r="AB40" s="1560"/>
      <c r="AC40" s="1560"/>
      <c r="AD40" s="1709"/>
      <c r="AE40" s="1560"/>
      <c r="AF40" s="140"/>
      <c r="AG40" s="1710"/>
      <c r="AH40" s="1711"/>
      <c r="AI40" s="1712"/>
      <c r="AJ40" s="3640"/>
    </row>
    <row r="41" spans="1:37" s="1713" customFormat="1" ht="16.5" customHeight="1">
      <c r="A41" s="1707" t="s">
        <v>181</v>
      </c>
      <c r="B41" s="1707"/>
      <c r="C41" s="1560">
        <v>0</v>
      </c>
      <c r="D41" s="1560"/>
      <c r="E41" s="233">
        <v>0</v>
      </c>
      <c r="F41" s="1704"/>
      <c r="G41" s="233">
        <v>3</v>
      </c>
      <c r="H41" s="3611"/>
      <c r="I41" s="233">
        <v>0</v>
      </c>
      <c r="J41" s="1704"/>
      <c r="K41" s="233">
        <v>0</v>
      </c>
      <c r="L41" s="1704"/>
      <c r="M41" s="1560">
        <v>0</v>
      </c>
      <c r="N41" s="1704"/>
      <c r="O41" s="233">
        <v>0</v>
      </c>
      <c r="P41" s="1704"/>
      <c r="Q41" s="2110">
        <v>0</v>
      </c>
      <c r="R41" s="1704"/>
      <c r="S41" s="2110">
        <v>0</v>
      </c>
      <c r="T41" s="1704"/>
      <c r="U41" s="2110">
        <f t="shared" ref="U41:U42" si="3">$AB41-$C41-$E41-$G41-$I41-$K41-$M41-$O41-$Q41-$S41</f>
        <v>0</v>
      </c>
      <c r="V41" s="1704"/>
      <c r="W41" s="2110"/>
      <c r="X41" s="1704"/>
      <c r="Y41" s="2110"/>
      <c r="Z41" s="1560"/>
      <c r="AA41" s="1709"/>
      <c r="AB41" s="2110">
        <v>3</v>
      </c>
      <c r="AC41" s="1560"/>
      <c r="AD41" s="1709"/>
      <c r="AE41" s="2110">
        <v>0</v>
      </c>
      <c r="AF41" s="140"/>
      <c r="AG41" s="1710"/>
      <c r="AH41" s="1689">
        <f>ROUND(SUM(AB41-AE41),1)</f>
        <v>3</v>
      </c>
      <c r="AI41" s="1662"/>
      <c r="AJ41" s="3687">
        <f>ROUND(IF(AE41=0,1,AH41/ABS(AE41)),3)</f>
        <v>1</v>
      </c>
    </row>
    <row r="42" spans="1:37" ht="16.5" customHeight="1">
      <c r="A42" s="221" t="s">
        <v>182</v>
      </c>
      <c r="B42" s="221"/>
      <c r="C42" s="1560">
        <v>0</v>
      </c>
      <c r="D42" s="233"/>
      <c r="E42" s="233">
        <v>0</v>
      </c>
      <c r="F42" s="242"/>
      <c r="G42" s="233">
        <v>0</v>
      </c>
      <c r="H42" s="1845"/>
      <c r="I42" s="233">
        <v>0</v>
      </c>
      <c r="J42" s="242"/>
      <c r="K42" s="233">
        <v>0</v>
      </c>
      <c r="L42" s="242"/>
      <c r="M42" s="233">
        <v>0</v>
      </c>
      <c r="N42" s="242"/>
      <c r="O42" s="233">
        <v>0</v>
      </c>
      <c r="P42" s="242"/>
      <c r="Q42" s="1703">
        <v>0</v>
      </c>
      <c r="R42" s="242"/>
      <c r="S42" s="1703">
        <v>0</v>
      </c>
      <c r="T42" s="242"/>
      <c r="U42" s="1703">
        <f t="shared" si="3"/>
        <v>0</v>
      </c>
      <c r="V42" s="242"/>
      <c r="W42" s="1703"/>
      <c r="X42" s="242"/>
      <c r="Y42" s="1703"/>
      <c r="Z42" s="233"/>
      <c r="AA42" s="234"/>
      <c r="AB42" s="2110">
        <v>0</v>
      </c>
      <c r="AC42" s="1560"/>
      <c r="AD42" s="1709"/>
      <c r="AE42" s="2110">
        <v>0</v>
      </c>
      <c r="AF42" s="140"/>
      <c r="AG42" s="1710"/>
      <c r="AH42" s="3246">
        <f>-ROUND(SUM(AB42-AE42),1)</f>
        <v>0</v>
      </c>
      <c r="AJ42" s="3688">
        <f>ROUND(IF(AH42=0,0,AH42/ABS(AE42)),3)</f>
        <v>0</v>
      </c>
    </row>
    <row r="43" spans="1:37" ht="16.5" customHeight="1">
      <c r="A43" s="221"/>
      <c r="B43" s="221"/>
      <c r="C43" s="362"/>
      <c r="D43" s="233"/>
      <c r="E43" s="362"/>
      <c r="F43" s="242"/>
      <c r="G43" s="362"/>
      <c r="H43" s="242"/>
      <c r="I43" s="362"/>
      <c r="J43" s="242"/>
      <c r="K43" s="362"/>
      <c r="L43" s="242"/>
      <c r="M43" s="362"/>
      <c r="N43" s="242"/>
      <c r="O43" s="362"/>
      <c r="P43" s="242"/>
      <c r="Q43" s="362"/>
      <c r="R43" s="242"/>
      <c r="S43" s="362"/>
      <c r="T43" s="242"/>
      <c r="U43" s="363"/>
      <c r="V43" s="242"/>
      <c r="W43" s="363"/>
      <c r="X43" s="242"/>
      <c r="Y43" s="363"/>
      <c r="Z43" s="233"/>
      <c r="AA43" s="234"/>
      <c r="AB43" s="3219"/>
      <c r="AC43" s="1560"/>
      <c r="AD43" s="1709"/>
      <c r="AE43" s="3219"/>
      <c r="AF43" s="140"/>
      <c r="AG43" s="1710"/>
      <c r="AH43" s="3241"/>
      <c r="AJ43" s="3641"/>
    </row>
    <row r="44" spans="1:37" ht="16.5" customHeight="1">
      <c r="A44" s="230" t="s">
        <v>207</v>
      </c>
      <c r="B44" s="221"/>
      <c r="C44" s="365">
        <f>ROUND(SUM(C41:C43),1)</f>
        <v>0</v>
      </c>
      <c r="D44" s="235"/>
      <c r="E44" s="365">
        <f>ROUND(SUM(E41:E43),1)</f>
        <v>0</v>
      </c>
      <c r="F44" s="243"/>
      <c r="G44" s="365">
        <f>ROUND(SUM(G41:G43),1)</f>
        <v>3</v>
      </c>
      <c r="H44" s="243"/>
      <c r="I44" s="365">
        <f>ROUND(SUM(I41:I43),1)</f>
        <v>0</v>
      </c>
      <c r="J44" s="243"/>
      <c r="K44" s="365">
        <f>ROUND(SUM(K41:K43),1)</f>
        <v>0</v>
      </c>
      <c r="L44" s="243"/>
      <c r="M44" s="365">
        <f>ROUND(SUM(M41:M43),1)</f>
        <v>0</v>
      </c>
      <c r="N44" s="243"/>
      <c r="O44" s="365">
        <f>ROUND(SUM(O41:O43),1)</f>
        <v>0</v>
      </c>
      <c r="P44" s="243"/>
      <c r="Q44" s="365">
        <f>ROUND(SUM(Q41:Q43),1)</f>
        <v>0</v>
      </c>
      <c r="R44" s="243"/>
      <c r="S44" s="365">
        <f>ROUND(SUM(S41:S43),1)</f>
        <v>0</v>
      </c>
      <c r="T44" s="243"/>
      <c r="U44" s="365">
        <f>ROUND(SUM(U41:U43),1)</f>
        <v>0</v>
      </c>
      <c r="V44" s="243"/>
      <c r="W44" s="365">
        <f>ROUND(SUM(W41:W43),1)</f>
        <v>0</v>
      </c>
      <c r="X44" s="243"/>
      <c r="Y44" s="365">
        <f>ROUND(SUM(Y41:Y43),1)</f>
        <v>0</v>
      </c>
      <c r="Z44" s="235"/>
      <c r="AA44" s="236"/>
      <c r="AB44" s="3223">
        <f>ROUND(SUM(AB41+AB42),1)</f>
        <v>3</v>
      </c>
      <c r="AC44" s="3221"/>
      <c r="AD44" s="3244"/>
      <c r="AE44" s="3223">
        <f>ROUND(SUM(AE41+AE42),1)</f>
        <v>0</v>
      </c>
      <c r="AF44" s="107"/>
      <c r="AG44" s="1678"/>
      <c r="AH44" s="3245">
        <f>ROUND(SUM(AH41:AH42),1)</f>
        <v>3</v>
      </c>
      <c r="AI44" s="1151"/>
      <c r="AJ44" s="3689">
        <f>ROUND(IF(AE44=0,1,AH44/ABS(AE44)),3)</f>
        <v>1</v>
      </c>
    </row>
    <row r="45" spans="1:37" ht="16.5" customHeight="1">
      <c r="A45" s="221"/>
      <c r="B45" s="221"/>
      <c r="C45" s="362"/>
      <c r="D45" s="233"/>
      <c r="E45" s="363"/>
      <c r="F45" s="242"/>
      <c r="G45" s="363"/>
      <c r="H45" s="242"/>
      <c r="I45" s="363"/>
      <c r="J45" s="242"/>
      <c r="K45" s="363"/>
      <c r="L45" s="242"/>
      <c r="M45" s="363"/>
      <c r="N45" s="242"/>
      <c r="O45" s="363"/>
      <c r="P45" s="242"/>
      <c r="Q45" s="363"/>
      <c r="R45" s="242"/>
      <c r="S45" s="363"/>
      <c r="T45" s="242"/>
      <c r="U45" s="363"/>
      <c r="V45" s="242"/>
      <c r="W45" s="363"/>
      <c r="X45" s="242"/>
      <c r="Y45" s="363"/>
      <c r="Z45" s="233"/>
      <c r="AA45" s="234"/>
      <c r="AB45" s="3219"/>
      <c r="AC45" s="1560"/>
      <c r="AD45" s="1709"/>
      <c r="AE45" s="3219"/>
      <c r="AG45" s="1678"/>
      <c r="AH45" s="3241"/>
      <c r="AJ45" s="3642"/>
    </row>
    <row r="46" spans="1:37" ht="16.5" customHeight="1">
      <c r="A46" s="221"/>
      <c r="B46" s="221"/>
      <c r="C46" s="233"/>
      <c r="D46" s="233"/>
      <c r="E46" s="242"/>
      <c r="F46" s="242"/>
      <c r="G46" s="242"/>
      <c r="H46" s="242"/>
      <c r="I46" s="242"/>
      <c r="J46" s="242"/>
      <c r="K46" s="242"/>
      <c r="L46" s="242"/>
      <c r="M46" s="242"/>
      <c r="N46" s="242"/>
      <c r="O46" s="242"/>
      <c r="P46" s="242"/>
      <c r="Q46" s="242"/>
      <c r="R46" s="242"/>
      <c r="S46" s="242"/>
      <c r="T46" s="242"/>
      <c r="U46" s="242"/>
      <c r="V46" s="242"/>
      <c r="W46" s="242"/>
      <c r="X46" s="242"/>
      <c r="Y46" s="242"/>
      <c r="Z46" s="233"/>
      <c r="AA46" s="234"/>
      <c r="AB46" s="1560"/>
      <c r="AC46" s="1560"/>
      <c r="AD46" s="1709"/>
      <c r="AE46" s="1560"/>
      <c r="AG46" s="1678"/>
      <c r="AJ46" s="3642"/>
    </row>
    <row r="47" spans="1:37" ht="16.5" customHeight="1">
      <c r="A47" s="230" t="s">
        <v>165</v>
      </c>
      <c r="B47" s="221"/>
      <c r="C47" s="233"/>
      <c r="D47" s="233"/>
      <c r="E47" s="242"/>
      <c r="F47" s="242"/>
      <c r="G47" s="242"/>
      <c r="H47" s="242"/>
      <c r="I47" s="242"/>
      <c r="J47" s="242"/>
      <c r="K47" s="242"/>
      <c r="L47" s="242"/>
      <c r="M47" s="242"/>
      <c r="N47" s="242"/>
      <c r="O47" s="242"/>
      <c r="P47" s="242"/>
      <c r="Q47" s="242"/>
      <c r="R47" s="242"/>
      <c r="S47" s="242"/>
      <c r="T47" s="242"/>
      <c r="U47" s="242"/>
      <c r="V47" s="242"/>
      <c r="W47" s="242"/>
      <c r="X47" s="242"/>
      <c r="Y47" s="242"/>
      <c r="Z47" s="233"/>
      <c r="AA47" s="234"/>
      <c r="AB47" s="1560"/>
      <c r="AC47" s="1560"/>
      <c r="AD47" s="1709"/>
      <c r="AE47" s="1560"/>
      <c r="AG47" s="1678"/>
      <c r="AJ47" s="3642"/>
    </row>
    <row r="48" spans="1:37" ht="16.5" customHeight="1">
      <c r="A48" s="230" t="s">
        <v>226</v>
      </c>
      <c r="B48" s="221"/>
      <c r="C48" s="233"/>
      <c r="D48" s="233"/>
      <c r="E48" s="242"/>
      <c r="F48" s="242"/>
      <c r="G48" s="242"/>
      <c r="H48" s="242"/>
      <c r="I48" s="242"/>
      <c r="J48" s="242"/>
      <c r="K48" s="366"/>
      <c r="L48" s="242"/>
      <c r="M48" s="242"/>
      <c r="N48" s="242"/>
      <c r="O48" s="242"/>
      <c r="P48" s="242"/>
      <c r="Q48" s="242"/>
      <c r="R48" s="242"/>
      <c r="S48" s="242"/>
      <c r="T48" s="242"/>
      <c r="U48" s="242"/>
      <c r="V48" s="242"/>
      <c r="W48" s="242"/>
      <c r="X48" s="242"/>
      <c r="Y48" s="242"/>
      <c r="Z48" s="233"/>
      <c r="AA48" s="234"/>
      <c r="AB48" s="1560"/>
      <c r="AC48" s="1560"/>
      <c r="AD48" s="1709"/>
      <c r="AE48" s="1560"/>
      <c r="AG48" s="1678"/>
      <c r="AJ48" s="3642"/>
    </row>
    <row r="49" spans="1:39" ht="16.5" customHeight="1">
      <c r="A49" s="230" t="s">
        <v>167</v>
      </c>
      <c r="B49" s="221"/>
      <c r="C49" s="243">
        <f>ROUND(C37+C44,1)</f>
        <v>16.2</v>
      </c>
      <c r="D49" s="235"/>
      <c r="E49" s="243">
        <f>ROUND(E37+E44,1)</f>
        <v>-10</v>
      </c>
      <c r="F49" s="243"/>
      <c r="G49" s="243">
        <f>ROUND(G37+G44,1)</f>
        <v>-0.6</v>
      </c>
      <c r="H49" s="243"/>
      <c r="I49" s="243">
        <f>ROUND(I37+I44,1)</f>
        <v>5.0999999999999996</v>
      </c>
      <c r="J49" s="243"/>
      <c r="K49" s="899">
        <f>ROUND(K37+K44,1)</f>
        <v>1.8</v>
      </c>
      <c r="L49" s="243"/>
      <c r="M49" s="243">
        <f>ROUND(M37+M44,1)</f>
        <v>-0.1</v>
      </c>
      <c r="N49" s="243"/>
      <c r="O49" s="243">
        <f>ROUND(O37+O44,1)</f>
        <v>-0.8</v>
      </c>
      <c r="P49" s="243"/>
      <c r="Q49" s="243">
        <f>ROUND(Q37+Q44,1)</f>
        <v>-0.3</v>
      </c>
      <c r="R49" s="243"/>
      <c r="S49" s="243">
        <f>ROUND(S37+S44,1)</f>
        <v>-2.6</v>
      </c>
      <c r="T49" s="243"/>
      <c r="U49" s="243">
        <f>ROUND(U37+U44,1)</f>
        <v>4.5999999999999996</v>
      </c>
      <c r="V49" s="243"/>
      <c r="W49" s="243">
        <f>ROUND(W37+W44,1)</f>
        <v>0</v>
      </c>
      <c r="X49" s="243"/>
      <c r="Y49" s="243">
        <f>ROUND(Y37+Y44,1)</f>
        <v>0</v>
      </c>
      <c r="Z49" s="235"/>
      <c r="AA49" s="236"/>
      <c r="AB49" s="3220">
        <f>ROUND(AB37+AB44,1)</f>
        <v>13.3</v>
      </c>
      <c r="AC49" s="3221"/>
      <c r="AD49" s="3244"/>
      <c r="AE49" s="3220">
        <f>ROUND(AE37+AE44,1)</f>
        <v>3.8</v>
      </c>
      <c r="AG49" s="1678"/>
      <c r="AH49" s="3245">
        <f>ROUND(SUM(AH37+AH44),1)</f>
        <v>9.5</v>
      </c>
      <c r="AI49" s="1124"/>
      <c r="AJ49" s="2119">
        <f>ROUND(IF(AE49=0,1,AH49/ABS(AE49)),3)</f>
        <v>2.5</v>
      </c>
      <c r="AK49" s="360"/>
      <c r="AL49" s="360"/>
      <c r="AM49" s="360"/>
    </row>
    <row r="50" spans="1:39" ht="16.5" customHeight="1">
      <c r="A50" s="221"/>
      <c r="B50" s="221"/>
      <c r="C50" s="367"/>
      <c r="D50" s="230"/>
      <c r="E50" s="368"/>
      <c r="F50" s="369"/>
      <c r="G50" s="368"/>
      <c r="H50" s="369"/>
      <c r="I50" s="368"/>
      <c r="J50" s="369"/>
      <c r="K50" s="370"/>
      <c r="L50" s="369"/>
      <c r="M50" s="368"/>
      <c r="N50" s="369"/>
      <c r="O50" s="368"/>
      <c r="P50" s="369"/>
      <c r="Q50" s="368"/>
      <c r="R50" s="369"/>
      <c r="S50" s="368"/>
      <c r="T50" s="369"/>
      <c r="U50" s="368"/>
      <c r="V50" s="369"/>
      <c r="W50" s="368"/>
      <c r="X50" s="369"/>
      <c r="Y50" s="368"/>
      <c r="Z50" s="230"/>
      <c r="AA50" s="371"/>
      <c r="AB50" s="3224"/>
      <c r="AC50" s="1706"/>
      <c r="AD50" s="3247"/>
      <c r="AE50" s="3224"/>
      <c r="AG50" s="1678"/>
      <c r="AJ50" s="3638"/>
      <c r="AK50" s="360"/>
      <c r="AL50" s="360"/>
      <c r="AM50" s="360"/>
    </row>
    <row r="51" spans="1:39" ht="16.5" customHeight="1" thickBot="1">
      <c r="A51" s="230" t="s">
        <v>141</v>
      </c>
      <c r="B51" s="221"/>
      <c r="C51" s="228">
        <f>ROUND(C16+C49,1)</f>
        <v>45.9</v>
      </c>
      <c r="D51" s="228"/>
      <c r="E51" s="228">
        <f>ROUND(E16+E49,1)</f>
        <v>35.9</v>
      </c>
      <c r="F51" s="359"/>
      <c r="G51" s="228">
        <f>ROUND(G16+G49,1)</f>
        <v>35.299999999999997</v>
      </c>
      <c r="H51" s="359"/>
      <c r="I51" s="901">
        <f>ROUND(I16+I49,1)</f>
        <v>40.4</v>
      </c>
      <c r="J51" s="372"/>
      <c r="K51" s="228">
        <f>ROUND(K16+K49,1)</f>
        <v>42.2</v>
      </c>
      <c r="L51" s="372"/>
      <c r="M51" s="228">
        <f>ROUND(M16+M49,1)</f>
        <v>42.1</v>
      </c>
      <c r="N51" s="359"/>
      <c r="O51" s="228">
        <f>ROUND(O16+O49,1)</f>
        <v>41.3</v>
      </c>
      <c r="P51" s="359"/>
      <c r="Q51" s="228">
        <f>ROUND(Q16+Q49,1)</f>
        <v>41</v>
      </c>
      <c r="R51" s="359"/>
      <c r="S51" s="228">
        <f>ROUND(S16+S49,1)</f>
        <v>38.4</v>
      </c>
      <c r="T51" s="359"/>
      <c r="U51" s="228">
        <f>ROUND(U16+U49,1)</f>
        <v>43</v>
      </c>
      <c r="V51" s="359"/>
      <c r="W51" s="228">
        <f>ROUND(W16+W49,1)</f>
        <v>0</v>
      </c>
      <c r="X51" s="359"/>
      <c r="Y51" s="228">
        <f>ROUND(Y16+Y49,1)</f>
        <v>0</v>
      </c>
      <c r="Z51" s="228"/>
      <c r="AA51" s="229"/>
      <c r="AB51" s="3218">
        <f>ROUND(AB16+AB49,1)</f>
        <v>43</v>
      </c>
      <c r="AC51" s="3218"/>
      <c r="AD51" s="3239"/>
      <c r="AE51" s="3218">
        <f>ROUND(AE16+AE49,1)</f>
        <v>30.4</v>
      </c>
      <c r="AG51" s="1678"/>
      <c r="AH51" s="3248">
        <f>ROUND(SUM(AB51-AE51),1)</f>
        <v>12.6</v>
      </c>
      <c r="AI51" s="1150"/>
      <c r="AJ51" s="1152">
        <f>ROUND(IF(AH51=0,0,AH51/ABS(AE51)),3)</f>
        <v>0.41399999999999998</v>
      </c>
      <c r="AK51" s="360"/>
      <c r="AL51" s="360"/>
      <c r="AM51" s="360"/>
    </row>
    <row r="52" spans="1:39" ht="16.5" customHeight="1" thickTop="1">
      <c r="A52" s="223"/>
      <c r="B52" s="223"/>
      <c r="C52" s="373"/>
      <c r="D52" s="223"/>
      <c r="E52" s="373"/>
      <c r="F52" s="223"/>
      <c r="G52" s="373"/>
      <c r="H52" s="223"/>
      <c r="I52" s="239"/>
      <c r="J52" s="239"/>
      <c r="K52" s="373"/>
      <c r="L52" s="239"/>
      <c r="M52" s="373"/>
      <c r="N52" s="223"/>
      <c r="O52" s="373"/>
      <c r="P52" s="223"/>
      <c r="Q52" s="373"/>
      <c r="R52" s="223"/>
      <c r="S52" s="373"/>
      <c r="T52" s="223"/>
      <c r="U52" s="373"/>
      <c r="V52" s="223"/>
      <c r="W52" s="373"/>
      <c r="X52" s="223"/>
      <c r="Y52" s="373"/>
      <c r="Z52" s="223"/>
      <c r="AA52" s="223"/>
      <c r="AB52" s="3225"/>
      <c r="AC52" s="3226"/>
      <c r="AD52" s="3226"/>
      <c r="AE52" s="3225"/>
    </row>
    <row r="53" spans="1:39" ht="16.5" customHeight="1">
      <c r="A53" s="244"/>
    </row>
    <row r="54" spans="1:39" ht="16.5" customHeight="1">
      <c r="A54" s="244"/>
    </row>
    <row r="55" spans="1:39" ht="16.5" customHeight="1">
      <c r="A55" s="244"/>
    </row>
    <row r="56" spans="1:39" ht="16.5" customHeight="1">
      <c r="A56" s="244"/>
    </row>
    <row r="57" spans="1:39" ht="16.5" customHeight="1">
      <c r="A57" s="244"/>
    </row>
  </sheetData>
  <mergeCells count="1">
    <mergeCell ref="AB12:AJ12"/>
  </mergeCells>
  <pageMargins left="0.25" right="0.25" top="0.5" bottom="0.25" header="0" footer="0.25"/>
  <pageSetup scale="43" firstPageNumber="34" orientation="landscape" useFirstPageNumber="1" r:id="rId1"/>
  <headerFooter scaleWithDoc="0" alignWithMargins="0">
    <oddFooter>&amp;C&amp;8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IQ50"/>
  <sheetViews>
    <sheetView showGridLines="0" zoomScale="80" zoomScaleNormal="60" workbookViewId="0"/>
  </sheetViews>
  <sheetFormatPr defaultColWidth="8.6640625" defaultRowHeight="16.5" customHeight="1"/>
  <cols>
    <col min="1" max="1" width="48.44140625" style="208" customWidth="1"/>
    <col min="2" max="2" width="11" style="208" customWidth="1"/>
    <col min="3" max="3" width="1.6640625" style="208" customWidth="1"/>
    <col min="4" max="4" width="11" style="208" customWidth="1"/>
    <col min="5" max="5" width="1.6640625" style="208" customWidth="1"/>
    <col min="6" max="6" width="11.109375" style="208" customWidth="1"/>
    <col min="7" max="7" width="1.6640625" style="208" customWidth="1"/>
    <col min="8" max="8" width="11" style="208" customWidth="1"/>
    <col min="9" max="9" width="1.6640625" style="208" customWidth="1"/>
    <col min="10" max="10" width="10.44140625" style="208" customWidth="1"/>
    <col min="11" max="11" width="1.6640625" style="208" customWidth="1"/>
    <col min="12" max="12" width="13.109375" style="208" customWidth="1"/>
    <col min="13" max="13" width="1.6640625" style="208" customWidth="1"/>
    <col min="14" max="14" width="11.109375" style="208" customWidth="1"/>
    <col min="15" max="15" width="1.6640625" style="208" customWidth="1"/>
    <col min="16" max="16" width="12.109375" style="208" customWidth="1"/>
    <col min="17" max="17" width="1.6640625" style="208" customWidth="1"/>
    <col min="18" max="18" width="12" style="208" customWidth="1"/>
    <col min="19" max="19" width="1.6640625" style="208" customWidth="1"/>
    <col min="20" max="20" width="11.109375" style="208" customWidth="1"/>
    <col min="21" max="21" width="1.6640625" style="208" customWidth="1"/>
    <col min="22" max="22" width="11.6640625" style="208" customWidth="1"/>
    <col min="23" max="23" width="1.6640625" style="208" customWidth="1"/>
    <col min="24" max="24" width="11.109375" style="1088" customWidth="1"/>
    <col min="25" max="26" width="1.6640625" style="1088" customWidth="1"/>
    <col min="27" max="27" width="11.5546875" style="1088" customWidth="1"/>
    <col min="28" max="29" width="1.6640625" style="1088" customWidth="1"/>
    <col min="30" max="30" width="11.5546875" style="1088" customWidth="1"/>
    <col min="31" max="31" width="1.6640625" style="2210" customWidth="1"/>
    <col min="32" max="32" width="2.44140625" style="3227" customWidth="1"/>
    <col min="33" max="33" width="10.109375" style="1662" bestFit="1" customWidth="1"/>
    <col min="34" max="34" width="1.6640625" style="1133" customWidth="1"/>
    <col min="35" max="35" width="11.109375" style="1132" customWidth="1"/>
    <col min="36" max="16384" width="8.6640625" style="208"/>
  </cols>
  <sheetData>
    <row r="1" spans="1:251" ht="16.5" customHeight="1">
      <c r="A1" s="644" t="s">
        <v>963</v>
      </c>
    </row>
    <row r="2" spans="1:251" ht="16.5" customHeight="1">
      <c r="A2" s="824"/>
    </row>
    <row r="3" spans="1:251" ht="20.25" customHeight="1">
      <c r="A3" s="3549" t="s">
        <v>0</v>
      </c>
      <c r="B3" s="319"/>
      <c r="C3" s="374"/>
      <c r="D3" s="374"/>
      <c r="E3" s="374"/>
      <c r="F3" s="374"/>
      <c r="G3" s="374"/>
      <c r="H3" s="374"/>
      <c r="I3" s="374"/>
      <c r="J3" s="374"/>
      <c r="K3" s="374"/>
      <c r="L3" s="374"/>
      <c r="M3" s="374"/>
      <c r="N3" s="374"/>
      <c r="O3" s="374"/>
      <c r="P3" s="374"/>
      <c r="Q3" s="374"/>
      <c r="R3" s="374"/>
      <c r="S3" s="374"/>
      <c r="T3" s="374"/>
      <c r="U3" s="374"/>
      <c r="V3" s="374"/>
      <c r="W3" s="374"/>
      <c r="X3" s="3249"/>
      <c r="Y3" s="3249"/>
      <c r="Z3" s="3249"/>
      <c r="AA3" s="3249"/>
      <c r="AB3" s="3249"/>
      <c r="AC3" s="3249"/>
      <c r="AD3" s="3249"/>
      <c r="AE3" s="107"/>
      <c r="AI3" s="269" t="s">
        <v>222</v>
      </c>
      <c r="AJ3" s="374"/>
      <c r="AK3" s="374"/>
      <c r="AL3" s="374"/>
      <c r="AM3" s="374"/>
      <c r="AN3" s="374"/>
      <c r="AO3" s="374"/>
      <c r="AP3" s="374"/>
      <c r="AQ3" s="374"/>
      <c r="AR3" s="374"/>
      <c r="AS3" s="374"/>
      <c r="AT3" s="374"/>
      <c r="AU3" s="374"/>
      <c r="AV3" s="374"/>
      <c r="AW3" s="374"/>
      <c r="AX3" s="374"/>
      <c r="AY3" s="374"/>
      <c r="AZ3" s="374"/>
      <c r="BA3" s="374"/>
      <c r="BB3" s="374"/>
      <c r="BC3" s="374"/>
      <c r="BD3" s="374"/>
      <c r="BE3" s="374"/>
      <c r="BF3" s="374"/>
      <c r="BG3" s="374"/>
      <c r="BH3" s="374"/>
      <c r="BI3" s="374"/>
      <c r="BJ3" s="374"/>
      <c r="BK3" s="374"/>
      <c r="BL3" s="374"/>
      <c r="BM3" s="374"/>
      <c r="BN3" s="374"/>
      <c r="BO3" s="374"/>
      <c r="BP3" s="374"/>
      <c r="BQ3" s="374"/>
      <c r="BR3" s="374"/>
      <c r="BS3" s="374"/>
      <c r="BT3" s="374"/>
      <c r="BU3" s="374"/>
      <c r="BV3" s="374"/>
      <c r="BW3" s="374"/>
      <c r="BX3" s="374"/>
      <c r="BY3" s="374"/>
      <c r="BZ3" s="374"/>
      <c r="CA3" s="374"/>
      <c r="CB3" s="374"/>
      <c r="CC3" s="374"/>
      <c r="CD3" s="374"/>
      <c r="CE3" s="374"/>
      <c r="CF3" s="374"/>
      <c r="CG3" s="374"/>
      <c r="CH3" s="374"/>
      <c r="CI3" s="374"/>
      <c r="CJ3" s="374"/>
      <c r="CK3" s="374"/>
      <c r="CL3" s="374"/>
      <c r="CM3" s="374"/>
      <c r="CN3" s="374"/>
      <c r="CO3" s="374"/>
      <c r="CP3" s="374"/>
      <c r="CQ3" s="374"/>
      <c r="CR3" s="374"/>
      <c r="CS3" s="374"/>
      <c r="CT3" s="374"/>
      <c r="CU3" s="374"/>
      <c r="CV3" s="374"/>
      <c r="CW3" s="374"/>
      <c r="CX3" s="374"/>
      <c r="CY3" s="374"/>
      <c r="CZ3" s="374"/>
      <c r="DA3" s="374"/>
      <c r="DB3" s="374"/>
      <c r="DC3" s="374"/>
      <c r="DD3" s="374"/>
      <c r="DE3" s="374"/>
      <c r="DF3" s="374"/>
      <c r="DG3" s="374"/>
      <c r="DH3" s="374"/>
      <c r="DI3" s="374"/>
      <c r="DJ3" s="374"/>
      <c r="DK3" s="374"/>
      <c r="DL3" s="374"/>
      <c r="DM3" s="374"/>
      <c r="DN3" s="374"/>
      <c r="DO3" s="374"/>
      <c r="DP3" s="374"/>
      <c r="DQ3" s="374"/>
      <c r="DR3" s="374"/>
      <c r="DS3" s="374"/>
      <c r="DT3" s="374"/>
      <c r="DU3" s="374"/>
      <c r="DV3" s="374"/>
      <c r="DW3" s="374"/>
      <c r="DX3" s="374"/>
      <c r="DY3" s="374"/>
      <c r="DZ3" s="374"/>
      <c r="EA3" s="374"/>
      <c r="EB3" s="374"/>
      <c r="EC3" s="374"/>
      <c r="ED3" s="374"/>
      <c r="EE3" s="374"/>
      <c r="EF3" s="374"/>
      <c r="EG3" s="374"/>
      <c r="EH3" s="374"/>
      <c r="EI3" s="374"/>
      <c r="EJ3" s="374"/>
      <c r="EK3" s="374"/>
      <c r="EL3" s="374"/>
      <c r="EM3" s="374"/>
      <c r="EN3" s="374"/>
      <c r="EO3" s="374"/>
      <c r="EP3" s="374"/>
      <c r="EQ3" s="374"/>
      <c r="ER3" s="374"/>
      <c r="ES3" s="374"/>
      <c r="ET3" s="374"/>
      <c r="EU3" s="374"/>
      <c r="EV3" s="374"/>
      <c r="EW3" s="374"/>
      <c r="EX3" s="374"/>
      <c r="EY3" s="374"/>
      <c r="EZ3" s="374"/>
      <c r="FA3" s="374"/>
      <c r="FB3" s="374"/>
      <c r="FC3" s="374"/>
      <c r="FD3" s="374"/>
      <c r="FE3" s="374"/>
      <c r="FF3" s="374"/>
      <c r="FG3" s="374"/>
      <c r="FH3" s="374"/>
      <c r="FI3" s="374"/>
      <c r="FJ3" s="374"/>
      <c r="FK3" s="374"/>
      <c r="FL3" s="374"/>
      <c r="FM3" s="374"/>
      <c r="FN3" s="374"/>
      <c r="FO3" s="374"/>
      <c r="FP3" s="374"/>
      <c r="FQ3" s="374"/>
      <c r="FR3" s="374"/>
      <c r="FS3" s="374"/>
      <c r="FT3" s="374"/>
      <c r="FU3" s="374"/>
      <c r="FV3" s="374"/>
      <c r="FW3" s="374"/>
      <c r="FX3" s="374"/>
      <c r="FY3" s="374"/>
      <c r="FZ3" s="374"/>
      <c r="GA3" s="374"/>
      <c r="GB3" s="374"/>
      <c r="GC3" s="374"/>
      <c r="GD3" s="374"/>
      <c r="GE3" s="374"/>
      <c r="GF3" s="374"/>
      <c r="GG3" s="374"/>
      <c r="GH3" s="374"/>
      <c r="GI3" s="374"/>
      <c r="GJ3" s="374"/>
      <c r="GK3" s="374"/>
      <c r="GL3" s="374"/>
      <c r="GM3" s="374"/>
      <c r="GN3" s="374"/>
      <c r="GO3" s="374"/>
      <c r="GP3" s="374"/>
      <c r="GQ3" s="374"/>
      <c r="GR3" s="374"/>
      <c r="GS3" s="374"/>
      <c r="GT3" s="374"/>
      <c r="GU3" s="374"/>
      <c r="GV3" s="374"/>
      <c r="GW3" s="374"/>
      <c r="GX3" s="374"/>
      <c r="GY3" s="374"/>
      <c r="GZ3" s="374"/>
      <c r="HA3" s="374"/>
      <c r="HB3" s="374"/>
      <c r="HC3" s="374"/>
      <c r="HD3" s="374"/>
      <c r="HE3" s="374"/>
      <c r="HF3" s="374"/>
      <c r="HG3" s="374"/>
      <c r="HH3" s="374"/>
      <c r="HI3" s="374"/>
      <c r="HJ3" s="374"/>
      <c r="HK3" s="374"/>
      <c r="HL3" s="374"/>
      <c r="HM3" s="374"/>
      <c r="HN3" s="374"/>
      <c r="HO3" s="374"/>
      <c r="HP3" s="374"/>
      <c r="HQ3" s="374"/>
      <c r="HR3" s="374"/>
      <c r="HS3" s="374"/>
      <c r="HT3" s="374"/>
      <c r="HU3" s="374"/>
      <c r="HV3" s="374"/>
      <c r="HW3" s="374"/>
      <c r="HX3" s="374"/>
      <c r="HY3" s="374"/>
      <c r="HZ3" s="374"/>
      <c r="IA3" s="374"/>
      <c r="IB3" s="374"/>
      <c r="IC3" s="374"/>
      <c r="ID3" s="374"/>
      <c r="IE3" s="374"/>
      <c r="IF3" s="374"/>
      <c r="IG3" s="374"/>
      <c r="IH3" s="374"/>
      <c r="II3" s="374"/>
      <c r="IJ3" s="374"/>
      <c r="IK3" s="374"/>
      <c r="IL3" s="374"/>
      <c r="IM3" s="374"/>
      <c r="IN3" s="374"/>
      <c r="IO3" s="374"/>
      <c r="IP3" s="374"/>
      <c r="IQ3" s="374"/>
    </row>
    <row r="4" spans="1:251" ht="22.5" customHeight="1">
      <c r="A4" s="3549" t="s">
        <v>220</v>
      </c>
      <c r="B4" s="319"/>
      <c r="C4" s="374"/>
      <c r="D4" s="374"/>
      <c r="E4" s="374"/>
      <c r="F4" s="374"/>
      <c r="G4" s="374"/>
      <c r="H4" s="319" t="s">
        <v>15</v>
      </c>
      <c r="I4" s="374"/>
      <c r="J4" s="374"/>
      <c r="K4" s="374"/>
      <c r="L4" s="374"/>
      <c r="M4" s="374"/>
      <c r="N4" s="374"/>
      <c r="O4" s="374"/>
      <c r="P4" s="374"/>
      <c r="Q4" s="374"/>
      <c r="R4" s="374"/>
      <c r="S4" s="374"/>
      <c r="T4" s="374"/>
      <c r="U4" s="374"/>
      <c r="V4" s="374"/>
      <c r="W4" s="374"/>
      <c r="X4" s="3249" t="s">
        <v>15</v>
      </c>
      <c r="Y4" s="3249"/>
      <c r="Z4" s="3249"/>
      <c r="AA4" s="3249"/>
      <c r="AB4" s="3249"/>
      <c r="AC4" s="3249"/>
      <c r="AD4" s="3249"/>
      <c r="AE4" s="107"/>
      <c r="AJ4" s="374"/>
      <c r="AK4" s="374"/>
      <c r="AL4" s="374"/>
      <c r="AM4" s="374"/>
      <c r="AN4" s="374"/>
      <c r="AO4" s="374"/>
      <c r="AP4" s="374"/>
      <c r="AQ4" s="374"/>
      <c r="AR4" s="374"/>
      <c r="AS4" s="374"/>
      <c r="AT4" s="374"/>
      <c r="AU4" s="374"/>
      <c r="AV4" s="374"/>
      <c r="AW4" s="374"/>
      <c r="AX4" s="374"/>
      <c r="AY4" s="374"/>
      <c r="AZ4" s="374"/>
      <c r="BA4" s="374"/>
      <c r="BB4" s="374"/>
      <c r="BC4" s="374"/>
      <c r="BD4" s="374"/>
      <c r="BE4" s="374"/>
      <c r="BF4" s="374"/>
      <c r="BG4" s="374"/>
      <c r="BH4" s="374"/>
      <c r="BI4" s="374"/>
      <c r="BJ4" s="374"/>
      <c r="BK4" s="374"/>
      <c r="BL4" s="374"/>
      <c r="BM4" s="374"/>
      <c r="BN4" s="374"/>
      <c r="BO4" s="374"/>
      <c r="BP4" s="374"/>
      <c r="BQ4" s="374"/>
      <c r="BR4" s="374"/>
      <c r="BS4" s="374"/>
      <c r="BT4" s="374"/>
      <c r="BU4" s="374"/>
      <c r="BV4" s="374"/>
      <c r="BW4" s="374"/>
      <c r="BX4" s="374"/>
      <c r="BY4" s="374"/>
      <c r="BZ4" s="374"/>
      <c r="CA4" s="374"/>
      <c r="CB4" s="374"/>
      <c r="CC4" s="374"/>
      <c r="CD4" s="374"/>
      <c r="CE4" s="374"/>
      <c r="CF4" s="374"/>
      <c r="CG4" s="374"/>
      <c r="CH4" s="374"/>
      <c r="CI4" s="374"/>
      <c r="CJ4" s="374"/>
      <c r="CK4" s="374"/>
      <c r="CL4" s="374"/>
      <c r="CM4" s="374"/>
      <c r="CN4" s="374"/>
      <c r="CO4" s="374"/>
      <c r="CP4" s="374"/>
      <c r="CQ4" s="374"/>
      <c r="CR4" s="374"/>
      <c r="CS4" s="374"/>
      <c r="CT4" s="374"/>
      <c r="CU4" s="374"/>
      <c r="CV4" s="374"/>
      <c r="CW4" s="374"/>
      <c r="CX4" s="374"/>
      <c r="CY4" s="374"/>
      <c r="CZ4" s="374"/>
      <c r="DA4" s="374"/>
      <c r="DB4" s="374"/>
      <c r="DC4" s="374"/>
      <c r="DD4" s="374"/>
      <c r="DE4" s="374"/>
      <c r="DF4" s="374"/>
      <c r="DG4" s="374"/>
      <c r="DH4" s="374"/>
      <c r="DI4" s="374"/>
      <c r="DJ4" s="374"/>
      <c r="DK4" s="374"/>
      <c r="DL4" s="374"/>
      <c r="DM4" s="374"/>
      <c r="DN4" s="374"/>
      <c r="DO4" s="374"/>
      <c r="DP4" s="374"/>
      <c r="DQ4" s="374"/>
      <c r="DR4" s="374"/>
      <c r="DS4" s="374"/>
      <c r="DT4" s="374"/>
      <c r="DU4" s="374"/>
      <c r="DV4" s="374"/>
      <c r="DW4" s="374"/>
      <c r="DX4" s="374"/>
      <c r="DY4" s="374"/>
      <c r="DZ4" s="374"/>
      <c r="EA4" s="374"/>
      <c r="EB4" s="374"/>
      <c r="EC4" s="374"/>
      <c r="ED4" s="374"/>
      <c r="EE4" s="374"/>
      <c r="EF4" s="374"/>
      <c r="EG4" s="374"/>
      <c r="EH4" s="374"/>
      <c r="EI4" s="374"/>
      <c r="EJ4" s="374"/>
      <c r="EK4" s="374"/>
      <c r="EL4" s="374"/>
      <c r="EM4" s="374"/>
      <c r="EN4" s="374"/>
      <c r="EO4" s="374"/>
      <c r="EP4" s="374"/>
      <c r="EQ4" s="374"/>
      <c r="ER4" s="374"/>
      <c r="ES4" s="374"/>
      <c r="ET4" s="374"/>
      <c r="EU4" s="374"/>
      <c r="EV4" s="374"/>
      <c r="EW4" s="374"/>
      <c r="EX4" s="374"/>
      <c r="EY4" s="374"/>
      <c r="EZ4" s="374"/>
      <c r="FA4" s="374"/>
      <c r="FB4" s="374"/>
      <c r="FC4" s="374"/>
      <c r="FD4" s="374"/>
      <c r="FE4" s="374"/>
      <c r="FF4" s="374"/>
      <c r="FG4" s="374"/>
      <c r="FH4" s="374"/>
      <c r="FI4" s="374"/>
      <c r="FJ4" s="374"/>
      <c r="FK4" s="374"/>
      <c r="FL4" s="374"/>
      <c r="FM4" s="374"/>
      <c r="FN4" s="374"/>
      <c r="FO4" s="374"/>
      <c r="FP4" s="374"/>
      <c r="FQ4" s="374"/>
      <c r="FR4" s="374"/>
      <c r="FS4" s="374"/>
      <c r="FT4" s="374"/>
      <c r="FU4" s="374"/>
      <c r="FV4" s="374"/>
      <c r="FW4" s="374"/>
      <c r="FX4" s="374"/>
      <c r="FY4" s="374"/>
      <c r="FZ4" s="374"/>
      <c r="GA4" s="374"/>
      <c r="GB4" s="374"/>
      <c r="GC4" s="374"/>
      <c r="GD4" s="374"/>
      <c r="GE4" s="374"/>
      <c r="GF4" s="374"/>
      <c r="GG4" s="374"/>
      <c r="GH4" s="374"/>
      <c r="GI4" s="374"/>
      <c r="GJ4" s="374"/>
      <c r="GK4" s="374"/>
      <c r="GL4" s="374"/>
      <c r="GM4" s="374"/>
      <c r="GN4" s="374"/>
      <c r="GO4" s="374"/>
      <c r="GP4" s="374"/>
      <c r="GQ4" s="374"/>
      <c r="GR4" s="374"/>
      <c r="GS4" s="374"/>
      <c r="GT4" s="374"/>
      <c r="GU4" s="374"/>
      <c r="GV4" s="374"/>
      <c r="GW4" s="374"/>
      <c r="GX4" s="374"/>
      <c r="GY4" s="374"/>
      <c r="GZ4" s="374"/>
      <c r="HA4" s="374"/>
      <c r="HB4" s="374"/>
      <c r="HC4" s="374"/>
      <c r="HD4" s="374"/>
      <c r="HE4" s="374"/>
      <c r="HF4" s="374"/>
      <c r="HG4" s="374"/>
      <c r="HH4" s="374"/>
      <c r="HI4" s="374"/>
      <c r="HJ4" s="374"/>
      <c r="HK4" s="374"/>
      <c r="HL4" s="374"/>
      <c r="HM4" s="374"/>
      <c r="HN4" s="374"/>
      <c r="HO4" s="374"/>
      <c r="HP4" s="374"/>
      <c r="HQ4" s="374"/>
      <c r="HR4" s="374"/>
      <c r="HS4" s="374"/>
      <c r="HT4" s="374"/>
      <c r="HU4" s="374"/>
      <c r="HV4" s="374"/>
      <c r="HW4" s="374"/>
      <c r="HX4" s="374"/>
      <c r="HY4" s="374"/>
      <c r="HZ4" s="374"/>
      <c r="IA4" s="374"/>
      <c r="IB4" s="374"/>
      <c r="IC4" s="374"/>
      <c r="ID4" s="374"/>
      <c r="IE4" s="374"/>
      <c r="IF4" s="374"/>
      <c r="IG4" s="374"/>
      <c r="IH4" s="374"/>
      <c r="II4" s="374"/>
      <c r="IJ4" s="374"/>
      <c r="IK4" s="374"/>
      <c r="IL4" s="374"/>
      <c r="IM4" s="374"/>
      <c r="IN4" s="374"/>
      <c r="IO4" s="374"/>
      <c r="IP4" s="374"/>
      <c r="IQ4" s="374"/>
    </row>
    <row r="5" spans="1:251" ht="20.25" customHeight="1">
      <c r="A5" s="3549" t="s">
        <v>221</v>
      </c>
      <c r="B5" s="319"/>
      <c r="C5" s="374"/>
      <c r="D5" s="374"/>
      <c r="E5" s="374"/>
      <c r="F5" s="374"/>
      <c r="G5" s="374"/>
      <c r="H5" s="374"/>
      <c r="I5" s="374"/>
      <c r="J5" s="374"/>
      <c r="K5" s="374"/>
      <c r="L5" s="374"/>
      <c r="M5" s="374"/>
      <c r="N5" s="374"/>
      <c r="O5" s="374"/>
      <c r="P5" s="374"/>
      <c r="Q5" s="374"/>
      <c r="R5" s="374"/>
      <c r="S5" s="374"/>
      <c r="T5" s="374"/>
      <c r="U5" s="374"/>
      <c r="V5" s="374"/>
      <c r="W5" s="374"/>
      <c r="X5" s="3249"/>
      <c r="Y5" s="3249"/>
      <c r="Z5" s="3249"/>
      <c r="AB5" s="3250"/>
      <c r="AC5" s="3250"/>
      <c r="AD5" s="3250"/>
      <c r="AE5" s="3228"/>
      <c r="AJ5" s="374"/>
      <c r="AK5" s="374"/>
      <c r="AL5" s="374"/>
      <c r="AM5" s="374"/>
      <c r="AN5" s="374"/>
      <c r="AO5" s="374"/>
      <c r="AP5" s="374"/>
      <c r="AQ5" s="374"/>
      <c r="AR5" s="374"/>
      <c r="AS5" s="374"/>
      <c r="AT5" s="374"/>
      <c r="AU5" s="374"/>
      <c r="AV5" s="374"/>
      <c r="AW5" s="374"/>
      <c r="AX5" s="374"/>
      <c r="AY5" s="374"/>
      <c r="AZ5" s="374"/>
      <c r="BA5" s="374"/>
      <c r="BB5" s="374"/>
      <c r="BC5" s="374"/>
      <c r="BD5" s="374"/>
      <c r="BE5" s="374"/>
      <c r="BF5" s="374"/>
      <c r="BG5" s="374"/>
      <c r="BH5" s="374"/>
      <c r="BI5" s="374"/>
      <c r="BJ5" s="374"/>
      <c r="BK5" s="374"/>
      <c r="BL5" s="374"/>
      <c r="BM5" s="374"/>
      <c r="BN5" s="374"/>
      <c r="BO5" s="374"/>
      <c r="BP5" s="374"/>
      <c r="BQ5" s="374"/>
      <c r="BR5" s="374"/>
      <c r="BS5" s="374"/>
      <c r="BT5" s="374"/>
      <c r="BU5" s="374"/>
      <c r="BV5" s="374"/>
      <c r="BW5" s="374"/>
      <c r="BX5" s="374"/>
      <c r="BY5" s="374"/>
      <c r="BZ5" s="374"/>
      <c r="CA5" s="374"/>
      <c r="CB5" s="374"/>
      <c r="CC5" s="374"/>
      <c r="CD5" s="374"/>
      <c r="CE5" s="374"/>
      <c r="CF5" s="374"/>
      <c r="CG5" s="374"/>
      <c r="CH5" s="374"/>
      <c r="CI5" s="374"/>
      <c r="CJ5" s="374"/>
      <c r="CK5" s="374"/>
      <c r="CL5" s="374"/>
      <c r="CM5" s="374"/>
      <c r="CN5" s="374"/>
      <c r="CO5" s="374"/>
      <c r="CP5" s="374"/>
      <c r="CQ5" s="374"/>
      <c r="CR5" s="374"/>
      <c r="CS5" s="374"/>
      <c r="CT5" s="374"/>
      <c r="CU5" s="374"/>
      <c r="CV5" s="374"/>
      <c r="CW5" s="374"/>
      <c r="CX5" s="374"/>
      <c r="CY5" s="374"/>
      <c r="CZ5" s="374"/>
      <c r="DA5" s="374"/>
      <c r="DB5" s="374"/>
      <c r="DC5" s="374"/>
      <c r="DD5" s="374"/>
      <c r="DE5" s="374"/>
      <c r="DF5" s="374"/>
      <c r="DG5" s="374"/>
      <c r="DH5" s="374"/>
      <c r="DI5" s="374"/>
      <c r="DJ5" s="374"/>
      <c r="DK5" s="374"/>
      <c r="DL5" s="374"/>
      <c r="DM5" s="374"/>
      <c r="DN5" s="374"/>
      <c r="DO5" s="374"/>
      <c r="DP5" s="374"/>
      <c r="DQ5" s="374"/>
      <c r="DR5" s="374"/>
      <c r="DS5" s="374"/>
      <c r="DT5" s="374"/>
      <c r="DU5" s="374"/>
      <c r="DV5" s="374"/>
      <c r="DW5" s="374"/>
      <c r="DX5" s="374"/>
      <c r="DY5" s="374"/>
      <c r="DZ5" s="374"/>
      <c r="EA5" s="374"/>
      <c r="EB5" s="374"/>
      <c r="EC5" s="374"/>
      <c r="ED5" s="374"/>
      <c r="EE5" s="374"/>
      <c r="EF5" s="374"/>
      <c r="EG5" s="374"/>
      <c r="EH5" s="374"/>
      <c r="EI5" s="374"/>
      <c r="EJ5" s="374"/>
      <c r="EK5" s="374"/>
      <c r="EL5" s="374"/>
      <c r="EM5" s="374"/>
      <c r="EN5" s="374"/>
      <c r="EO5" s="374"/>
      <c r="EP5" s="374"/>
      <c r="EQ5" s="374"/>
      <c r="ER5" s="374"/>
      <c r="ES5" s="374"/>
      <c r="ET5" s="374"/>
      <c r="EU5" s="374"/>
      <c r="EV5" s="374"/>
      <c r="EW5" s="374"/>
      <c r="EX5" s="374"/>
      <c r="EY5" s="374"/>
      <c r="EZ5" s="374"/>
      <c r="FA5" s="374"/>
      <c r="FB5" s="374"/>
      <c r="FC5" s="374"/>
      <c r="FD5" s="374"/>
      <c r="FE5" s="374"/>
      <c r="FF5" s="374"/>
      <c r="FG5" s="374"/>
      <c r="FH5" s="374"/>
      <c r="FI5" s="374"/>
      <c r="FJ5" s="374"/>
      <c r="FK5" s="374"/>
      <c r="FL5" s="374"/>
      <c r="FM5" s="374"/>
      <c r="FN5" s="374"/>
      <c r="FO5" s="374"/>
      <c r="FP5" s="374"/>
      <c r="FQ5" s="374"/>
      <c r="FR5" s="374"/>
      <c r="FS5" s="374"/>
      <c r="FT5" s="374"/>
      <c r="FU5" s="374"/>
      <c r="FV5" s="374"/>
      <c r="FW5" s="374"/>
      <c r="FX5" s="374"/>
      <c r="FY5" s="374"/>
      <c r="FZ5" s="374"/>
      <c r="GA5" s="374"/>
      <c r="GB5" s="374"/>
      <c r="GC5" s="374"/>
      <c r="GD5" s="374"/>
      <c r="GE5" s="374"/>
      <c r="GF5" s="374"/>
      <c r="GG5" s="374"/>
      <c r="GH5" s="374"/>
      <c r="GI5" s="374"/>
      <c r="GJ5" s="374"/>
      <c r="GK5" s="374"/>
      <c r="GL5" s="374"/>
      <c r="GM5" s="374"/>
      <c r="GN5" s="374"/>
      <c r="GO5" s="374"/>
      <c r="GP5" s="374"/>
      <c r="GQ5" s="374"/>
      <c r="GR5" s="374"/>
      <c r="GS5" s="374"/>
      <c r="GT5" s="374"/>
      <c r="GU5" s="374"/>
      <c r="GV5" s="374"/>
      <c r="GW5" s="374"/>
      <c r="GX5" s="374"/>
      <c r="GY5" s="374"/>
      <c r="GZ5" s="374"/>
      <c r="HA5" s="374"/>
      <c r="HB5" s="374"/>
      <c r="HC5" s="374"/>
      <c r="HD5" s="374"/>
      <c r="HE5" s="374"/>
      <c r="HF5" s="374"/>
      <c r="HG5" s="374"/>
      <c r="HH5" s="374"/>
      <c r="HI5" s="374"/>
      <c r="HJ5" s="374"/>
      <c r="HK5" s="374"/>
      <c r="HL5" s="374"/>
      <c r="HM5" s="374"/>
      <c r="HN5" s="374"/>
      <c r="HO5" s="374"/>
      <c r="HP5" s="374"/>
      <c r="HQ5" s="374"/>
      <c r="HR5" s="374"/>
      <c r="HS5" s="374"/>
      <c r="HT5" s="374"/>
      <c r="HU5" s="374"/>
      <c r="HV5" s="374"/>
      <c r="HW5" s="374"/>
      <c r="HX5" s="374"/>
      <c r="HY5" s="374"/>
      <c r="HZ5" s="374"/>
      <c r="IA5" s="374"/>
      <c r="IB5" s="374"/>
      <c r="IC5" s="374"/>
      <c r="ID5" s="374"/>
      <c r="IE5" s="374"/>
      <c r="IF5" s="374"/>
      <c r="IG5" s="374"/>
      <c r="IH5" s="374"/>
      <c r="II5" s="374"/>
      <c r="IJ5" s="374"/>
      <c r="IK5" s="374"/>
      <c r="IL5" s="374"/>
      <c r="IM5" s="374"/>
      <c r="IN5" s="374"/>
      <c r="IO5" s="374"/>
      <c r="IP5" s="374"/>
      <c r="IQ5" s="374"/>
    </row>
    <row r="6" spans="1:251" ht="20.25" customHeight="1">
      <c r="A6" s="3550" t="str">
        <f>'Cashflow Governmental'!A6</f>
        <v xml:space="preserve">FISCAL YEAR 2020-2021   </v>
      </c>
      <c r="B6" s="319"/>
      <c r="C6" s="374"/>
      <c r="D6" s="374"/>
      <c r="E6" s="374"/>
      <c r="F6" s="374"/>
      <c r="G6" s="374"/>
      <c r="H6" s="374"/>
      <c r="I6" s="374"/>
      <c r="J6" s="374"/>
      <c r="K6" s="374"/>
      <c r="L6" s="374"/>
      <c r="M6" s="374"/>
      <c r="N6" s="374"/>
      <c r="O6" s="374"/>
      <c r="P6" s="374"/>
      <c r="Q6" s="374"/>
      <c r="R6" s="374"/>
      <c r="S6" s="374"/>
      <c r="T6" s="374"/>
      <c r="U6" s="374"/>
      <c r="V6" s="374"/>
      <c r="W6" s="374"/>
      <c r="X6" s="3249"/>
      <c r="Y6" s="3249"/>
      <c r="Z6" s="3249"/>
      <c r="AA6" s="3249"/>
      <c r="AB6" s="3249"/>
      <c r="AC6" s="3249"/>
      <c r="AD6" s="3249"/>
      <c r="AE6" s="107"/>
      <c r="AJ6" s="374"/>
      <c r="AK6" s="374"/>
      <c r="AL6" s="374"/>
      <c r="AM6" s="374"/>
      <c r="AN6" s="374"/>
      <c r="AO6" s="374"/>
      <c r="AP6" s="374"/>
      <c r="AQ6" s="374"/>
      <c r="AR6" s="374"/>
      <c r="AS6" s="374"/>
      <c r="AT6" s="374"/>
      <c r="AU6" s="374"/>
      <c r="AV6" s="374"/>
      <c r="AW6" s="374"/>
      <c r="AX6" s="374"/>
      <c r="AY6" s="374"/>
      <c r="AZ6" s="374"/>
      <c r="BA6" s="374"/>
      <c r="BB6" s="374"/>
      <c r="BC6" s="374"/>
      <c r="BD6" s="374"/>
      <c r="BE6" s="374"/>
      <c r="BF6" s="374"/>
      <c r="BG6" s="374"/>
      <c r="BH6" s="374"/>
      <c r="BI6" s="374"/>
      <c r="BJ6" s="374"/>
      <c r="BK6" s="374"/>
      <c r="BL6" s="374"/>
      <c r="BM6" s="374"/>
      <c r="BN6" s="374"/>
      <c r="BO6" s="374"/>
      <c r="BP6" s="374"/>
      <c r="BQ6" s="374"/>
      <c r="BR6" s="374"/>
      <c r="BS6" s="374"/>
      <c r="BT6" s="374"/>
      <c r="BU6" s="374"/>
      <c r="BV6" s="374"/>
      <c r="BW6" s="374"/>
      <c r="BX6" s="374"/>
      <c r="BY6" s="374"/>
      <c r="BZ6" s="374"/>
      <c r="CA6" s="374"/>
      <c r="CB6" s="374"/>
      <c r="CC6" s="374"/>
      <c r="CD6" s="374"/>
      <c r="CE6" s="374"/>
      <c r="CF6" s="374"/>
      <c r="CG6" s="374"/>
      <c r="CH6" s="374"/>
      <c r="CI6" s="374"/>
      <c r="CJ6" s="374"/>
      <c r="CK6" s="374"/>
      <c r="CL6" s="374"/>
      <c r="CM6" s="374"/>
      <c r="CN6" s="374"/>
      <c r="CO6" s="374"/>
      <c r="CP6" s="374"/>
      <c r="CQ6" s="374"/>
      <c r="CR6" s="374"/>
      <c r="CS6" s="374"/>
      <c r="CT6" s="374"/>
      <c r="CU6" s="374"/>
      <c r="CV6" s="374"/>
      <c r="CW6" s="374"/>
      <c r="CX6" s="374"/>
      <c r="CY6" s="374"/>
      <c r="CZ6" s="374"/>
      <c r="DA6" s="374"/>
      <c r="DB6" s="374"/>
      <c r="DC6" s="374"/>
      <c r="DD6" s="374"/>
      <c r="DE6" s="374"/>
      <c r="DF6" s="374"/>
      <c r="DG6" s="374"/>
      <c r="DH6" s="374"/>
      <c r="DI6" s="374"/>
      <c r="DJ6" s="374"/>
      <c r="DK6" s="374"/>
      <c r="DL6" s="374"/>
      <c r="DM6" s="374"/>
      <c r="DN6" s="374"/>
      <c r="DO6" s="374"/>
      <c r="DP6" s="374"/>
      <c r="DQ6" s="374"/>
      <c r="DR6" s="374"/>
      <c r="DS6" s="374"/>
      <c r="DT6" s="374"/>
      <c r="DU6" s="374"/>
      <c r="DV6" s="374"/>
      <c r="DW6" s="374"/>
      <c r="DX6" s="374"/>
      <c r="DY6" s="374"/>
      <c r="DZ6" s="374"/>
      <c r="EA6" s="374"/>
      <c r="EB6" s="374"/>
      <c r="EC6" s="374"/>
      <c r="ED6" s="374"/>
      <c r="EE6" s="374"/>
      <c r="EF6" s="374"/>
      <c r="EG6" s="374"/>
      <c r="EH6" s="374"/>
      <c r="EI6" s="374"/>
      <c r="EJ6" s="374"/>
      <c r="EK6" s="374"/>
      <c r="EL6" s="374"/>
      <c r="EM6" s="374"/>
      <c r="EN6" s="374"/>
      <c r="EO6" s="374"/>
      <c r="EP6" s="374"/>
      <c r="EQ6" s="374"/>
      <c r="ER6" s="374"/>
      <c r="ES6" s="374"/>
      <c r="ET6" s="374"/>
      <c r="EU6" s="374"/>
      <c r="EV6" s="374"/>
      <c r="EW6" s="374"/>
      <c r="EX6" s="374"/>
      <c r="EY6" s="374"/>
      <c r="EZ6" s="374"/>
      <c r="FA6" s="374"/>
      <c r="FB6" s="374"/>
      <c r="FC6" s="374"/>
      <c r="FD6" s="374"/>
      <c r="FE6" s="374"/>
      <c r="FF6" s="374"/>
      <c r="FG6" s="374"/>
      <c r="FH6" s="374"/>
      <c r="FI6" s="374"/>
      <c r="FJ6" s="374"/>
      <c r="FK6" s="374"/>
      <c r="FL6" s="374"/>
      <c r="FM6" s="374"/>
      <c r="FN6" s="374"/>
      <c r="FO6" s="374"/>
      <c r="FP6" s="374"/>
      <c r="FQ6" s="374"/>
      <c r="FR6" s="374"/>
      <c r="FS6" s="374"/>
      <c r="FT6" s="374"/>
      <c r="FU6" s="374"/>
      <c r="FV6" s="374"/>
      <c r="FW6" s="374"/>
      <c r="FX6" s="374"/>
      <c r="FY6" s="374"/>
      <c r="FZ6" s="374"/>
      <c r="GA6" s="374"/>
      <c r="GB6" s="374"/>
      <c r="GC6" s="374"/>
      <c r="GD6" s="374"/>
      <c r="GE6" s="374"/>
      <c r="GF6" s="374"/>
      <c r="GG6" s="374"/>
      <c r="GH6" s="374"/>
      <c r="GI6" s="374"/>
      <c r="GJ6" s="374"/>
      <c r="GK6" s="374"/>
      <c r="GL6" s="374"/>
      <c r="GM6" s="374"/>
      <c r="GN6" s="374"/>
      <c r="GO6" s="374"/>
      <c r="GP6" s="374"/>
      <c r="GQ6" s="374"/>
      <c r="GR6" s="374"/>
      <c r="GS6" s="374"/>
      <c r="GT6" s="374"/>
      <c r="GU6" s="374"/>
      <c r="GV6" s="374"/>
      <c r="GW6" s="374"/>
      <c r="GX6" s="374"/>
      <c r="GY6" s="374"/>
      <c r="GZ6" s="374"/>
      <c r="HA6" s="374"/>
      <c r="HB6" s="374"/>
      <c r="HC6" s="374"/>
      <c r="HD6" s="374"/>
      <c r="HE6" s="374"/>
      <c r="HF6" s="374"/>
      <c r="HG6" s="374"/>
      <c r="HH6" s="374"/>
      <c r="HI6" s="374"/>
      <c r="HJ6" s="374"/>
      <c r="HK6" s="374"/>
      <c r="HL6" s="374"/>
      <c r="HM6" s="374"/>
      <c r="HN6" s="374"/>
      <c r="HO6" s="374"/>
      <c r="HP6" s="374"/>
      <c r="HQ6" s="374"/>
      <c r="HR6" s="374"/>
      <c r="HS6" s="374"/>
      <c r="HT6" s="374"/>
      <c r="HU6" s="374"/>
      <c r="HV6" s="374"/>
      <c r="HW6" s="374"/>
      <c r="HX6" s="374"/>
      <c r="HY6" s="374"/>
      <c r="HZ6" s="374"/>
      <c r="IA6" s="374"/>
      <c r="IB6" s="374"/>
      <c r="IC6" s="374"/>
      <c r="ID6" s="374"/>
      <c r="IE6" s="374"/>
      <c r="IF6" s="374"/>
      <c r="IG6" s="374"/>
      <c r="IH6" s="374"/>
      <c r="II6" s="374"/>
      <c r="IJ6" s="374"/>
      <c r="IK6" s="374"/>
      <c r="IL6" s="374"/>
      <c r="IM6" s="374"/>
      <c r="IN6" s="374"/>
      <c r="IO6" s="374"/>
      <c r="IP6" s="374"/>
      <c r="IQ6" s="374"/>
    </row>
    <row r="7" spans="1:251" ht="20.25" customHeight="1">
      <c r="A7" s="3549" t="s">
        <v>1363</v>
      </c>
      <c r="B7" s="319"/>
      <c r="C7" s="374"/>
      <c r="D7" s="374"/>
      <c r="E7" s="374"/>
      <c r="F7" s="374"/>
      <c r="G7" s="374"/>
      <c r="H7" s="374"/>
      <c r="I7" s="374"/>
      <c r="J7" s="374"/>
      <c r="K7" s="374"/>
      <c r="L7" s="374"/>
      <c r="M7" s="374"/>
      <c r="N7" s="374"/>
      <c r="O7" s="374"/>
      <c r="P7" s="374"/>
      <c r="Q7" s="374"/>
      <c r="R7" s="374"/>
      <c r="S7" s="374"/>
      <c r="T7" s="374"/>
      <c r="U7" s="374"/>
      <c r="V7" s="374"/>
      <c r="W7" s="374"/>
      <c r="X7" s="3249"/>
      <c r="Y7" s="3249"/>
      <c r="Z7" s="3249"/>
      <c r="AA7" s="3249"/>
      <c r="AB7" s="3249"/>
      <c r="AC7" s="3249"/>
      <c r="AD7" s="3249"/>
      <c r="AE7" s="107"/>
      <c r="AJ7" s="374"/>
      <c r="AK7" s="374"/>
      <c r="AL7" s="374"/>
      <c r="AM7" s="374"/>
      <c r="AN7" s="374"/>
      <c r="AO7" s="374"/>
      <c r="AP7" s="374"/>
      <c r="AQ7" s="374"/>
      <c r="AR7" s="374"/>
      <c r="AS7" s="374"/>
      <c r="AT7" s="374"/>
      <c r="AU7" s="374"/>
      <c r="AV7" s="374"/>
      <c r="AW7" s="374"/>
      <c r="AX7" s="374"/>
      <c r="AY7" s="374"/>
      <c r="AZ7" s="374"/>
      <c r="BA7" s="374"/>
      <c r="BB7" s="374"/>
      <c r="BC7" s="374"/>
      <c r="BD7" s="374"/>
      <c r="BE7" s="374"/>
      <c r="BF7" s="374"/>
      <c r="BG7" s="374"/>
      <c r="BH7" s="374"/>
      <c r="BI7" s="374"/>
      <c r="BJ7" s="374"/>
      <c r="BK7" s="374"/>
      <c r="BL7" s="374"/>
      <c r="BM7" s="374"/>
      <c r="BN7" s="374"/>
      <c r="BO7" s="374"/>
      <c r="BP7" s="374"/>
      <c r="BQ7" s="374"/>
      <c r="BR7" s="374"/>
      <c r="BS7" s="374"/>
      <c r="BT7" s="374"/>
      <c r="BU7" s="374"/>
      <c r="BV7" s="374"/>
      <c r="BW7" s="374"/>
      <c r="BX7" s="374"/>
      <c r="BY7" s="374"/>
      <c r="BZ7" s="374"/>
      <c r="CA7" s="374"/>
      <c r="CB7" s="374"/>
      <c r="CC7" s="374"/>
      <c r="CD7" s="374"/>
      <c r="CE7" s="374"/>
      <c r="CF7" s="374"/>
      <c r="CG7" s="374"/>
      <c r="CH7" s="374"/>
      <c r="CI7" s="374"/>
      <c r="CJ7" s="374"/>
      <c r="CK7" s="374"/>
      <c r="CL7" s="374"/>
      <c r="CM7" s="374"/>
      <c r="CN7" s="374"/>
      <c r="CO7" s="374"/>
      <c r="CP7" s="374"/>
      <c r="CQ7" s="374"/>
      <c r="CR7" s="374"/>
      <c r="CS7" s="374"/>
      <c r="CT7" s="374"/>
      <c r="CU7" s="374"/>
      <c r="CV7" s="374"/>
      <c r="CW7" s="374"/>
      <c r="CX7" s="374"/>
      <c r="CY7" s="374"/>
      <c r="CZ7" s="374"/>
      <c r="DA7" s="374"/>
      <c r="DB7" s="374"/>
      <c r="DC7" s="374"/>
      <c r="DD7" s="374"/>
      <c r="DE7" s="374"/>
      <c r="DF7" s="374"/>
      <c r="DG7" s="374"/>
      <c r="DH7" s="374"/>
      <c r="DI7" s="374"/>
      <c r="DJ7" s="374"/>
      <c r="DK7" s="374"/>
      <c r="DL7" s="374"/>
      <c r="DM7" s="374"/>
      <c r="DN7" s="374"/>
      <c r="DO7" s="374"/>
      <c r="DP7" s="374"/>
      <c r="DQ7" s="374"/>
      <c r="DR7" s="374"/>
      <c r="DS7" s="374"/>
      <c r="DT7" s="374"/>
      <c r="DU7" s="374"/>
      <c r="DV7" s="374"/>
      <c r="DW7" s="374"/>
      <c r="DX7" s="374"/>
      <c r="DY7" s="374"/>
      <c r="DZ7" s="374"/>
      <c r="EA7" s="374"/>
      <c r="EB7" s="374"/>
      <c r="EC7" s="374"/>
      <c r="ED7" s="374"/>
      <c r="EE7" s="374"/>
      <c r="EF7" s="374"/>
      <c r="EG7" s="374"/>
      <c r="EH7" s="374"/>
      <c r="EI7" s="374"/>
      <c r="EJ7" s="374"/>
      <c r="EK7" s="374"/>
      <c r="EL7" s="374"/>
      <c r="EM7" s="374"/>
      <c r="EN7" s="374"/>
      <c r="EO7" s="374"/>
      <c r="EP7" s="374"/>
      <c r="EQ7" s="374"/>
      <c r="ER7" s="374"/>
      <c r="ES7" s="374"/>
      <c r="ET7" s="374"/>
      <c r="EU7" s="374"/>
      <c r="EV7" s="374"/>
      <c r="EW7" s="374"/>
      <c r="EX7" s="374"/>
      <c r="EY7" s="374"/>
      <c r="EZ7" s="374"/>
      <c r="FA7" s="374"/>
      <c r="FB7" s="374"/>
      <c r="FC7" s="374"/>
      <c r="FD7" s="374"/>
      <c r="FE7" s="374"/>
      <c r="FF7" s="374"/>
      <c r="FG7" s="374"/>
      <c r="FH7" s="374"/>
      <c r="FI7" s="374"/>
      <c r="FJ7" s="374"/>
      <c r="FK7" s="374"/>
      <c r="FL7" s="374"/>
      <c r="FM7" s="374"/>
      <c r="FN7" s="374"/>
      <c r="FO7" s="374"/>
      <c r="FP7" s="374"/>
      <c r="FQ7" s="374"/>
      <c r="FR7" s="374"/>
      <c r="FS7" s="374"/>
      <c r="FT7" s="374"/>
      <c r="FU7" s="374"/>
      <c r="FV7" s="374"/>
      <c r="FW7" s="374"/>
      <c r="FX7" s="374"/>
      <c r="FY7" s="374"/>
      <c r="FZ7" s="374"/>
      <c r="GA7" s="374"/>
      <c r="GB7" s="374"/>
      <c r="GC7" s="374"/>
      <c r="GD7" s="374"/>
      <c r="GE7" s="374"/>
      <c r="GF7" s="374"/>
      <c r="GG7" s="374"/>
      <c r="GH7" s="374"/>
      <c r="GI7" s="374"/>
      <c r="GJ7" s="374"/>
      <c r="GK7" s="374"/>
      <c r="GL7" s="374"/>
      <c r="GM7" s="374"/>
      <c r="GN7" s="374"/>
      <c r="GO7" s="374"/>
      <c r="GP7" s="374"/>
      <c r="GQ7" s="374"/>
      <c r="GR7" s="374"/>
      <c r="GS7" s="374"/>
      <c r="GT7" s="374"/>
      <c r="GU7" s="374"/>
      <c r="GV7" s="374"/>
      <c r="GW7" s="374"/>
      <c r="GX7" s="374"/>
      <c r="GY7" s="374"/>
      <c r="GZ7" s="374"/>
      <c r="HA7" s="374"/>
      <c r="HB7" s="374"/>
      <c r="HC7" s="374"/>
      <c r="HD7" s="374"/>
      <c r="HE7" s="374"/>
      <c r="HF7" s="374"/>
      <c r="HG7" s="374"/>
      <c r="HH7" s="374"/>
      <c r="HI7" s="374"/>
      <c r="HJ7" s="374"/>
      <c r="HK7" s="374"/>
      <c r="HL7" s="374"/>
      <c r="HM7" s="374"/>
      <c r="HN7" s="374"/>
      <c r="HO7" s="374"/>
      <c r="HP7" s="374"/>
      <c r="HQ7" s="374"/>
      <c r="HR7" s="374"/>
      <c r="HS7" s="374"/>
      <c r="HT7" s="374"/>
      <c r="HU7" s="374"/>
      <c r="HV7" s="374"/>
      <c r="HW7" s="374"/>
      <c r="HX7" s="374"/>
      <c r="HY7" s="374"/>
      <c r="HZ7" s="374"/>
      <c r="IA7" s="374"/>
      <c r="IB7" s="374"/>
      <c r="IC7" s="374"/>
      <c r="ID7" s="374"/>
      <c r="IE7" s="374"/>
      <c r="IF7" s="374"/>
      <c r="IG7" s="374"/>
      <c r="IH7" s="374"/>
      <c r="II7" s="374"/>
      <c r="IJ7" s="374"/>
      <c r="IK7" s="374"/>
      <c r="IL7" s="374"/>
      <c r="IM7" s="374"/>
      <c r="IN7" s="374"/>
      <c r="IO7" s="374"/>
      <c r="IP7" s="374"/>
      <c r="IQ7" s="374"/>
    </row>
    <row r="8" spans="1:251" ht="16.5" customHeight="1">
      <c r="L8" s="2116"/>
      <c r="AE8" s="107"/>
    </row>
    <row r="9" spans="1:251" ht="16.5" customHeight="1">
      <c r="A9" s="375"/>
      <c r="B9" s="217"/>
      <c r="C9" s="217"/>
      <c r="D9" s="217"/>
      <c r="E9" s="217"/>
      <c r="F9" s="217"/>
      <c r="G9" s="217"/>
      <c r="H9" s="266"/>
      <c r="I9" s="266"/>
      <c r="J9" s="266"/>
      <c r="K9" s="217"/>
      <c r="L9" s="217"/>
      <c r="M9" s="217"/>
      <c r="N9" s="217"/>
      <c r="O9" s="217"/>
      <c r="P9" s="217"/>
      <c r="Q9" s="217"/>
      <c r="R9" s="217"/>
      <c r="S9" s="217"/>
      <c r="T9" s="217"/>
      <c r="U9" s="217"/>
      <c r="V9" s="217"/>
      <c r="W9" s="217"/>
      <c r="X9" s="3251"/>
      <c r="Y9" s="3251"/>
      <c r="Z9" s="3251"/>
      <c r="AA9" s="3251"/>
      <c r="AB9" s="3251"/>
      <c r="AC9" s="3251"/>
      <c r="AD9" s="3251"/>
      <c r="AE9" s="1088"/>
      <c r="AF9" s="3229"/>
      <c r="AG9" s="3229"/>
      <c r="AH9" s="1134"/>
      <c r="AI9" s="1134"/>
    </row>
    <row r="10" spans="1:251" ht="16.5" customHeight="1">
      <c r="A10" s="245"/>
      <c r="B10" s="248"/>
      <c r="C10" s="248"/>
      <c r="D10" s="248"/>
      <c r="E10" s="248"/>
      <c r="F10" s="248"/>
      <c r="G10" s="248"/>
      <c r="H10" s="248"/>
      <c r="I10" s="248"/>
      <c r="J10" s="248"/>
      <c r="K10" s="248"/>
      <c r="L10" s="248"/>
      <c r="M10" s="248"/>
      <c r="N10" s="248"/>
      <c r="O10" s="248"/>
      <c r="P10" s="248"/>
      <c r="Q10" s="248"/>
      <c r="R10" s="248"/>
      <c r="S10" s="248"/>
      <c r="T10" s="248"/>
      <c r="U10" s="248"/>
      <c r="V10" s="248"/>
      <c r="W10" s="248"/>
      <c r="X10" s="3252"/>
      <c r="Y10" s="3252"/>
      <c r="Z10" s="3253"/>
      <c r="AA10" s="3965" t="s">
        <v>1558</v>
      </c>
      <c r="AB10" s="3966"/>
      <c r="AC10" s="3966"/>
      <c r="AD10" s="3966"/>
      <c r="AE10" s="3966"/>
      <c r="AF10" s="3966"/>
      <c r="AG10" s="3966"/>
      <c r="AH10" s="3966"/>
      <c r="AI10" s="3966"/>
    </row>
    <row r="11" spans="1:251" ht="16.5" customHeight="1">
      <c r="A11" s="245"/>
      <c r="B11" s="769" t="str">
        <f>'Cashflow Governmental'!C13</f>
        <v>2020</v>
      </c>
      <c r="C11" s="249"/>
      <c r="D11" s="249"/>
      <c r="E11" s="249"/>
      <c r="F11" s="249"/>
      <c r="G11" s="249"/>
      <c r="H11" s="249"/>
      <c r="I11" s="249"/>
      <c r="J11" s="249"/>
      <c r="K11" s="249"/>
      <c r="L11" s="249"/>
      <c r="M11" s="249"/>
      <c r="N11" s="249"/>
      <c r="O11" s="249"/>
      <c r="P11" s="249"/>
      <c r="Q11" s="249"/>
      <c r="R11" s="249"/>
      <c r="S11" s="249"/>
      <c r="T11" s="769">
        <f>'Cashflow Governmental'!U13</f>
        <v>2021</v>
      </c>
      <c r="U11" s="249"/>
      <c r="V11" s="249"/>
      <c r="W11" s="249"/>
      <c r="X11" s="1653"/>
      <c r="Y11" s="1653"/>
      <c r="Z11" s="3253"/>
      <c r="AA11" s="3253"/>
      <c r="AB11" s="3253"/>
      <c r="AC11" s="3253"/>
      <c r="AD11" s="3253"/>
      <c r="AE11" s="3231"/>
      <c r="AF11" s="3232"/>
      <c r="AG11" s="3235" t="s">
        <v>8</v>
      </c>
      <c r="AH11" s="1136"/>
      <c r="AI11" s="1137" t="s">
        <v>9</v>
      </c>
    </row>
    <row r="12" spans="1:251" ht="16.5" customHeight="1">
      <c r="A12" s="245"/>
      <c r="B12" s="771" t="s">
        <v>124</v>
      </c>
      <c r="C12" s="249"/>
      <c r="D12" s="771" t="s">
        <v>125</v>
      </c>
      <c r="E12" s="249"/>
      <c r="F12" s="771" t="s">
        <v>126</v>
      </c>
      <c r="G12" s="249"/>
      <c r="H12" s="771" t="s">
        <v>127</v>
      </c>
      <c r="I12" s="249"/>
      <c r="J12" s="771" t="s">
        <v>128</v>
      </c>
      <c r="K12" s="249"/>
      <c r="L12" s="769" t="s">
        <v>143</v>
      </c>
      <c r="M12" s="249"/>
      <c r="N12" s="769" t="s">
        <v>144</v>
      </c>
      <c r="O12" s="249"/>
      <c r="P12" s="771" t="s">
        <v>131</v>
      </c>
      <c r="Q12" s="249"/>
      <c r="R12" s="771" t="s">
        <v>132</v>
      </c>
      <c r="S12" s="249"/>
      <c r="T12" s="771" t="s">
        <v>133</v>
      </c>
      <c r="U12" s="249"/>
      <c r="V12" s="771" t="s">
        <v>134</v>
      </c>
      <c r="W12" s="249"/>
      <c r="X12" s="3254" t="s">
        <v>185</v>
      </c>
      <c r="Y12" s="1653"/>
      <c r="Z12" s="1653"/>
      <c r="AA12" s="3255">
        <f>'Cashflow Governmental'!AB14</f>
        <v>2021</v>
      </c>
      <c r="AB12" s="1653" t="s">
        <v>15</v>
      </c>
      <c r="AC12" s="1653"/>
      <c r="AD12" s="3255">
        <f>'Cashflow Governmental'!AE14</f>
        <v>2020</v>
      </c>
      <c r="AE12" s="3270"/>
      <c r="AF12" s="3271"/>
      <c r="AG12" s="3238" t="s">
        <v>12</v>
      </c>
      <c r="AH12" s="1139"/>
      <c r="AI12" s="1138" t="s">
        <v>13</v>
      </c>
    </row>
    <row r="13" spans="1:251" ht="4.5" customHeight="1">
      <c r="A13" s="245"/>
      <c r="B13" s="376"/>
      <c r="C13" s="245"/>
      <c r="D13" s="376"/>
      <c r="E13" s="245"/>
      <c r="F13" s="376"/>
      <c r="G13" s="245"/>
      <c r="H13" s="376"/>
      <c r="I13" s="245"/>
      <c r="J13" s="376"/>
      <c r="K13" s="245"/>
      <c r="L13" s="376"/>
      <c r="M13" s="245"/>
      <c r="N13" s="376"/>
      <c r="O13" s="245"/>
      <c r="P13" s="376"/>
      <c r="Q13" s="245"/>
      <c r="R13" s="376"/>
      <c r="S13" s="245"/>
      <c r="T13" s="376"/>
      <c r="U13" s="245"/>
      <c r="V13" s="376"/>
      <c r="W13" s="245"/>
      <c r="X13" s="3256"/>
      <c r="Y13" s="3257"/>
      <c r="Z13" s="3257"/>
      <c r="AA13" s="3256"/>
      <c r="AB13" s="3257"/>
      <c r="AC13" s="3257"/>
      <c r="AD13" s="3256"/>
      <c r="AE13" s="3233"/>
      <c r="AF13" s="1660"/>
    </row>
    <row r="14" spans="1:251" ht="16.5" customHeight="1">
      <c r="A14" s="320" t="s">
        <v>136</v>
      </c>
      <c r="B14" s="2141">
        <v>-297.5</v>
      </c>
      <c r="C14" s="377"/>
      <c r="D14" s="377">
        <f>B46</f>
        <v>-281</v>
      </c>
      <c r="E14" s="377"/>
      <c r="F14" s="377">
        <f>D46</f>
        <v>-299.2</v>
      </c>
      <c r="G14" s="377"/>
      <c r="H14" s="377">
        <f>F46</f>
        <v>-315.2</v>
      </c>
      <c r="I14" s="377"/>
      <c r="J14" s="377">
        <f>H46</f>
        <v>-342.3</v>
      </c>
      <c r="K14" s="377"/>
      <c r="L14" s="377">
        <f>J46</f>
        <v>-355.2</v>
      </c>
      <c r="M14" s="377"/>
      <c r="N14" s="377">
        <f>L46</f>
        <v>-372.7</v>
      </c>
      <c r="O14" s="377"/>
      <c r="P14" s="377">
        <f>N46</f>
        <v>-389.1</v>
      </c>
      <c r="Q14" s="377"/>
      <c r="R14" s="377">
        <f>P46</f>
        <v>-416.4</v>
      </c>
      <c r="S14" s="377"/>
      <c r="T14" s="377">
        <f>R46</f>
        <v>-427.5</v>
      </c>
      <c r="U14" s="377"/>
      <c r="V14" s="377"/>
      <c r="W14" s="377"/>
      <c r="X14" s="1655"/>
      <c r="Y14" s="1655"/>
      <c r="Z14" s="3258"/>
      <c r="AA14" s="1655">
        <f>B14</f>
        <v>-297.5</v>
      </c>
      <c r="AB14" s="3259"/>
      <c r="AC14" s="2207"/>
      <c r="AD14" s="2141">
        <v>-302.7</v>
      </c>
      <c r="AE14" s="3236"/>
      <c r="AF14" s="3272"/>
      <c r="AG14" s="1661">
        <f>ROUND(SUM(AA14-AD14),1)</f>
        <v>5.2</v>
      </c>
      <c r="AI14" s="1369">
        <f>-ROUND(IF(AG14=0,0,AG14/(AD14)),3)</f>
        <v>1.7000000000000001E-2</v>
      </c>
    </row>
    <row r="15" spans="1:251" ht="16.5" customHeight="1">
      <c r="A15" s="149"/>
      <c r="B15" s="379"/>
      <c r="C15" s="379"/>
      <c r="D15" s="379"/>
      <c r="E15" s="379"/>
      <c r="F15" s="379"/>
      <c r="G15" s="379"/>
      <c r="H15" s="379"/>
      <c r="I15" s="379"/>
      <c r="J15" s="379"/>
      <c r="K15" s="379"/>
      <c r="L15" s="379"/>
      <c r="M15" s="379"/>
      <c r="N15" s="379"/>
      <c r="O15" s="379"/>
      <c r="P15" s="379"/>
      <c r="Q15" s="379"/>
      <c r="R15" s="379"/>
      <c r="S15" s="379"/>
      <c r="T15" s="379"/>
      <c r="U15" s="379"/>
      <c r="V15" s="379"/>
      <c r="W15" s="379"/>
      <c r="X15" s="3236"/>
      <c r="Y15" s="3236"/>
      <c r="Z15" s="3260"/>
      <c r="AA15" s="3236"/>
      <c r="AB15" s="3261"/>
      <c r="AC15" s="3262"/>
      <c r="AD15" s="3236"/>
      <c r="AE15" s="3236"/>
      <c r="AF15" s="3272"/>
      <c r="AG15" s="3241"/>
      <c r="AI15" s="1133"/>
    </row>
    <row r="16" spans="1:251" ht="16.5" customHeight="1">
      <c r="A16" s="249" t="s">
        <v>14</v>
      </c>
      <c r="B16" s="379"/>
      <c r="C16" s="379"/>
      <c r="D16" s="379"/>
      <c r="E16" s="379"/>
      <c r="F16" s="379"/>
      <c r="G16" s="379"/>
      <c r="H16" s="379"/>
      <c r="I16" s="379"/>
      <c r="J16" s="379"/>
      <c r="K16" s="379"/>
      <c r="L16" s="379"/>
      <c r="M16" s="379"/>
      <c r="N16" s="237"/>
      <c r="O16" s="379"/>
      <c r="P16" s="379"/>
      <c r="Q16" s="379"/>
      <c r="R16" s="379"/>
      <c r="S16" s="379"/>
      <c r="T16" s="379"/>
      <c r="U16" s="379"/>
      <c r="V16" s="379"/>
      <c r="W16" s="379"/>
      <c r="X16" s="3236"/>
      <c r="Y16" s="3236"/>
      <c r="Z16" s="3260"/>
      <c r="AA16" s="3236"/>
      <c r="AB16" s="3261"/>
      <c r="AC16" s="3262"/>
      <c r="AD16" s="3236"/>
      <c r="AE16" s="1688"/>
      <c r="AF16" s="1672"/>
      <c r="AG16" s="1689"/>
      <c r="AI16" s="1146"/>
    </row>
    <row r="17" spans="1:36" s="1088" customFormat="1" ht="16.5" customHeight="1">
      <c r="A17" s="193" t="s">
        <v>178</v>
      </c>
      <c r="B17" s="237">
        <v>25.2</v>
      </c>
      <c r="C17" s="237"/>
      <c r="D17" s="237">
        <v>22.3</v>
      </c>
      <c r="E17" s="237"/>
      <c r="F17" s="237">
        <v>34.900000000000006</v>
      </c>
      <c r="G17" s="237"/>
      <c r="H17" s="237">
        <v>19.799999999999997</v>
      </c>
      <c r="I17" s="1579"/>
      <c r="J17" s="237">
        <v>32.399999999999991</v>
      </c>
      <c r="K17" s="1579"/>
      <c r="L17" s="237">
        <v>34.100000000000009</v>
      </c>
      <c r="M17" s="1579"/>
      <c r="N17" s="237">
        <v>52.999999999999986</v>
      </c>
      <c r="O17" s="1579"/>
      <c r="P17" s="1576">
        <v>29.000000000000014</v>
      </c>
      <c r="Q17" s="1579"/>
      <c r="R17" s="1576">
        <v>46</v>
      </c>
      <c r="S17" s="1579"/>
      <c r="T17" s="1576">
        <f>$AA17-$B17-$D17-$F17-$H17-$J17-$L17-$N17-$P17-$R17</f>
        <v>33</v>
      </c>
      <c r="U17" s="1579"/>
      <c r="V17" s="1576"/>
      <c r="W17" s="1579"/>
      <c r="X17" s="1576"/>
      <c r="Y17" s="1579"/>
      <c r="Z17" s="1699"/>
      <c r="AA17" s="3263">
        <v>329.7</v>
      </c>
      <c r="AB17" s="3264"/>
      <c r="AC17" s="1673"/>
      <c r="AD17" s="3263">
        <v>468.8</v>
      </c>
      <c r="AE17" s="1700"/>
      <c r="AF17" s="1672"/>
      <c r="AG17" s="1701">
        <f>ROUND(SUM(AA17-AD17),1)</f>
        <v>-139.1</v>
      </c>
      <c r="AH17" s="1662"/>
      <c r="AI17" s="1702">
        <f>ROUND(IF(AG17=0,0,AG17/ABS(AD17)),3)</f>
        <v>-0.29699999999999999</v>
      </c>
    </row>
    <row r="18" spans="1:36" ht="16.5" customHeight="1">
      <c r="A18" s="149"/>
      <c r="B18" s="381"/>
      <c r="C18" s="237"/>
      <c r="D18" s="381"/>
      <c r="E18" s="237"/>
      <c r="F18" s="381"/>
      <c r="G18" s="237"/>
      <c r="H18" s="381"/>
      <c r="I18" s="237"/>
      <c r="J18" s="381"/>
      <c r="K18" s="237"/>
      <c r="L18" s="381"/>
      <c r="M18" s="237"/>
      <c r="N18" s="381"/>
      <c r="O18" s="237"/>
      <c r="P18" s="381"/>
      <c r="Q18" s="237"/>
      <c r="R18" s="381"/>
      <c r="S18" s="237"/>
      <c r="T18" s="381"/>
      <c r="U18" s="237"/>
      <c r="V18" s="381"/>
      <c r="W18" s="237"/>
      <c r="X18" s="2200"/>
      <c r="Y18" s="1579"/>
      <c r="Z18" s="1699"/>
      <c r="AA18" s="1024"/>
      <c r="AB18" s="3264"/>
      <c r="AC18" s="1673"/>
      <c r="AD18" s="1024"/>
      <c r="AE18" s="1673"/>
      <c r="AF18" s="1672"/>
      <c r="AG18" s="1689"/>
      <c r="AI18" s="1133"/>
    </row>
    <row r="19" spans="1:36" ht="16.5" customHeight="1">
      <c r="A19" s="249" t="s">
        <v>150</v>
      </c>
      <c r="B19" s="382">
        <f>ROUND(SUM(B17),1)</f>
        <v>25.2</v>
      </c>
      <c r="C19" s="382"/>
      <c r="D19" s="382">
        <f>ROUND(SUM(D17),1)</f>
        <v>22.3</v>
      </c>
      <c r="E19" s="382"/>
      <c r="F19" s="382">
        <f>ROUND(SUM(F17),1)</f>
        <v>34.9</v>
      </c>
      <c r="G19" s="382"/>
      <c r="H19" s="382">
        <f>ROUND(SUM(H17),1)</f>
        <v>19.8</v>
      </c>
      <c r="I19" s="382"/>
      <c r="J19" s="382">
        <f>ROUND(SUM(J17),1)</f>
        <v>32.4</v>
      </c>
      <c r="K19" s="382"/>
      <c r="L19" s="382">
        <f>ROUND(SUM(L17),1)</f>
        <v>34.1</v>
      </c>
      <c r="M19" s="382"/>
      <c r="N19" s="382">
        <f>ROUND(SUM(N17),1)</f>
        <v>53</v>
      </c>
      <c r="O19" s="382"/>
      <c r="P19" s="382">
        <f>ROUND(SUM(P17),1)</f>
        <v>29</v>
      </c>
      <c r="Q19" s="382"/>
      <c r="R19" s="382">
        <f>ROUND(SUM(R17),1)</f>
        <v>46</v>
      </c>
      <c r="S19" s="382"/>
      <c r="T19" s="382">
        <f>ROUND(SUM(T17),1)</f>
        <v>33</v>
      </c>
      <c r="U19" s="382"/>
      <c r="V19" s="382">
        <f>ROUND(SUM(V17),1)</f>
        <v>0</v>
      </c>
      <c r="W19" s="382"/>
      <c r="X19" s="2202">
        <f>ROUND(SUM(X17),1)</f>
        <v>0</v>
      </c>
      <c r="Y19" s="2202"/>
      <c r="Z19" s="2203"/>
      <c r="AA19" s="2202">
        <f>ROUND(SUM(AA17),1)</f>
        <v>329.7</v>
      </c>
      <c r="AB19" s="3265"/>
      <c r="AC19" s="3266"/>
      <c r="AD19" s="2202">
        <f>ROUND(SUM(AD17),1)</f>
        <v>468.8</v>
      </c>
      <c r="AE19" s="1579"/>
      <c r="AF19" s="1672"/>
      <c r="AG19" s="3245">
        <f>ROUND(SUM(AG17),1)</f>
        <v>-139.1</v>
      </c>
      <c r="AH19" s="1144"/>
      <c r="AI19" s="1145">
        <f>ROUND(IF(AG19=0,0,AG19/ABS(AD19)),3)</f>
        <v>-0.29699999999999999</v>
      </c>
    </row>
    <row r="20" spans="1:36" ht="16.5" customHeight="1">
      <c r="A20" s="149"/>
      <c r="B20" s="381"/>
      <c r="C20" s="237"/>
      <c r="D20" s="381"/>
      <c r="E20" s="237"/>
      <c r="F20" s="381"/>
      <c r="G20" s="237"/>
      <c r="H20" s="381"/>
      <c r="I20" s="237"/>
      <c r="J20" s="381"/>
      <c r="K20" s="237"/>
      <c r="L20" s="381"/>
      <c r="M20" s="237"/>
      <c r="N20" s="381"/>
      <c r="O20" s="237"/>
      <c r="P20" s="381"/>
      <c r="Q20" s="237"/>
      <c r="R20" s="381"/>
      <c r="S20" s="237"/>
      <c r="T20" s="381"/>
      <c r="U20" s="237"/>
      <c r="V20" s="381"/>
      <c r="W20" s="237"/>
      <c r="X20" s="2200"/>
      <c r="Y20" s="1579"/>
      <c r="Z20" s="1699"/>
      <c r="AA20" s="2200"/>
      <c r="AB20" s="3264"/>
      <c r="AC20" s="1673"/>
      <c r="AD20" s="2200"/>
      <c r="AE20" s="1579"/>
      <c r="AF20" s="1672"/>
      <c r="AG20" s="1689"/>
      <c r="AI20" s="1133"/>
    </row>
    <row r="21" spans="1:36" ht="16.5" customHeight="1">
      <c r="A21" s="149"/>
      <c r="B21" s="237"/>
      <c r="C21" s="237"/>
      <c r="D21" s="237"/>
      <c r="E21" s="237"/>
      <c r="F21" s="237"/>
      <c r="G21" s="237"/>
      <c r="H21" s="237"/>
      <c r="I21" s="237"/>
      <c r="J21" s="237"/>
      <c r="K21" s="237"/>
      <c r="L21" s="237"/>
      <c r="M21" s="237"/>
      <c r="N21" s="237"/>
      <c r="O21" s="237"/>
      <c r="P21" s="237"/>
      <c r="Q21" s="237"/>
      <c r="R21" s="237"/>
      <c r="S21" s="237"/>
      <c r="T21" s="237"/>
      <c r="U21" s="237"/>
      <c r="V21" s="237"/>
      <c r="W21" s="237"/>
      <c r="X21" s="1579"/>
      <c r="Y21" s="1579"/>
      <c r="Z21" s="1699"/>
      <c r="AA21" s="1579"/>
      <c r="AB21" s="3264"/>
      <c r="AC21" s="1673"/>
      <c r="AD21" s="1579"/>
      <c r="AE21" s="1576"/>
      <c r="AF21" s="1678"/>
      <c r="AG21" s="1689"/>
      <c r="AI21" s="1146"/>
    </row>
    <row r="22" spans="1:36" ht="16.5" customHeight="1">
      <c r="A22" s="249" t="s">
        <v>23</v>
      </c>
      <c r="B22" s="237"/>
      <c r="C22" s="237"/>
      <c r="D22" s="237"/>
      <c r="E22" s="237"/>
      <c r="F22" s="237"/>
      <c r="G22" s="237"/>
      <c r="H22" s="237"/>
      <c r="I22" s="237"/>
      <c r="J22" s="237"/>
      <c r="K22" s="237"/>
      <c r="L22" s="237"/>
      <c r="M22" s="237"/>
      <c r="N22" s="237"/>
      <c r="O22" s="237"/>
      <c r="P22" s="237"/>
      <c r="Q22" s="237"/>
      <c r="R22" s="237"/>
      <c r="S22" s="237"/>
      <c r="T22" s="237"/>
      <c r="U22" s="237"/>
      <c r="V22" s="237"/>
      <c r="W22" s="237"/>
      <c r="X22" s="1579"/>
      <c r="Y22" s="1579"/>
      <c r="Z22" s="1699"/>
      <c r="AA22" s="1579"/>
      <c r="AB22" s="3264"/>
      <c r="AC22" s="1673"/>
      <c r="AD22" s="1579"/>
      <c r="AE22" s="1675"/>
      <c r="AF22" s="1678"/>
      <c r="AG22" s="1689"/>
      <c r="AH22" s="1147"/>
      <c r="AI22" s="1146"/>
    </row>
    <row r="23" spans="1:36" ht="16.5" customHeight="1">
      <c r="A23" s="149" t="s">
        <v>152</v>
      </c>
      <c r="B23" s="237"/>
      <c r="C23" s="237"/>
      <c r="D23" s="237"/>
      <c r="E23" s="237"/>
      <c r="F23" s="237"/>
      <c r="G23" s="237"/>
      <c r="H23" s="237"/>
      <c r="I23" s="237"/>
      <c r="J23" s="237"/>
      <c r="K23" s="237"/>
      <c r="L23" s="237"/>
      <c r="M23" s="237"/>
      <c r="N23" s="237"/>
      <c r="O23" s="237"/>
      <c r="P23" s="237"/>
      <c r="Q23" s="237"/>
      <c r="R23" s="237"/>
      <c r="S23" s="237"/>
      <c r="T23" s="237"/>
      <c r="U23" s="237"/>
      <c r="V23" s="237"/>
      <c r="W23" s="237"/>
      <c r="X23" s="1579"/>
      <c r="Y23" s="1579"/>
      <c r="Z23" s="1699"/>
      <c r="AA23" s="1675"/>
      <c r="AB23" s="3264"/>
      <c r="AC23" s="1673"/>
      <c r="AD23" s="1675"/>
      <c r="AE23" s="2198"/>
      <c r="AF23" s="1678"/>
      <c r="AG23" s="1689"/>
      <c r="AI23" s="1146"/>
    </row>
    <row r="24" spans="1:36" ht="16.5" customHeight="1">
      <c r="A24" s="149" t="s">
        <v>218</v>
      </c>
      <c r="B24" s="237">
        <v>14.5</v>
      </c>
      <c r="C24" s="237"/>
      <c r="D24" s="237">
        <v>11.100000000000001</v>
      </c>
      <c r="E24" s="237"/>
      <c r="F24" s="237">
        <v>11</v>
      </c>
      <c r="G24" s="237"/>
      <c r="H24" s="237">
        <v>12.299999999999997</v>
      </c>
      <c r="I24" s="1579"/>
      <c r="J24" s="237">
        <v>9.8999999999999986</v>
      </c>
      <c r="K24" s="1579"/>
      <c r="L24" s="237">
        <v>14.600000000000009</v>
      </c>
      <c r="M24" s="1579"/>
      <c r="N24" s="1576">
        <v>10.199999999999989</v>
      </c>
      <c r="O24" s="1579"/>
      <c r="P24" s="1576">
        <v>9.9000000000000128</v>
      </c>
      <c r="Q24" s="1579"/>
      <c r="R24" s="1576">
        <v>10.699999999999989</v>
      </c>
      <c r="S24" s="1579"/>
      <c r="T24" s="1576">
        <f t="shared" ref="T24:T26" si="0">$AA24-$B24-$D24-$F24-$H24-$J24-$L24-$N24-$P24-$R24</f>
        <v>9.4000000000000057</v>
      </c>
      <c r="U24" s="1579"/>
      <c r="V24" s="1576"/>
      <c r="W24" s="1579"/>
      <c r="X24" s="1576"/>
      <c r="Y24" s="1579"/>
      <c r="Z24" s="1699"/>
      <c r="AA24" s="1576">
        <v>113.6</v>
      </c>
      <c r="AB24" s="3264"/>
      <c r="AC24" s="1673"/>
      <c r="AD24" s="1576">
        <v>106.3</v>
      </c>
      <c r="AE24" s="2199"/>
      <c r="AF24" s="1678"/>
      <c r="AG24" s="1689">
        <f>ROUND(SUM(AA24-AD24),1)</f>
        <v>7.3</v>
      </c>
      <c r="AI24" s="1148">
        <f>ROUND(IF(AG24=0,0,AG24/ABS(AD24)),3)</f>
        <v>6.9000000000000006E-2</v>
      </c>
    </row>
    <row r="25" spans="1:36" ht="16.5" customHeight="1">
      <c r="A25" s="149" t="s">
        <v>179</v>
      </c>
      <c r="B25" s="237">
        <v>-9.3000000000000007</v>
      </c>
      <c r="C25" s="237"/>
      <c r="D25" s="237">
        <v>26.6</v>
      </c>
      <c r="E25" s="237"/>
      <c r="F25" s="237">
        <v>83.300000000000011</v>
      </c>
      <c r="G25" s="237"/>
      <c r="H25" s="237">
        <v>31.700000000000017</v>
      </c>
      <c r="I25" s="1579"/>
      <c r="J25" s="237">
        <v>41.599999999999994</v>
      </c>
      <c r="K25" s="1579"/>
      <c r="L25" s="237">
        <v>35.199999999999989</v>
      </c>
      <c r="M25" s="1579"/>
      <c r="N25" s="1576">
        <v>61.299999999999983</v>
      </c>
      <c r="O25" s="1579"/>
      <c r="P25" s="1576">
        <v>44.799999999999983</v>
      </c>
      <c r="Q25" s="1579"/>
      <c r="R25" s="1576">
        <v>45.000000000000057</v>
      </c>
      <c r="S25" s="1579"/>
      <c r="T25" s="1576">
        <f t="shared" si="0"/>
        <v>6.4999999999999432</v>
      </c>
      <c r="U25" s="1579"/>
      <c r="V25" s="1576"/>
      <c r="W25" s="1579"/>
      <c r="X25" s="1576"/>
      <c r="Y25" s="1579"/>
      <c r="Z25" s="1699"/>
      <c r="AA25" s="1576">
        <v>366.7</v>
      </c>
      <c r="AB25" s="3264"/>
      <c r="AC25" s="1673"/>
      <c r="AD25" s="1576">
        <v>339.5</v>
      </c>
      <c r="AE25" s="1673"/>
      <c r="AF25" s="1672"/>
      <c r="AG25" s="1689">
        <f>ROUND(SUM(AA25-AD25),1)</f>
        <v>27.2</v>
      </c>
      <c r="AI25" s="1148">
        <f>ROUND(IF(AG25=0,0,AG25/ABS(AD25)),3)</f>
        <v>0.08</v>
      </c>
      <c r="AJ25" s="3561"/>
    </row>
    <row r="26" spans="1:36" ht="16.5" customHeight="1">
      <c r="A26" s="149" t="s">
        <v>155</v>
      </c>
      <c r="B26" s="237">
        <v>4.8</v>
      </c>
      <c r="C26" s="237"/>
      <c r="D26" s="237">
        <v>5.3</v>
      </c>
      <c r="E26" s="237"/>
      <c r="F26" s="237">
        <v>8.5999999999999979</v>
      </c>
      <c r="G26" s="237"/>
      <c r="H26" s="237">
        <v>4.6000000000000014</v>
      </c>
      <c r="I26" s="1579"/>
      <c r="J26" s="237">
        <v>5.6999999999999993</v>
      </c>
      <c r="K26" s="1579"/>
      <c r="L26" s="237">
        <v>4.7999999999999972</v>
      </c>
      <c r="M26" s="1579"/>
      <c r="N26" s="1576">
        <v>4.8000000000000078</v>
      </c>
      <c r="O26" s="1579"/>
      <c r="P26" s="1576">
        <v>4.600000000000005</v>
      </c>
      <c r="Q26" s="1579"/>
      <c r="R26" s="1576">
        <v>4.2999999999999972</v>
      </c>
      <c r="S26" s="1579"/>
      <c r="T26" s="1576">
        <f t="shared" si="0"/>
        <v>4.5000000000000036</v>
      </c>
      <c r="U26" s="1579"/>
      <c r="V26" s="1576"/>
      <c r="W26" s="1579"/>
      <c r="X26" s="1576"/>
      <c r="Y26" s="1579"/>
      <c r="Z26" s="1699"/>
      <c r="AA26" s="1576">
        <v>52</v>
      </c>
      <c r="AB26" s="3264"/>
      <c r="AC26" s="1673"/>
      <c r="AD26" s="1576">
        <v>48.1</v>
      </c>
      <c r="AE26" s="1579"/>
      <c r="AF26" s="1672"/>
      <c r="AG26" s="1701">
        <f>ROUND(SUM(AA26-AD26),1)</f>
        <v>3.9</v>
      </c>
      <c r="AI26" s="3564">
        <f>ROUND(IF(AD26=0,1,AG26/ABS(AD26)),3)</f>
        <v>8.1000000000000003E-2</v>
      </c>
      <c r="AJ26" s="3561"/>
    </row>
    <row r="27" spans="1:36" ht="16.5" customHeight="1">
      <c r="A27" s="149"/>
      <c r="B27" s="381"/>
      <c r="C27" s="237"/>
      <c r="D27" s="381"/>
      <c r="E27" s="237"/>
      <c r="F27" s="381"/>
      <c r="G27" s="237"/>
      <c r="H27" s="381"/>
      <c r="I27" s="237"/>
      <c r="J27" s="381"/>
      <c r="K27" s="237"/>
      <c r="L27" s="381"/>
      <c r="M27" s="237"/>
      <c r="N27" s="381"/>
      <c r="O27" s="237"/>
      <c r="P27" s="381"/>
      <c r="Q27" s="237"/>
      <c r="R27" s="381"/>
      <c r="S27" s="237"/>
      <c r="T27" s="381"/>
      <c r="U27" s="237"/>
      <c r="V27" s="381"/>
      <c r="W27" s="237"/>
      <c r="X27" s="2200"/>
      <c r="Y27" s="1579"/>
      <c r="Z27" s="1699"/>
      <c r="AA27" s="2200"/>
      <c r="AB27" s="3264"/>
      <c r="AC27" s="1673"/>
      <c r="AD27" s="2200"/>
      <c r="AE27" s="2201"/>
      <c r="AF27" s="1678"/>
      <c r="AG27" s="1689"/>
      <c r="AH27" s="1149"/>
      <c r="AI27" s="1146"/>
    </row>
    <row r="28" spans="1:36" ht="16.5" customHeight="1">
      <c r="A28" s="249" t="s">
        <v>156</v>
      </c>
      <c r="B28" s="382">
        <f>ROUND(SUM(B24:B27),1)</f>
        <v>10</v>
      </c>
      <c r="C28" s="382"/>
      <c r="D28" s="382">
        <f>ROUND(SUM(D24:D27),1)</f>
        <v>43</v>
      </c>
      <c r="E28" s="382"/>
      <c r="F28" s="382">
        <f>ROUND(SUM(F24:F27),1)</f>
        <v>102.9</v>
      </c>
      <c r="G28" s="382"/>
      <c r="H28" s="382">
        <f>ROUND(SUM(H24:H27),1)</f>
        <v>48.6</v>
      </c>
      <c r="I28" s="382"/>
      <c r="J28" s="382">
        <f>ROUND(SUM(J24:J27),1)</f>
        <v>57.2</v>
      </c>
      <c r="K28" s="382"/>
      <c r="L28" s="382">
        <f>ROUND(SUM(L24:L27),1)</f>
        <v>54.6</v>
      </c>
      <c r="M28" s="382"/>
      <c r="N28" s="382">
        <f>ROUND(SUM(N24:N27),1)</f>
        <v>76.3</v>
      </c>
      <c r="O28" s="382"/>
      <c r="P28" s="382">
        <f>ROUND(SUM(P24:P27),1)</f>
        <v>59.3</v>
      </c>
      <c r="Q28" s="382"/>
      <c r="R28" s="382">
        <f>ROUND(SUM(R24:R27),1)</f>
        <v>60</v>
      </c>
      <c r="S28" s="382"/>
      <c r="T28" s="382">
        <f>ROUND(SUM(T24:T27),1)</f>
        <v>20.399999999999999</v>
      </c>
      <c r="U28" s="382"/>
      <c r="V28" s="382">
        <f>ROUND(SUM(V24:V27),1)</f>
        <v>0</v>
      </c>
      <c r="W28" s="382">
        <f>SUM(W24:W27)</f>
        <v>0</v>
      </c>
      <c r="X28" s="2202">
        <f>ROUND(SUM(X24:X26),1)</f>
        <v>0</v>
      </c>
      <c r="Y28" s="2202"/>
      <c r="Z28" s="2203"/>
      <c r="AA28" s="2202">
        <f>ROUND(SUM(AA23:AA26),1)</f>
        <v>532.29999999999995</v>
      </c>
      <c r="AB28" s="3265"/>
      <c r="AC28" s="3266"/>
      <c r="AD28" s="2202">
        <f>ROUND(SUM(AD23:AD26),1)</f>
        <v>493.9</v>
      </c>
      <c r="AE28" s="1673"/>
      <c r="AF28" s="1683"/>
      <c r="AG28" s="3245">
        <f>ROUND(SUM(AG24:AG26),1)</f>
        <v>38.4</v>
      </c>
      <c r="AH28" s="1144"/>
      <c r="AI28" s="1145">
        <f>ROUND(IF(AG28=0,0,AG28/ABS(AD28)),3)</f>
        <v>7.8E-2</v>
      </c>
    </row>
    <row r="29" spans="1:36" ht="16.5" customHeight="1">
      <c r="A29" s="149"/>
      <c r="B29" s="381"/>
      <c r="C29" s="237"/>
      <c r="D29" s="381"/>
      <c r="E29" s="237"/>
      <c r="F29" s="381"/>
      <c r="G29" s="237"/>
      <c r="H29" s="381"/>
      <c r="I29" s="237"/>
      <c r="J29" s="381"/>
      <c r="K29" s="237"/>
      <c r="L29" s="381"/>
      <c r="M29" s="237"/>
      <c r="N29" s="381"/>
      <c r="O29" s="237"/>
      <c r="P29" s="381"/>
      <c r="Q29" s="237"/>
      <c r="R29" s="381"/>
      <c r="S29" s="237"/>
      <c r="T29" s="381"/>
      <c r="U29" s="237"/>
      <c r="V29" s="381"/>
      <c r="W29" s="237"/>
      <c r="X29" s="2200"/>
      <c r="Y29" s="1579"/>
      <c r="Z29" s="1699"/>
      <c r="AA29" s="2200"/>
      <c r="AB29" s="3264"/>
      <c r="AC29" s="1673"/>
      <c r="AD29" s="2200"/>
      <c r="AE29" s="1579"/>
      <c r="AF29" s="1683"/>
      <c r="AG29" s="1689"/>
      <c r="AI29" s="1133"/>
    </row>
    <row r="30" spans="1:36" ht="16.5" customHeight="1">
      <c r="A30" s="149"/>
      <c r="B30" s="237"/>
      <c r="C30" s="237"/>
      <c r="D30" s="237"/>
      <c r="E30" s="237"/>
      <c r="F30" s="237"/>
      <c r="G30" s="237"/>
      <c r="H30" s="237"/>
      <c r="I30" s="237"/>
      <c r="J30" s="237"/>
      <c r="K30" s="237"/>
      <c r="L30" s="237"/>
      <c r="M30" s="237"/>
      <c r="N30" s="237"/>
      <c r="O30" s="237"/>
      <c r="P30" s="237"/>
      <c r="Q30" s="237"/>
      <c r="R30" s="237"/>
      <c r="S30" s="237"/>
      <c r="T30" s="237"/>
      <c r="U30" s="237"/>
      <c r="V30" s="237"/>
      <c r="W30" s="237"/>
      <c r="X30" s="1579"/>
      <c r="Y30" s="1579"/>
      <c r="Z30" s="1699"/>
      <c r="AA30" s="1579"/>
      <c r="AB30" s="3264"/>
      <c r="AC30" s="1673"/>
      <c r="AD30" s="1579"/>
      <c r="AE30" s="1675"/>
      <c r="AF30" s="1683"/>
      <c r="AG30" s="1689"/>
      <c r="AH30" s="1147"/>
      <c r="AI30" s="1146"/>
    </row>
    <row r="31" spans="1:36" ht="16.5" customHeight="1">
      <c r="A31" s="249" t="s">
        <v>157</v>
      </c>
      <c r="B31" s="237"/>
      <c r="C31" s="237"/>
      <c r="D31" s="237"/>
      <c r="E31" s="237"/>
      <c r="F31" s="237"/>
      <c r="G31" s="237"/>
      <c r="H31" s="237"/>
      <c r="I31" s="237"/>
      <c r="J31" s="237"/>
      <c r="K31" s="237"/>
      <c r="L31" s="237"/>
      <c r="M31" s="237"/>
      <c r="N31" s="237"/>
      <c r="O31" s="237"/>
      <c r="P31" s="237"/>
      <c r="Q31" s="237"/>
      <c r="R31" s="237"/>
      <c r="S31" s="237"/>
      <c r="T31" s="237"/>
      <c r="U31" s="237"/>
      <c r="V31" s="237"/>
      <c r="W31" s="237"/>
      <c r="X31" s="1579"/>
      <c r="Y31" s="1579"/>
      <c r="Z31" s="1699"/>
      <c r="AA31" s="1579"/>
      <c r="AB31" s="3264"/>
      <c r="AC31" s="1673"/>
      <c r="AD31" s="1579"/>
      <c r="AE31" s="2204"/>
      <c r="AF31" s="1682"/>
      <c r="AG31" s="1689"/>
      <c r="AH31" s="1147"/>
      <c r="AI31" s="1146"/>
    </row>
    <row r="32" spans="1:36" ht="16.5" customHeight="1">
      <c r="A32" s="249" t="s">
        <v>45</v>
      </c>
      <c r="B32" s="382">
        <f>ROUND(B19-B28,1)</f>
        <v>15.2</v>
      </c>
      <c r="C32" s="382"/>
      <c r="D32" s="382">
        <f>ROUND(D19-D28,1)</f>
        <v>-20.7</v>
      </c>
      <c r="E32" s="382"/>
      <c r="F32" s="382">
        <f>ROUND(F19-F28,1)</f>
        <v>-68</v>
      </c>
      <c r="G32" s="382"/>
      <c r="H32" s="382">
        <f>ROUND(H19-H28,1)</f>
        <v>-28.8</v>
      </c>
      <c r="I32" s="382"/>
      <c r="J32" s="382">
        <f>ROUND(J19-J28,1)</f>
        <v>-24.8</v>
      </c>
      <c r="K32" s="382"/>
      <c r="L32" s="382">
        <f>ROUND(L19-L28,1)</f>
        <v>-20.5</v>
      </c>
      <c r="M32" s="382"/>
      <c r="N32" s="382">
        <f>ROUND(N19-N28,1)</f>
        <v>-23.3</v>
      </c>
      <c r="O32" s="382"/>
      <c r="P32" s="382">
        <f>ROUND(P19-P28,1)</f>
        <v>-30.3</v>
      </c>
      <c r="Q32" s="382"/>
      <c r="R32" s="382">
        <f>ROUND(R19-R28,1)</f>
        <v>-14</v>
      </c>
      <c r="S32" s="382"/>
      <c r="T32" s="382">
        <f>ROUND(T19-T28,1)</f>
        <v>12.6</v>
      </c>
      <c r="U32" s="382"/>
      <c r="V32" s="382">
        <f>ROUND(V19-V28,1)</f>
        <v>0</v>
      </c>
      <c r="W32" s="382"/>
      <c r="X32" s="2202">
        <f>ROUND(X19-X28,1)</f>
        <v>0</v>
      </c>
      <c r="Y32" s="2202"/>
      <c r="Z32" s="2203"/>
      <c r="AA32" s="2202">
        <f>ROUND(AA19-AA28,1)</f>
        <v>-202.6</v>
      </c>
      <c r="AB32" s="3265"/>
      <c r="AC32" s="3266"/>
      <c r="AD32" s="2202">
        <f>ROUND(AD19-AD28,1)</f>
        <v>-25.1</v>
      </c>
      <c r="AE32" s="1673"/>
      <c r="AF32" s="1672"/>
      <c r="AG32" s="3245">
        <f>ROUND(SUM(AG19-AG28),1)</f>
        <v>-177.5</v>
      </c>
      <c r="AH32" s="1144"/>
      <c r="AI32" s="2119">
        <f>ROUND(IF(AG32=0,0,AG32/ABS(AD32)),3)</f>
        <v>-7.0720000000000001</v>
      </c>
    </row>
    <row r="33" spans="1:35" ht="16.5" customHeight="1">
      <c r="A33" s="149"/>
      <c r="B33" s="381"/>
      <c r="C33" s="237"/>
      <c r="D33" s="381"/>
      <c r="E33" s="237"/>
      <c r="F33" s="381"/>
      <c r="G33" s="237"/>
      <c r="H33" s="381"/>
      <c r="I33" s="237"/>
      <c r="J33" s="381"/>
      <c r="K33" s="237"/>
      <c r="L33" s="381"/>
      <c r="M33" s="237"/>
      <c r="N33" s="381"/>
      <c r="O33" s="237"/>
      <c r="P33" s="381"/>
      <c r="Q33" s="237"/>
      <c r="R33" s="381"/>
      <c r="S33" s="237"/>
      <c r="T33" s="381"/>
      <c r="U33" s="237"/>
      <c r="V33" s="381"/>
      <c r="W33" s="237"/>
      <c r="X33" s="2200"/>
      <c r="Y33" s="1579"/>
      <c r="Z33" s="1699"/>
      <c r="AA33" s="2200"/>
      <c r="AB33" s="3264"/>
      <c r="AC33" s="1673"/>
      <c r="AD33" s="2200"/>
      <c r="AE33" s="1579"/>
      <c r="AF33" s="1672"/>
      <c r="AG33" s="1689"/>
      <c r="AI33" s="1133"/>
    </row>
    <row r="34" spans="1:35" ht="16.5" customHeight="1">
      <c r="A34" s="149"/>
      <c r="B34" s="237"/>
      <c r="C34" s="237"/>
      <c r="D34" s="237"/>
      <c r="E34" s="237"/>
      <c r="F34" s="237"/>
      <c r="G34" s="237"/>
      <c r="H34" s="237"/>
      <c r="I34" s="237"/>
      <c r="J34" s="237"/>
      <c r="K34" s="237"/>
      <c r="L34" s="237"/>
      <c r="M34" s="237"/>
      <c r="N34" s="237"/>
      <c r="O34" s="237"/>
      <c r="P34" s="237"/>
      <c r="Q34" s="237"/>
      <c r="R34" s="237"/>
      <c r="S34" s="237"/>
      <c r="T34" s="237"/>
      <c r="U34" s="237"/>
      <c r="V34" s="237"/>
      <c r="W34" s="237"/>
      <c r="X34" s="1579"/>
      <c r="Y34" s="1579"/>
      <c r="Z34" s="1699"/>
      <c r="AA34" s="1579"/>
      <c r="AB34" s="3264"/>
      <c r="AC34" s="1673"/>
      <c r="AD34" s="1579"/>
      <c r="AE34" s="2201"/>
      <c r="AF34" s="2206"/>
      <c r="AG34" s="1689"/>
      <c r="AI34" s="1146"/>
    </row>
    <row r="35" spans="1:35" ht="16.5" customHeight="1">
      <c r="A35" s="249" t="s">
        <v>46</v>
      </c>
      <c r="B35" s="237"/>
      <c r="C35" s="237"/>
      <c r="D35" s="237"/>
      <c r="E35" s="237"/>
      <c r="F35" s="237"/>
      <c r="G35" s="237"/>
      <c r="H35" s="237"/>
      <c r="I35" s="237"/>
      <c r="J35" s="237"/>
      <c r="K35" s="237"/>
      <c r="L35" s="237"/>
      <c r="M35" s="237"/>
      <c r="N35" s="237"/>
      <c r="O35" s="237"/>
      <c r="P35" s="237"/>
      <c r="Q35" s="237"/>
      <c r="R35" s="237"/>
      <c r="S35" s="237"/>
      <c r="T35" s="237"/>
      <c r="U35" s="237"/>
      <c r="V35" s="237"/>
      <c r="W35" s="237"/>
      <c r="X35" s="1579"/>
      <c r="Y35" s="1579"/>
      <c r="Z35" s="1699"/>
      <c r="AA35" s="1579"/>
      <c r="AB35" s="3264"/>
      <c r="AC35" s="1673"/>
      <c r="AD35" s="1579"/>
      <c r="AE35" s="2207"/>
      <c r="AF35" s="2208"/>
      <c r="AG35" s="1711"/>
      <c r="AH35" s="1150"/>
      <c r="AI35" s="1146"/>
    </row>
    <row r="36" spans="1:35" ht="16.5" customHeight="1">
      <c r="A36" s="149" t="s">
        <v>181</v>
      </c>
      <c r="B36" s="237">
        <v>1.3</v>
      </c>
      <c r="C36" s="237"/>
      <c r="D36" s="237">
        <v>2.5</v>
      </c>
      <c r="E36" s="237"/>
      <c r="F36" s="237">
        <v>52</v>
      </c>
      <c r="G36" s="237"/>
      <c r="H36" s="237">
        <v>1.7000000000000028</v>
      </c>
      <c r="I36" s="1579"/>
      <c r="J36" s="237">
        <v>12.099999999999994</v>
      </c>
      <c r="K36" s="1579"/>
      <c r="L36" s="237">
        <v>3.1000000000000085</v>
      </c>
      <c r="M36" s="1579"/>
      <c r="N36" s="1576">
        <v>6.9000000000000057</v>
      </c>
      <c r="O36" s="1579"/>
      <c r="P36" s="1576">
        <v>3.0999999999999943</v>
      </c>
      <c r="Q36" s="1579"/>
      <c r="R36" s="1576">
        <v>5.7999999999999972</v>
      </c>
      <c r="S36" s="1579"/>
      <c r="T36" s="1576">
        <f t="shared" ref="T36:T37" si="1">$AA36-$B36-$D36-$F36-$H36-$J36-$L36-$N36-$P36-$R36</f>
        <v>1.4000000000000057</v>
      </c>
      <c r="U36" s="1579"/>
      <c r="V36" s="1576"/>
      <c r="W36" s="1579"/>
      <c r="X36" s="1576"/>
      <c r="Y36" s="1579"/>
      <c r="Z36" s="1699"/>
      <c r="AA36" s="1576">
        <v>89.9</v>
      </c>
      <c r="AB36" s="3264"/>
      <c r="AC36" s="1673"/>
      <c r="AD36" s="1576">
        <v>67.7</v>
      </c>
      <c r="AE36" s="2209"/>
      <c r="AF36" s="1710"/>
      <c r="AG36" s="1689">
        <f>ROUND(SUM(AA36-AD36),1)</f>
        <v>22.2</v>
      </c>
      <c r="AH36" s="1147"/>
      <c r="AI36" s="1148">
        <f>ROUND(IF(AG36=0,0,AG36/ABS(AD36)),3)</f>
        <v>0.32800000000000001</v>
      </c>
    </row>
    <row r="37" spans="1:35" s="1088" customFormat="1" ht="16.5" customHeight="1">
      <c r="A37" s="193" t="s">
        <v>182</v>
      </c>
      <c r="B37" s="237">
        <v>0</v>
      </c>
      <c r="C37" s="1579"/>
      <c r="D37" s="237">
        <v>0</v>
      </c>
      <c r="E37" s="1579"/>
      <c r="F37" s="237">
        <v>0</v>
      </c>
      <c r="G37" s="1579"/>
      <c r="H37" s="237">
        <v>0</v>
      </c>
      <c r="I37" s="1579"/>
      <c r="J37" s="237">
        <v>-0.2</v>
      </c>
      <c r="K37" s="1579"/>
      <c r="L37" s="237">
        <v>-9.9999999999999978E-2</v>
      </c>
      <c r="M37" s="1579"/>
      <c r="N37" s="1576">
        <v>0</v>
      </c>
      <c r="O37" s="1579"/>
      <c r="P37" s="1576">
        <v>-0.10000000000000003</v>
      </c>
      <c r="Q37" s="1579"/>
      <c r="R37" s="1576">
        <v>-2.8999999999999995</v>
      </c>
      <c r="S37" s="1579"/>
      <c r="T37" s="1576">
        <f t="shared" si="1"/>
        <v>0</v>
      </c>
      <c r="U37" s="1579"/>
      <c r="V37" s="1576"/>
      <c r="W37" s="1579"/>
      <c r="X37" s="1576"/>
      <c r="Y37" s="1579"/>
      <c r="Z37" s="1699"/>
      <c r="AA37" s="1576">
        <v>-3.3</v>
      </c>
      <c r="AB37" s="3264"/>
      <c r="AC37" s="1673"/>
      <c r="AD37" s="1576">
        <v>-4.3</v>
      </c>
      <c r="AE37" s="117"/>
      <c r="AF37" s="1710"/>
      <c r="AG37" s="3044">
        <f>-ROUND(SUM(AA37-AD37),1)</f>
        <v>-1</v>
      </c>
      <c r="AH37" s="1681"/>
      <c r="AI37" s="3045">
        <f>ROUND(IF(AG37=0,0,AG37/ABS(AD37)),3)</f>
        <v>-0.23300000000000001</v>
      </c>
    </row>
    <row r="38" spans="1:35" ht="16.5" customHeight="1">
      <c r="A38" s="149"/>
      <c r="B38" s="381"/>
      <c r="C38" s="237"/>
      <c r="D38" s="381"/>
      <c r="E38" s="237"/>
      <c r="F38" s="381"/>
      <c r="G38" s="237"/>
      <c r="H38" s="381"/>
      <c r="I38" s="237"/>
      <c r="J38" s="381"/>
      <c r="K38" s="237"/>
      <c r="L38" s="381"/>
      <c r="M38" s="237"/>
      <c r="N38" s="381"/>
      <c r="O38" s="237"/>
      <c r="P38" s="381"/>
      <c r="Q38" s="237"/>
      <c r="R38" s="381"/>
      <c r="S38" s="237"/>
      <c r="T38" s="381"/>
      <c r="U38" s="237"/>
      <c r="V38" s="381"/>
      <c r="W38" s="237"/>
      <c r="X38" s="2200"/>
      <c r="Y38" s="1579"/>
      <c r="Z38" s="1699"/>
      <c r="AA38" s="3267"/>
      <c r="AB38" s="3264"/>
      <c r="AC38" s="1673"/>
      <c r="AD38" s="3267"/>
      <c r="AE38" s="140"/>
      <c r="AF38" s="1710"/>
      <c r="AG38" s="3241"/>
    </row>
    <row r="39" spans="1:35" ht="16.5" customHeight="1">
      <c r="A39" s="249" t="s">
        <v>207</v>
      </c>
      <c r="B39" s="382">
        <f>ROUND(SUM(B36:B38),1)</f>
        <v>1.3</v>
      </c>
      <c r="C39" s="382"/>
      <c r="D39" s="382">
        <f>ROUND(SUM(D36:D38),1)</f>
        <v>2.5</v>
      </c>
      <c r="E39" s="382"/>
      <c r="F39" s="382">
        <f>ROUND(SUM(F36:F38),1)</f>
        <v>52</v>
      </c>
      <c r="G39" s="382"/>
      <c r="H39" s="382">
        <f>ROUND(SUM(H36:H38),1)</f>
        <v>1.7</v>
      </c>
      <c r="I39" s="382"/>
      <c r="J39" s="382">
        <f>ROUND(SUM(J36:J38),1)</f>
        <v>11.9</v>
      </c>
      <c r="K39" s="382"/>
      <c r="L39" s="382">
        <f>ROUND(SUM(L36:L38),1)</f>
        <v>3</v>
      </c>
      <c r="M39" s="382"/>
      <c r="N39" s="382">
        <f>ROUND(SUM(N36:N38),1)</f>
        <v>6.9</v>
      </c>
      <c r="O39" s="382"/>
      <c r="P39" s="382">
        <f>ROUND(SUM(P36:P38),1)</f>
        <v>3</v>
      </c>
      <c r="Q39" s="382"/>
      <c r="R39" s="382">
        <f>ROUND(SUM(R36:R38),1)</f>
        <v>2.9</v>
      </c>
      <c r="S39" s="382"/>
      <c r="T39" s="382">
        <f>ROUND(SUM(T36:T38),1)</f>
        <v>1.4</v>
      </c>
      <c r="U39" s="382"/>
      <c r="V39" s="382">
        <f>ROUND(SUM(V36:V38),1)</f>
        <v>0</v>
      </c>
      <c r="W39" s="382"/>
      <c r="X39" s="2202">
        <f>ROUND(SUM(X36:X38),1)</f>
        <v>0</v>
      </c>
      <c r="Y39" s="2202"/>
      <c r="Z39" s="2203"/>
      <c r="AA39" s="2202">
        <f>ROUND(SUM(AA36:AA38),1)</f>
        <v>86.6</v>
      </c>
      <c r="AB39" s="3265"/>
      <c r="AC39" s="3266"/>
      <c r="AD39" s="2202">
        <f>ROUND(SUM(AD36:AD38),1)</f>
        <v>63.4</v>
      </c>
      <c r="AF39" s="1678"/>
      <c r="AG39" s="3245">
        <f>AA39-AD39</f>
        <v>23.199999999999996</v>
      </c>
      <c r="AH39" s="1151"/>
      <c r="AI39" s="1145">
        <f>ROUND(IF(AG39=0,0,AG39/ABS(AD39)),3)</f>
        <v>0.36599999999999999</v>
      </c>
    </row>
    <row r="40" spans="1:35" ht="16.5" customHeight="1">
      <c r="A40" s="149"/>
      <c r="B40" s="381"/>
      <c r="C40" s="237"/>
      <c r="D40" s="381"/>
      <c r="E40" s="237"/>
      <c r="F40" s="381"/>
      <c r="G40" s="237"/>
      <c r="H40" s="381"/>
      <c r="I40" s="237"/>
      <c r="J40" s="381"/>
      <c r="K40" s="237"/>
      <c r="L40" s="381"/>
      <c r="M40" s="237"/>
      <c r="N40" s="381"/>
      <c r="O40" s="237"/>
      <c r="P40" s="381"/>
      <c r="Q40" s="237"/>
      <c r="R40" s="381"/>
      <c r="S40" s="237"/>
      <c r="T40" s="381"/>
      <c r="U40" s="237"/>
      <c r="V40" s="381"/>
      <c r="W40" s="237"/>
      <c r="X40" s="2200"/>
      <c r="Y40" s="1579"/>
      <c r="Z40" s="1699"/>
      <c r="AA40" s="2200"/>
      <c r="AB40" s="3264"/>
      <c r="AC40" s="1673"/>
      <c r="AD40" s="2200"/>
      <c r="AE40" s="140"/>
      <c r="AF40" s="1710"/>
      <c r="AG40" s="3241"/>
    </row>
    <row r="41" spans="1:35" ht="16.5" customHeight="1">
      <c r="A41" s="149"/>
      <c r="B41" s="237"/>
      <c r="C41" s="237"/>
      <c r="D41" s="237"/>
      <c r="E41" s="237"/>
      <c r="F41" s="237"/>
      <c r="G41" s="237"/>
      <c r="H41" s="237"/>
      <c r="I41" s="237"/>
      <c r="J41" s="237"/>
      <c r="K41" s="237"/>
      <c r="L41" s="237"/>
      <c r="M41" s="237"/>
      <c r="N41" s="237"/>
      <c r="O41" s="237"/>
      <c r="P41" s="237"/>
      <c r="Q41" s="237"/>
      <c r="R41" s="237"/>
      <c r="S41" s="237"/>
      <c r="T41" s="237"/>
      <c r="U41" s="237"/>
      <c r="V41" s="237"/>
      <c r="W41" s="237"/>
      <c r="X41" s="1579"/>
      <c r="Y41" s="1579"/>
      <c r="Z41" s="1699"/>
      <c r="AA41" s="1579"/>
      <c r="AB41" s="3264"/>
      <c r="AC41" s="1673"/>
      <c r="AD41" s="1579"/>
      <c r="AE41" s="140"/>
      <c r="AF41" s="1710"/>
    </row>
    <row r="42" spans="1:35" ht="16.5" customHeight="1">
      <c r="A42" s="249" t="s">
        <v>165</v>
      </c>
      <c r="B42" s="237"/>
      <c r="C42" s="237"/>
      <c r="D42" s="237"/>
      <c r="E42" s="237"/>
      <c r="F42" s="237"/>
      <c r="G42" s="237"/>
      <c r="H42" s="237"/>
      <c r="I42" s="237"/>
      <c r="J42" s="237"/>
      <c r="K42" s="237"/>
      <c r="L42" s="237"/>
      <c r="M42" s="237"/>
      <c r="N42" s="237"/>
      <c r="O42" s="237"/>
      <c r="P42" s="237"/>
      <c r="Q42" s="237"/>
      <c r="R42" s="237"/>
      <c r="S42" s="237"/>
      <c r="T42" s="237"/>
      <c r="U42" s="237"/>
      <c r="V42" s="237"/>
      <c r="W42" s="237"/>
      <c r="X42" s="1579"/>
      <c r="Y42" s="1579"/>
      <c r="Z42" s="1699"/>
      <c r="AA42" s="1579"/>
      <c r="AB42" s="3264"/>
      <c r="AC42" s="1673"/>
      <c r="AD42" s="1579"/>
      <c r="AE42" s="140"/>
      <c r="AF42" s="1710"/>
    </row>
    <row r="43" spans="1:35" ht="16.5" customHeight="1">
      <c r="A43" s="249" t="s">
        <v>226</v>
      </c>
      <c r="B43" s="237"/>
      <c r="C43" s="237"/>
      <c r="D43" s="237"/>
      <c r="E43" s="237"/>
      <c r="F43" s="237"/>
      <c r="G43" s="237"/>
      <c r="H43" s="237"/>
      <c r="I43" s="237"/>
      <c r="J43" s="237"/>
      <c r="K43" s="237"/>
      <c r="L43" s="237"/>
      <c r="M43" s="237"/>
      <c r="N43" s="237"/>
      <c r="O43" s="237"/>
      <c r="P43" s="237"/>
      <c r="Q43" s="237"/>
      <c r="R43" s="237"/>
      <c r="S43" s="237"/>
      <c r="T43" s="237"/>
      <c r="U43" s="237"/>
      <c r="V43" s="237"/>
      <c r="W43" s="237"/>
      <c r="X43" s="1579"/>
      <c r="Y43" s="1579"/>
      <c r="Z43" s="1699"/>
      <c r="AA43" s="1579"/>
      <c r="AB43" s="3264"/>
      <c r="AC43" s="1673"/>
      <c r="AD43" s="1579"/>
      <c r="AE43" s="107"/>
      <c r="AF43" s="1678"/>
    </row>
    <row r="44" spans="1:35" s="217" customFormat="1" ht="16.5" customHeight="1">
      <c r="A44" s="249" t="s">
        <v>167</v>
      </c>
      <c r="B44" s="382">
        <f>ROUND(SUM(B32,B39),1)</f>
        <v>16.5</v>
      </c>
      <c r="C44" s="382"/>
      <c r="D44" s="382">
        <f>ROUND(SUM(D32,D39),1)</f>
        <v>-18.2</v>
      </c>
      <c r="E44" s="382"/>
      <c r="F44" s="382">
        <f>ROUND(SUM(F32,F39),1)</f>
        <v>-16</v>
      </c>
      <c r="G44" s="382"/>
      <c r="H44" s="382">
        <f>ROUND(SUM(H32,H39),1)</f>
        <v>-27.1</v>
      </c>
      <c r="I44" s="382"/>
      <c r="J44" s="382">
        <f>ROUND(SUM(J32,J39),1)</f>
        <v>-12.9</v>
      </c>
      <c r="K44" s="382"/>
      <c r="L44" s="382">
        <f>ROUND(SUM(L32,L39),1)</f>
        <v>-17.5</v>
      </c>
      <c r="M44" s="382"/>
      <c r="N44" s="382">
        <f>ROUND(SUM(N32,N39),1)</f>
        <v>-16.399999999999999</v>
      </c>
      <c r="O44" s="382"/>
      <c r="P44" s="382">
        <f>ROUND(SUM(P32,P39),1)</f>
        <v>-27.3</v>
      </c>
      <c r="Q44" s="382"/>
      <c r="R44" s="382">
        <f>ROUND(SUM(R32,R39),1)</f>
        <v>-11.1</v>
      </c>
      <c r="S44" s="382"/>
      <c r="T44" s="382">
        <f>ROUND(SUM(T32,T39),1)</f>
        <v>14</v>
      </c>
      <c r="U44" s="382"/>
      <c r="V44" s="382">
        <f>ROUND(SUM(V32,V39),1)</f>
        <v>0</v>
      </c>
      <c r="W44" s="382"/>
      <c r="X44" s="2202">
        <f>ROUND(SUM(X32,X39),1)</f>
        <v>0</v>
      </c>
      <c r="Y44" s="2202"/>
      <c r="Z44" s="2203"/>
      <c r="AA44" s="2205">
        <f>ROUND(AA32+AA39,1)</f>
        <v>-116</v>
      </c>
      <c r="AB44" s="3265"/>
      <c r="AC44" s="3266"/>
      <c r="AD44" s="2205">
        <f>ROUND(AD32+AD39,1)</f>
        <v>38.299999999999997</v>
      </c>
      <c r="AE44" s="2210"/>
      <c r="AF44" s="1678"/>
      <c r="AG44" s="3245">
        <f>ROUND(SUM(AG32+AG39),1)</f>
        <v>-154.30000000000001</v>
      </c>
      <c r="AH44" s="1124"/>
      <c r="AI44" s="2119">
        <f>ROUND(IF(AG44=0,0,AG44/ABS(AD44)),3)</f>
        <v>-4.0289999999999999</v>
      </c>
    </row>
    <row r="45" spans="1:35" ht="16.5" customHeight="1">
      <c r="A45" s="149"/>
      <c r="B45" s="385"/>
      <c r="C45" s="379"/>
      <c r="D45" s="385"/>
      <c r="E45" s="379"/>
      <c r="F45" s="385"/>
      <c r="G45" s="379"/>
      <c r="H45" s="385"/>
      <c r="I45" s="379"/>
      <c r="J45" s="385"/>
      <c r="K45" s="379"/>
      <c r="L45" s="385"/>
      <c r="M45" s="379"/>
      <c r="N45" s="385"/>
      <c r="O45" s="379"/>
      <c r="P45" s="385"/>
      <c r="Q45" s="379"/>
      <c r="R45" s="385"/>
      <c r="S45" s="379"/>
      <c r="T45" s="385"/>
      <c r="U45" s="379"/>
      <c r="V45" s="385"/>
      <c r="W45" s="379"/>
      <c r="X45" s="3268"/>
      <c r="Y45" s="3236"/>
      <c r="Z45" s="3260"/>
      <c r="AA45" s="3268"/>
      <c r="AB45" s="3261"/>
      <c r="AC45" s="3262"/>
      <c r="AD45" s="3268"/>
      <c r="AF45" s="1678"/>
      <c r="AI45" s="1133"/>
    </row>
    <row r="46" spans="1:35" ht="16.5" customHeight="1" thickBot="1">
      <c r="A46" s="320" t="s">
        <v>141</v>
      </c>
      <c r="B46" s="377">
        <f>ROUND(SUM(B14,B44),1)</f>
        <v>-281</v>
      </c>
      <c r="C46" s="377"/>
      <c r="D46" s="377">
        <f>ROUND(SUM(D14,D44),1)</f>
        <v>-299.2</v>
      </c>
      <c r="E46" s="377"/>
      <c r="F46" s="377">
        <f>ROUND(SUM(F14,F44),1)</f>
        <v>-315.2</v>
      </c>
      <c r="G46" s="377"/>
      <c r="H46" s="377">
        <f>ROUND(SUM(H14,H44),1)</f>
        <v>-342.3</v>
      </c>
      <c r="I46" s="377"/>
      <c r="J46" s="377">
        <f>ROUND(SUM(J14,J44),1)</f>
        <v>-355.2</v>
      </c>
      <c r="K46" s="377"/>
      <c r="L46" s="377">
        <f>ROUND(SUM(L14,L44),1)</f>
        <v>-372.7</v>
      </c>
      <c r="M46" s="377"/>
      <c r="N46" s="377">
        <f>ROUND(SUM(N14,N44),1)</f>
        <v>-389.1</v>
      </c>
      <c r="O46" s="377"/>
      <c r="P46" s="377">
        <f>ROUND(SUM(P14,P44),1)</f>
        <v>-416.4</v>
      </c>
      <c r="Q46" s="377"/>
      <c r="R46" s="386">
        <f>ROUND(SUM(R14,R44),1)</f>
        <v>-427.5</v>
      </c>
      <c r="S46" s="377"/>
      <c r="T46" s="377">
        <f>ROUND(SUM(T14,T44),1)</f>
        <v>-413.5</v>
      </c>
      <c r="U46" s="377"/>
      <c r="V46" s="377">
        <f>ROUND(SUM(V14,V44),1)</f>
        <v>0</v>
      </c>
      <c r="W46" s="377"/>
      <c r="X46" s="1655">
        <f>ROUND(SUM(X14,X44),1)</f>
        <v>0</v>
      </c>
      <c r="Y46" s="1655"/>
      <c r="Z46" s="3258"/>
      <c r="AA46" s="1655">
        <f>ROUND(SUM(AA14,AA44),1)</f>
        <v>-413.5</v>
      </c>
      <c r="AB46" s="3259"/>
      <c r="AC46" s="2207"/>
      <c r="AD46" s="1655">
        <f>ROUND(SUM(AD14,AD44),1)</f>
        <v>-264.39999999999998</v>
      </c>
      <c r="AF46" s="1678"/>
      <c r="AG46" s="3248">
        <f>ROUND(SUM(AA46-AD46),1)</f>
        <v>-149.1</v>
      </c>
      <c r="AH46" s="1150"/>
      <c r="AI46" s="1152">
        <f>ROUND(IF(AG46=0,0,AG46/ABS(AD46)),3)</f>
        <v>-0.56399999999999995</v>
      </c>
    </row>
    <row r="47" spans="1:35" ht="16.5" customHeight="1" thickTop="1">
      <c r="A47" s="149"/>
      <c r="B47" s="387"/>
      <c r="C47" s="379"/>
      <c r="D47" s="387"/>
      <c r="E47" s="379"/>
      <c r="F47" s="387"/>
      <c r="G47" s="379"/>
      <c r="H47" s="387"/>
      <c r="I47" s="379"/>
      <c r="J47" s="387"/>
      <c r="K47" s="379"/>
      <c r="L47" s="387"/>
      <c r="M47" s="379"/>
      <c r="N47" s="387"/>
      <c r="O47" s="379"/>
      <c r="P47" s="387"/>
      <c r="Q47" s="379"/>
      <c r="R47" s="380"/>
      <c r="S47" s="379"/>
      <c r="T47" s="387"/>
      <c r="U47" s="379"/>
      <c r="V47" s="387"/>
      <c r="W47" s="379"/>
      <c r="X47" s="3269"/>
      <c r="Y47" s="3236"/>
      <c r="Z47" s="3236"/>
      <c r="AA47" s="3269"/>
      <c r="AB47" s="3236"/>
      <c r="AC47" s="3236"/>
      <c r="AD47" s="3269"/>
    </row>
    <row r="49" spans="1:1" ht="16.5" customHeight="1">
      <c r="A49" s="388"/>
    </row>
    <row r="50" spans="1:1" ht="16.5" customHeight="1">
      <c r="A50" s="247"/>
    </row>
  </sheetData>
  <mergeCells count="1">
    <mergeCell ref="AA10:AI10"/>
  </mergeCells>
  <pageMargins left="0.25" right="0.25" top="0.5" bottom="0.25" header="0" footer="0.25"/>
  <pageSetup scale="43" firstPageNumber="35" orientation="landscape" useFirstPageNumber="1" r:id="rId1"/>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fitToPage="1"/>
  </sheetPr>
  <dimension ref="A1:AI47"/>
  <sheetViews>
    <sheetView showGridLines="0" zoomScale="80" zoomScaleNormal="60" workbookViewId="0"/>
  </sheetViews>
  <sheetFormatPr defaultColWidth="8.6640625" defaultRowHeight="18"/>
  <cols>
    <col min="1" max="1" width="45.5546875" style="389" customWidth="1"/>
    <col min="2" max="2" width="11.109375" style="389" customWidth="1"/>
    <col min="3" max="3" width="1.6640625" style="389" customWidth="1"/>
    <col min="4" max="4" width="8.6640625" style="389" customWidth="1"/>
    <col min="5" max="5" width="1.6640625" style="389" customWidth="1"/>
    <col min="6" max="6" width="8.6640625" style="389" customWidth="1"/>
    <col min="7" max="7" width="1.6640625" style="389" customWidth="1"/>
    <col min="8" max="8" width="9.44140625" style="389" customWidth="1"/>
    <col min="9" max="9" width="1.6640625" style="389" customWidth="1"/>
    <col min="10" max="10" width="10.6640625" style="389" customWidth="1"/>
    <col min="11" max="11" width="1.6640625" style="389" customWidth="1"/>
    <col min="12" max="12" width="14.109375" style="389" customWidth="1"/>
    <col min="13" max="13" width="1.6640625" style="389" customWidth="1"/>
    <col min="14" max="14" width="12" style="389" bestFit="1" customWidth="1"/>
    <col min="15" max="15" width="1.6640625" style="389" customWidth="1"/>
    <col min="16" max="16" width="13.5546875" style="389" bestFit="1" customWidth="1"/>
    <col min="17" max="17" width="1.6640625" style="389" customWidth="1"/>
    <col min="18" max="18" width="13.5546875" style="389" bestFit="1" customWidth="1"/>
    <col min="19" max="19" width="1.6640625" style="389" customWidth="1"/>
    <col min="20" max="20" width="11" style="389" bestFit="1" customWidth="1"/>
    <col min="21" max="21" width="1.6640625" style="389" customWidth="1"/>
    <col min="22" max="22" width="12.6640625" style="389" bestFit="1" customWidth="1"/>
    <col min="23" max="23" width="1.6640625" style="389" customWidth="1"/>
    <col min="24" max="24" width="11" style="389" customWidth="1"/>
    <col min="25" max="26" width="1.6640625" style="389" customWidth="1"/>
    <col min="27" max="27" width="10.109375" style="2210" customWidth="1"/>
    <col min="28" max="29" width="1.6640625" style="2210" customWidth="1"/>
    <col min="30" max="30" width="10.109375" style="3283" customWidth="1"/>
    <col min="31" max="31" width="1.6640625" style="1132" customWidth="1"/>
    <col min="32" max="32" width="2.44140625" style="1132" customWidth="1"/>
    <col min="33" max="33" width="10.109375" style="1133" bestFit="1" customWidth="1"/>
    <col min="34" max="34" width="1.6640625" style="1133" customWidth="1"/>
    <col min="35" max="35" width="11.109375" style="1132" customWidth="1"/>
    <col min="36" max="16384" width="8.6640625" style="389"/>
  </cols>
  <sheetData>
    <row r="1" spans="1:35">
      <c r="A1" s="644" t="s">
        <v>963</v>
      </c>
    </row>
    <row r="2" spans="1:35">
      <c r="A2" s="824"/>
    </row>
    <row r="3" spans="1:35" ht="20.25" customHeight="1">
      <c r="A3" s="3551" t="s">
        <v>0</v>
      </c>
      <c r="B3" s="31"/>
      <c r="C3" s="31"/>
      <c r="D3" s="31"/>
      <c r="E3" s="31"/>
      <c r="F3" s="31"/>
      <c r="G3" s="31"/>
      <c r="H3" s="31"/>
      <c r="I3" s="31"/>
      <c r="J3" s="31"/>
      <c r="K3" s="29"/>
      <c r="L3" s="29"/>
      <c r="M3" s="31"/>
      <c r="N3" s="31"/>
      <c r="O3" s="31"/>
      <c r="P3" s="31"/>
      <c r="Q3" s="31"/>
      <c r="R3" s="31"/>
      <c r="S3" s="31"/>
      <c r="T3" s="31"/>
      <c r="U3" s="31"/>
      <c r="V3" s="31"/>
      <c r="W3" s="31"/>
      <c r="X3" s="31"/>
      <c r="Y3" s="31"/>
      <c r="Z3" s="31"/>
      <c r="AA3" s="107"/>
      <c r="AB3" s="107"/>
      <c r="AC3" s="107"/>
      <c r="AD3" s="193"/>
      <c r="AI3" s="1171" t="s">
        <v>224</v>
      </c>
    </row>
    <row r="4" spans="1:35" ht="20.25" customHeight="1">
      <c r="A4" s="290" t="s">
        <v>223</v>
      </c>
      <c r="B4" s="31"/>
      <c r="C4" s="31"/>
      <c r="D4" s="31"/>
      <c r="E4" s="31"/>
      <c r="F4" s="31"/>
      <c r="G4" s="31"/>
      <c r="H4" s="29" t="s">
        <v>15</v>
      </c>
      <c r="I4" s="31"/>
      <c r="J4" s="31"/>
      <c r="K4" s="29"/>
      <c r="L4" s="29"/>
      <c r="M4" s="31"/>
      <c r="N4" s="31"/>
      <c r="O4" s="31"/>
      <c r="P4" s="31"/>
      <c r="Q4" s="31"/>
      <c r="R4" s="31"/>
      <c r="S4" s="31"/>
      <c r="T4" s="31"/>
      <c r="U4" s="31"/>
      <c r="V4" s="31"/>
      <c r="W4" s="31"/>
      <c r="X4" s="31" t="s">
        <v>15</v>
      </c>
      <c r="Y4" s="31"/>
      <c r="Z4" s="31"/>
      <c r="AA4" s="107"/>
      <c r="AB4" s="107"/>
      <c r="AC4" s="107"/>
      <c r="AD4" s="193"/>
    </row>
    <row r="5" spans="1:35" ht="20.25" customHeight="1">
      <c r="A5" s="1535" t="s">
        <v>123</v>
      </c>
      <c r="B5" s="31"/>
      <c r="C5" s="31"/>
      <c r="D5" s="31"/>
      <c r="E5" s="31"/>
      <c r="F5" s="31"/>
      <c r="G5" s="31"/>
      <c r="H5" s="31"/>
      <c r="I5" s="31"/>
      <c r="J5" s="31"/>
      <c r="K5" s="29"/>
      <c r="L5" s="29"/>
      <c r="M5" s="31"/>
      <c r="N5" s="31"/>
      <c r="O5" s="31"/>
      <c r="P5" s="31"/>
      <c r="Q5" s="31"/>
      <c r="R5" s="31"/>
      <c r="S5" s="31"/>
      <c r="T5" s="31"/>
      <c r="U5" s="31"/>
      <c r="V5" s="31"/>
      <c r="W5" s="31"/>
      <c r="X5" s="31"/>
      <c r="Y5" s="31"/>
      <c r="Z5" s="31"/>
      <c r="AB5" s="3273"/>
      <c r="AC5" s="3273"/>
      <c r="AE5" s="1154"/>
    </row>
    <row r="6" spans="1:35" ht="20.25" customHeight="1">
      <c r="A6" s="1535" t="str">
        <f>'Cashflow Governmental'!A6</f>
        <v xml:space="preserve">FISCAL YEAR 2020-2021   </v>
      </c>
      <c r="B6" s="31"/>
      <c r="C6" s="31"/>
      <c r="D6" s="31"/>
      <c r="E6" s="31"/>
      <c r="F6" s="31"/>
      <c r="G6" s="31"/>
      <c r="H6" s="31"/>
      <c r="I6" s="31"/>
      <c r="J6" s="31"/>
      <c r="K6" s="29"/>
      <c r="L6" s="29"/>
      <c r="M6" s="31"/>
      <c r="N6" s="31"/>
      <c r="O6" s="31"/>
      <c r="P6" s="31"/>
      <c r="Q6" s="31"/>
      <c r="R6" s="31"/>
      <c r="S6" s="31"/>
      <c r="T6" s="31"/>
      <c r="U6" s="31"/>
      <c r="V6" s="31"/>
      <c r="W6" s="31"/>
      <c r="X6" s="31"/>
      <c r="Y6" s="31"/>
      <c r="Z6" s="31"/>
      <c r="AA6" s="107"/>
      <c r="AB6" s="107"/>
      <c r="AC6" s="107"/>
      <c r="AD6" s="193"/>
    </row>
    <row r="7" spans="1:35" ht="20.25" customHeight="1">
      <c r="A7" s="3551" t="s">
        <v>1363</v>
      </c>
      <c r="B7" s="31"/>
      <c r="C7" s="31"/>
      <c r="D7" s="31"/>
      <c r="E7" s="31"/>
      <c r="F7" s="31"/>
      <c r="G7" s="31"/>
      <c r="H7" s="31"/>
      <c r="I7" s="31"/>
      <c r="J7" s="31"/>
      <c r="K7" s="29"/>
      <c r="L7" s="31"/>
      <c r="M7" s="31"/>
      <c r="N7" s="31"/>
      <c r="O7" s="31"/>
      <c r="P7" s="31"/>
      <c r="Q7" s="31"/>
      <c r="R7" s="31"/>
      <c r="S7" s="31"/>
      <c r="T7" s="31"/>
      <c r="U7" s="31"/>
      <c r="V7" s="31"/>
      <c r="W7" s="31"/>
      <c r="X7" s="31"/>
      <c r="Y7" s="31"/>
      <c r="Z7" s="31"/>
      <c r="AA7" s="107"/>
      <c r="AB7" s="107"/>
      <c r="AC7" s="107"/>
      <c r="AD7" s="193"/>
    </row>
    <row r="8" spans="1:35" s="391" customFormat="1" ht="19.350000000000001" customHeight="1">
      <c r="A8" s="320"/>
      <c r="B8" s="31"/>
      <c r="C8" s="31"/>
      <c r="D8" s="31"/>
      <c r="E8" s="31"/>
      <c r="F8" s="31"/>
      <c r="G8" s="31"/>
      <c r="H8" s="31"/>
      <c r="I8" s="31"/>
      <c r="J8" s="31"/>
      <c r="K8" s="31"/>
      <c r="L8" s="31"/>
      <c r="M8" s="31"/>
      <c r="N8" s="31"/>
      <c r="O8" s="31"/>
      <c r="P8" s="31"/>
      <c r="Q8" s="31"/>
      <c r="R8" s="31"/>
      <c r="S8" s="31"/>
      <c r="T8" s="31"/>
      <c r="U8" s="31"/>
      <c r="V8" s="31"/>
      <c r="W8" s="31"/>
      <c r="X8" s="31"/>
      <c r="Y8" s="31"/>
      <c r="Z8" s="149"/>
      <c r="AA8" s="193"/>
      <c r="AB8" s="193"/>
      <c r="AC8" s="193"/>
      <c r="AD8" s="193"/>
      <c r="AE8" s="1132"/>
      <c r="AF8" s="1132"/>
      <c r="AG8" s="1133"/>
      <c r="AH8" s="1133"/>
      <c r="AI8" s="1132"/>
    </row>
    <row r="9" spans="1:35" s="391" customFormat="1" ht="19.350000000000001" customHeight="1">
      <c r="A9" s="690"/>
      <c r="B9" s="690"/>
      <c r="C9" s="690"/>
      <c r="D9" s="690"/>
      <c r="E9" s="690"/>
      <c r="F9" s="690"/>
      <c r="G9" s="690"/>
      <c r="H9" s="29"/>
      <c r="I9" s="29"/>
      <c r="J9" s="29"/>
      <c r="K9" s="690"/>
      <c r="L9" s="690"/>
      <c r="M9" s="690"/>
      <c r="N9" s="690"/>
      <c r="O9" s="690"/>
      <c r="P9" s="690"/>
      <c r="Q9" s="690"/>
      <c r="R9" s="690"/>
      <c r="S9" s="690"/>
      <c r="T9" s="690"/>
      <c r="U9" s="690"/>
      <c r="V9" s="690"/>
      <c r="W9" s="690"/>
      <c r="X9" s="690"/>
      <c r="Y9" s="690"/>
      <c r="Z9" s="149"/>
      <c r="AA9" s="193"/>
      <c r="AB9" s="193"/>
      <c r="AC9" s="3967"/>
      <c r="AD9" s="3968"/>
      <c r="AE9" s="3968"/>
      <c r="AF9" s="3968"/>
      <c r="AG9" s="3968"/>
      <c r="AH9" s="3968"/>
      <c r="AI9" s="3968"/>
    </row>
    <row r="10" spans="1:35" s="391" customFormat="1" ht="19.350000000000001" customHeight="1">
      <c r="A10" s="149"/>
      <c r="B10" s="149"/>
      <c r="C10" s="149"/>
      <c r="D10" s="149"/>
      <c r="E10" s="149"/>
      <c r="F10" s="149"/>
      <c r="G10" s="149"/>
      <c r="H10" s="149"/>
      <c r="I10" s="149"/>
      <c r="J10" s="149"/>
      <c r="K10" s="149"/>
      <c r="L10" s="149"/>
      <c r="M10" s="149"/>
      <c r="N10" s="149"/>
      <c r="O10" s="149"/>
      <c r="P10" s="149"/>
      <c r="Q10" s="149"/>
      <c r="R10" s="149"/>
      <c r="S10" s="149"/>
      <c r="T10" s="149"/>
      <c r="U10" s="149"/>
      <c r="V10" s="2115"/>
      <c r="W10" s="831"/>
      <c r="X10" s="832"/>
      <c r="Y10" s="833"/>
      <c r="Z10" s="3969" t="s">
        <v>1558</v>
      </c>
      <c r="AA10" s="3969"/>
      <c r="AB10" s="3969"/>
      <c r="AC10" s="3969"/>
      <c r="AD10" s="3969"/>
      <c r="AE10" s="3969"/>
      <c r="AF10" s="3969"/>
      <c r="AG10" s="3969"/>
      <c r="AH10" s="3969"/>
      <c r="AI10" s="3969"/>
    </row>
    <row r="11" spans="1:35" s="391" customFormat="1" ht="19.350000000000001" customHeight="1">
      <c r="A11" s="149"/>
      <c r="B11" s="769" t="str">
        <f>'Cashflow Governmental'!C13</f>
        <v>2020</v>
      </c>
      <c r="C11" s="249"/>
      <c r="D11" s="249"/>
      <c r="E11" s="249"/>
      <c r="F11" s="249"/>
      <c r="G11" s="249"/>
      <c r="H11" s="249"/>
      <c r="I11" s="249"/>
      <c r="J11" s="249"/>
      <c r="K11" s="249"/>
      <c r="L11" s="249"/>
      <c r="M11" s="249"/>
      <c r="N11" s="249"/>
      <c r="O11" s="249"/>
      <c r="P11" s="249"/>
      <c r="Q11" s="249"/>
      <c r="R11" s="249"/>
      <c r="S11" s="249"/>
      <c r="T11" s="769">
        <f>'Cashflow Governmental'!U13</f>
        <v>2021</v>
      </c>
      <c r="U11" s="249"/>
      <c r="V11" s="771"/>
      <c r="W11" s="249"/>
      <c r="X11" s="249"/>
      <c r="Y11" s="249"/>
      <c r="Z11" s="770"/>
      <c r="AA11" s="3253"/>
      <c r="AB11" s="3253"/>
      <c r="AC11" s="3253"/>
      <c r="AD11" s="3231"/>
      <c r="AE11" s="1155"/>
      <c r="AF11" s="1124"/>
      <c r="AG11" s="1136" t="s">
        <v>8</v>
      </c>
      <c r="AH11" s="1136"/>
      <c r="AI11" s="1137" t="s">
        <v>9</v>
      </c>
    </row>
    <row r="12" spans="1:35" s="391" customFormat="1" ht="19.350000000000001" customHeight="1">
      <c r="A12" s="149"/>
      <c r="B12" s="834" t="s">
        <v>124</v>
      </c>
      <c r="C12" s="249"/>
      <c r="D12" s="834" t="s">
        <v>125</v>
      </c>
      <c r="E12" s="249"/>
      <c r="F12" s="834" t="s">
        <v>126</v>
      </c>
      <c r="G12" s="249"/>
      <c r="H12" s="834" t="s">
        <v>127</v>
      </c>
      <c r="I12" s="249"/>
      <c r="J12" s="835" t="s">
        <v>225</v>
      </c>
      <c r="K12" s="249"/>
      <c r="L12" s="835" t="s">
        <v>143</v>
      </c>
      <c r="M12" s="249"/>
      <c r="N12" s="835" t="s">
        <v>144</v>
      </c>
      <c r="O12" s="249"/>
      <c r="P12" s="834" t="s">
        <v>131</v>
      </c>
      <c r="Q12" s="249"/>
      <c r="R12" s="834" t="s">
        <v>132</v>
      </c>
      <c r="S12" s="249"/>
      <c r="T12" s="835" t="s">
        <v>133</v>
      </c>
      <c r="U12" s="249"/>
      <c r="V12" s="834" t="s">
        <v>134</v>
      </c>
      <c r="W12" s="249"/>
      <c r="X12" s="835" t="s">
        <v>185</v>
      </c>
      <c r="Y12" s="249"/>
      <c r="Z12" s="249"/>
      <c r="AA12" s="3255">
        <f>'Cashflow Governmental'!AB14</f>
        <v>2021</v>
      </c>
      <c r="AB12" s="3255"/>
      <c r="AC12" s="3270"/>
      <c r="AD12" s="3459">
        <f>'Cashflow Governmental'!AE14</f>
        <v>2020</v>
      </c>
      <c r="AE12" s="1151"/>
      <c r="AF12" s="1151"/>
      <c r="AG12" s="1138" t="s">
        <v>12</v>
      </c>
      <c r="AH12" s="1139"/>
      <c r="AI12" s="1138" t="s">
        <v>13</v>
      </c>
    </row>
    <row r="13" spans="1:35" s="1664" customFormat="1" ht="19.350000000000001" customHeight="1">
      <c r="A13" s="1653" t="s">
        <v>136</v>
      </c>
      <c r="B13" s="1684">
        <v>-1.1000000000000001</v>
      </c>
      <c r="C13" s="1655"/>
      <c r="D13" s="1684">
        <f>B38</f>
        <v>-5.3</v>
      </c>
      <c r="E13" s="1655"/>
      <c r="F13" s="1684">
        <f>D38</f>
        <v>-9.3000000000000007</v>
      </c>
      <c r="G13" s="1685"/>
      <c r="H13" s="1684">
        <f>F38</f>
        <v>-15.3</v>
      </c>
      <c r="I13" s="1685"/>
      <c r="J13" s="1684">
        <f>H38</f>
        <v>-1.7</v>
      </c>
      <c r="K13" s="1685"/>
      <c r="L13" s="1684">
        <f>J38</f>
        <v>-5.9</v>
      </c>
      <c r="M13" s="1685"/>
      <c r="N13" s="1684">
        <f>L38</f>
        <v>-4.2</v>
      </c>
      <c r="O13" s="1685"/>
      <c r="P13" s="1684">
        <f>N38</f>
        <v>-2.9</v>
      </c>
      <c r="Q13" s="1685"/>
      <c r="R13" s="1684">
        <f>P38</f>
        <v>-3.6</v>
      </c>
      <c r="S13" s="1685"/>
      <c r="T13" s="1684">
        <f>R38</f>
        <v>-1.3</v>
      </c>
      <c r="U13" s="1685"/>
      <c r="V13" s="1684"/>
      <c r="W13" s="1685"/>
      <c r="X13" s="1684"/>
      <c r="Y13" s="1657"/>
      <c r="Z13" s="1658"/>
      <c r="AA13" s="1684">
        <f>B13</f>
        <v>-1.1000000000000001</v>
      </c>
      <c r="AB13" s="1657"/>
      <c r="AC13" s="3274"/>
      <c r="AD13" s="1684">
        <v>-3</v>
      </c>
      <c r="AE13" s="1659"/>
      <c r="AF13" s="1660"/>
      <c r="AG13" s="1661">
        <f>ROUND(SUM(AA13-AD13),1)</f>
        <v>1.9</v>
      </c>
      <c r="AH13" s="1662"/>
      <c r="AI13" s="2123">
        <f>-ROUND(IF(AG13=0,0,AG13/(AD13)),3)</f>
        <v>0.63300000000000001</v>
      </c>
    </row>
    <row r="14" spans="1:35" s="391" customFormat="1" ht="19.350000000000001" customHeight="1">
      <c r="A14" s="149"/>
      <c r="B14" s="379"/>
      <c r="C14" s="379"/>
      <c r="D14" s="379"/>
      <c r="E14" s="379"/>
      <c r="F14" s="3726"/>
      <c r="G14" s="838"/>
      <c r="H14" s="839"/>
      <c r="I14" s="839"/>
      <c r="J14" s="839"/>
      <c r="K14" s="838"/>
      <c r="L14" s="839"/>
      <c r="M14" s="839"/>
      <c r="N14" s="839"/>
      <c r="O14" s="839"/>
      <c r="P14" s="839"/>
      <c r="Q14" s="839"/>
      <c r="R14" s="839"/>
      <c r="S14" s="839"/>
      <c r="T14" s="839"/>
      <c r="U14" s="839"/>
      <c r="V14" s="839"/>
      <c r="W14" s="839"/>
      <c r="X14" s="839"/>
      <c r="Y14" s="840"/>
      <c r="Z14" s="841"/>
      <c r="AA14" s="3236"/>
      <c r="AB14" s="3275"/>
      <c r="AC14" s="3276"/>
      <c r="AD14" s="3236"/>
      <c r="AE14" s="1156"/>
      <c r="AF14" s="1153"/>
      <c r="AG14" s="1141"/>
      <c r="AH14" s="1133"/>
      <c r="AI14" s="1132"/>
    </row>
    <row r="15" spans="1:35" s="391" customFormat="1" ht="19.350000000000001" customHeight="1">
      <c r="A15" s="249" t="s">
        <v>14</v>
      </c>
      <c r="B15" s="379"/>
      <c r="C15" s="379"/>
      <c r="D15" s="379"/>
      <c r="E15" s="379"/>
      <c r="F15" s="3726"/>
      <c r="G15" s="838"/>
      <c r="H15" s="839"/>
      <c r="I15" s="839"/>
      <c r="J15" s="839"/>
      <c r="K15" s="838"/>
      <c r="L15" s="839"/>
      <c r="M15" s="839"/>
      <c r="N15" s="839"/>
      <c r="O15" s="839"/>
      <c r="P15" s="839"/>
      <c r="Q15" s="839"/>
      <c r="R15" s="839"/>
      <c r="S15" s="839"/>
      <c r="T15" s="839"/>
      <c r="U15" s="839"/>
      <c r="V15" s="839"/>
      <c r="W15" s="839"/>
      <c r="X15" s="839"/>
      <c r="Y15" s="840"/>
      <c r="Z15" s="841"/>
      <c r="AA15" s="3236"/>
      <c r="AB15" s="3275"/>
      <c r="AC15" s="3276"/>
      <c r="AD15" s="3236"/>
      <c r="AE15" s="1156"/>
      <c r="AF15" s="1153"/>
      <c r="AG15" s="1141"/>
      <c r="AH15" s="1133"/>
      <c r="AI15" s="1132"/>
    </row>
    <row r="16" spans="1:35" s="391" customFormat="1" ht="19.350000000000001" customHeight="1">
      <c r="A16" s="843" t="s">
        <v>178</v>
      </c>
      <c r="B16" s="2161">
        <v>8.3000000000000007</v>
      </c>
      <c r="C16" s="237"/>
      <c r="D16" s="2161">
        <v>5.5</v>
      </c>
      <c r="E16" s="237"/>
      <c r="F16" s="3727">
        <v>5.3999999999999986</v>
      </c>
      <c r="G16" s="237"/>
      <c r="H16" s="3727">
        <v>23.500000000000007</v>
      </c>
      <c r="I16" s="1667"/>
      <c r="J16" s="3727">
        <v>5.5999999999999943</v>
      </c>
      <c r="K16" s="1579"/>
      <c r="L16" s="2161">
        <v>14.299999999999997</v>
      </c>
      <c r="M16" s="1668"/>
      <c r="N16" s="1666">
        <v>11.000000000000014</v>
      </c>
      <c r="O16" s="1668"/>
      <c r="P16" s="1666">
        <v>5.5999999999999943</v>
      </c>
      <c r="Q16" s="1668"/>
      <c r="R16" s="1666">
        <v>15.800000000000004</v>
      </c>
      <c r="S16" s="1668"/>
      <c r="T16" s="1666">
        <f>$AA16-$B16-$D16-$F16-$H16-$J16-$L16-$N16-$P16-$R16</f>
        <v>5.5999999999999943</v>
      </c>
      <c r="U16" s="1668"/>
      <c r="V16" s="1666"/>
      <c r="W16" s="1668"/>
      <c r="X16" s="1666"/>
      <c r="Y16" s="1669"/>
      <c r="Z16" s="1670"/>
      <c r="AA16" s="1666">
        <v>100.6</v>
      </c>
      <c r="AB16" s="1669"/>
      <c r="AC16" s="1668"/>
      <c r="AD16" s="1666">
        <v>118.1</v>
      </c>
      <c r="AE16" s="1157"/>
      <c r="AF16" s="1125"/>
      <c r="AG16" s="1143">
        <f>ROUND(SUM(AA16-AD16),1)</f>
        <v>-17.5</v>
      </c>
      <c r="AH16" s="1133"/>
      <c r="AI16" s="1148">
        <f>ROUND(IF(AG16=0,0,AG16/ABS(AD16)),3)</f>
        <v>-0.14799999999999999</v>
      </c>
    </row>
    <row r="17" spans="1:35" s="391" customFormat="1" ht="24" customHeight="1">
      <c r="A17" s="249" t="s">
        <v>150</v>
      </c>
      <c r="B17" s="2150">
        <f>ROUND(SUM(B16),1)</f>
        <v>8.3000000000000007</v>
      </c>
      <c r="C17" s="382"/>
      <c r="D17" s="848">
        <f>ROUND(SUM(D16),1)</f>
        <v>5.5</v>
      </c>
      <c r="E17" s="382"/>
      <c r="F17" s="3728">
        <f>ROUND(SUM(F16),1)</f>
        <v>5.4</v>
      </c>
      <c r="G17" s="382"/>
      <c r="H17" s="848">
        <f>ROUND(SUM(H16),1)</f>
        <v>23.5</v>
      </c>
      <c r="I17" s="849"/>
      <c r="J17" s="848">
        <f>ROUND(SUM(J16),1)</f>
        <v>5.6</v>
      </c>
      <c r="K17" s="382"/>
      <c r="L17" s="848">
        <f>ROUND(SUM(L16),1)</f>
        <v>14.3</v>
      </c>
      <c r="M17" s="850"/>
      <c r="N17" s="848">
        <f>ROUND(SUM(N16),1)</f>
        <v>11</v>
      </c>
      <c r="O17" s="850"/>
      <c r="P17" s="848">
        <f>ROUND(SUM(P16),1)</f>
        <v>5.6</v>
      </c>
      <c r="Q17" s="850"/>
      <c r="R17" s="2150">
        <f>ROUND(SUM(R16),1)</f>
        <v>15.8</v>
      </c>
      <c r="S17" s="850"/>
      <c r="T17" s="848">
        <f>ROUND(SUM(T16),1)</f>
        <v>5.6</v>
      </c>
      <c r="U17" s="850"/>
      <c r="V17" s="848">
        <f>ROUND(SUM(V16),1)</f>
        <v>0</v>
      </c>
      <c r="W17" s="850"/>
      <c r="X17" s="848">
        <f>ROUND(SUM(X16),1)</f>
        <v>0</v>
      </c>
      <c r="Y17" s="851"/>
      <c r="Z17" s="852"/>
      <c r="AA17" s="1700">
        <f>ROUND(SUM(AA16),1)</f>
        <v>100.6</v>
      </c>
      <c r="AB17" s="3277"/>
      <c r="AC17" s="3278"/>
      <c r="AD17" s="1700">
        <f>ROUND(SUM(AD16),1)</f>
        <v>118.1</v>
      </c>
      <c r="AE17" s="1158"/>
      <c r="AF17" s="1125"/>
      <c r="AG17" s="1165">
        <f>ROUND(SUM(AG16),1)</f>
        <v>-17.5</v>
      </c>
      <c r="AH17" s="1166"/>
      <c r="AI17" s="1167">
        <f>ROUND(IF(AG17=0,0,AG17/ABS(AD17)),3)</f>
        <v>-0.14799999999999999</v>
      </c>
    </row>
    <row r="18" spans="1:35" s="391" customFormat="1" ht="19.350000000000001" customHeight="1">
      <c r="A18" s="149"/>
      <c r="B18" s="381"/>
      <c r="C18" s="237"/>
      <c r="D18" s="381" t="s">
        <v>15</v>
      </c>
      <c r="E18" s="237"/>
      <c r="F18" s="2200"/>
      <c r="G18" s="237"/>
      <c r="H18" s="853"/>
      <c r="I18" s="845"/>
      <c r="J18" s="853"/>
      <c r="K18" s="237"/>
      <c r="L18" s="853"/>
      <c r="M18" s="845"/>
      <c r="N18" s="853"/>
      <c r="O18" s="845"/>
      <c r="P18" s="853"/>
      <c r="Q18" s="845"/>
      <c r="R18" s="853"/>
      <c r="S18" s="845"/>
      <c r="T18" s="853"/>
      <c r="U18" s="845"/>
      <c r="V18" s="853"/>
      <c r="W18" s="845"/>
      <c r="X18" s="853"/>
      <c r="Y18" s="846"/>
      <c r="Z18" s="847"/>
      <c r="AA18" s="2200"/>
      <c r="AB18" s="1669"/>
      <c r="AC18" s="1667"/>
      <c r="AD18" s="2200"/>
      <c r="AE18" s="1143"/>
      <c r="AF18" s="1125"/>
      <c r="AG18" s="1143"/>
      <c r="AH18" s="1133"/>
      <c r="AI18" s="1132"/>
    </row>
    <row r="19" spans="1:35" s="391" customFormat="1" ht="19.350000000000001" customHeight="1">
      <c r="A19" s="149"/>
      <c r="B19" s="237"/>
      <c r="C19" s="237"/>
      <c r="D19" s="237" t="s">
        <v>15</v>
      </c>
      <c r="E19" s="237"/>
      <c r="F19" s="1579"/>
      <c r="G19" s="237"/>
      <c r="H19" s="845"/>
      <c r="I19" s="845"/>
      <c r="J19" s="845"/>
      <c r="K19" s="237"/>
      <c r="L19" s="845"/>
      <c r="M19" s="845"/>
      <c r="N19" s="845"/>
      <c r="O19" s="845"/>
      <c r="P19" s="845"/>
      <c r="Q19" s="845"/>
      <c r="R19" s="845"/>
      <c r="S19" s="845"/>
      <c r="T19" s="845"/>
      <c r="U19" s="845"/>
      <c r="V19" s="845"/>
      <c r="W19" s="845"/>
      <c r="X19" s="845"/>
      <c r="Y19" s="846"/>
      <c r="Z19" s="847"/>
      <c r="AA19" s="1579"/>
      <c r="AB19" s="1669"/>
      <c r="AC19" s="1668"/>
      <c r="AD19" s="1579"/>
      <c r="AE19" s="1159"/>
      <c r="AF19" s="1125"/>
      <c r="AG19" s="1143"/>
      <c r="AH19" s="1133"/>
      <c r="AI19" s="1132"/>
    </row>
    <row r="20" spans="1:35" s="391" customFormat="1" ht="19.350000000000001" customHeight="1">
      <c r="A20" s="249" t="s">
        <v>23</v>
      </c>
      <c r="B20" s="237"/>
      <c r="C20" s="237"/>
      <c r="D20" s="237" t="s">
        <v>15</v>
      </c>
      <c r="E20" s="237"/>
      <c r="F20" s="1579"/>
      <c r="G20" s="237"/>
      <c r="H20" s="845"/>
      <c r="I20" s="845"/>
      <c r="J20" s="845"/>
      <c r="K20" s="237"/>
      <c r="L20" s="845"/>
      <c r="M20" s="845"/>
      <c r="N20" s="845"/>
      <c r="O20" s="845"/>
      <c r="P20" s="845"/>
      <c r="Q20" s="845"/>
      <c r="R20" s="845"/>
      <c r="S20" s="845"/>
      <c r="T20" s="845"/>
      <c r="U20" s="845"/>
      <c r="V20" s="845"/>
      <c r="W20" s="845"/>
      <c r="X20" s="845"/>
      <c r="Y20" s="846"/>
      <c r="Z20" s="847"/>
      <c r="AA20" s="1579"/>
      <c r="AB20" s="1669"/>
      <c r="AC20" s="1668"/>
      <c r="AD20" s="1579"/>
      <c r="AE20" s="1159"/>
      <c r="AF20" s="1125"/>
      <c r="AG20" s="1143"/>
      <c r="AH20" s="1133"/>
      <c r="AI20" s="1132"/>
    </row>
    <row r="21" spans="1:35" s="391" customFormat="1" ht="19.350000000000001" customHeight="1">
      <c r="A21" s="149" t="s">
        <v>152</v>
      </c>
      <c r="B21" s="238"/>
      <c r="C21" s="237"/>
      <c r="D21" s="237"/>
      <c r="E21" s="237"/>
      <c r="F21" s="1579"/>
      <c r="G21" s="237"/>
      <c r="H21" s="845"/>
      <c r="I21" s="845"/>
      <c r="J21" s="845"/>
      <c r="K21" s="237"/>
      <c r="L21" s="845"/>
      <c r="M21" s="845"/>
      <c r="N21" s="845"/>
      <c r="O21" s="845"/>
      <c r="P21" s="845"/>
      <c r="Q21" s="845"/>
      <c r="R21" s="845"/>
      <c r="S21" s="845"/>
      <c r="T21" s="845"/>
      <c r="U21" s="845"/>
      <c r="V21" s="845"/>
      <c r="W21" s="845"/>
      <c r="X21" s="845"/>
      <c r="Y21" s="846"/>
      <c r="Z21" s="847"/>
      <c r="AA21" s="1675"/>
      <c r="AB21" s="3751"/>
      <c r="AC21" s="3752"/>
      <c r="AD21" s="1675"/>
      <c r="AE21" s="1160"/>
      <c r="AF21" s="1126"/>
      <c r="AG21" s="1143"/>
      <c r="AH21" s="1133"/>
      <c r="AI21" s="1132"/>
    </row>
    <row r="22" spans="1:35" s="1664" customFormat="1" ht="19.350000000000001" customHeight="1">
      <c r="A22" s="193" t="s">
        <v>218</v>
      </c>
      <c r="B22" s="854">
        <v>8.3000000000000007</v>
      </c>
      <c r="C22" s="237"/>
      <c r="D22" s="854">
        <v>5.5</v>
      </c>
      <c r="E22" s="237"/>
      <c r="F22" s="1688">
        <v>5.5999999999999979</v>
      </c>
      <c r="G22" s="237"/>
      <c r="H22" s="854">
        <v>5.5</v>
      </c>
      <c r="I22" s="1668"/>
      <c r="J22" s="1688">
        <v>5.5</v>
      </c>
      <c r="K22" s="1579"/>
      <c r="L22" s="854">
        <v>8.3000000000000043</v>
      </c>
      <c r="M22" s="1668"/>
      <c r="N22" s="1688">
        <v>5.5999999999999979</v>
      </c>
      <c r="O22" s="1668"/>
      <c r="P22" s="1688">
        <v>5.5</v>
      </c>
      <c r="Q22" s="1668"/>
      <c r="R22" s="1688">
        <v>5.5999999999999979</v>
      </c>
      <c r="S22" s="1668"/>
      <c r="T22" s="1688">
        <f t="shared" ref="T22:T24" si="0">$AA22-$B22-$D22-$F22-$H22-$J22-$L22-$N22-$P22-$R22</f>
        <v>5.5</v>
      </c>
      <c r="U22" s="1668"/>
      <c r="V22" s="1688"/>
      <c r="W22" s="1668"/>
      <c r="X22" s="1688"/>
      <c r="Y22" s="1669"/>
      <c r="Z22" s="1670"/>
      <c r="AA22" s="1688">
        <v>60.9</v>
      </c>
      <c r="AB22" s="1669"/>
      <c r="AC22" s="1668"/>
      <c r="AD22" s="1688">
        <v>57.199999999999996</v>
      </c>
      <c r="AE22" s="1677"/>
      <c r="AF22" s="1678"/>
      <c r="AG22" s="1689">
        <f>ROUND(SUM(AA22-AD22),1)</f>
        <v>3.7</v>
      </c>
      <c r="AH22" s="1662"/>
      <c r="AI22" s="1674">
        <f>ROUND(IF(AG22=0,0,AG22/ABS(AD22)),3)</f>
        <v>6.5000000000000002E-2</v>
      </c>
    </row>
    <row r="23" spans="1:35" s="391" customFormat="1" ht="19.350000000000001" customHeight="1">
      <c r="A23" s="843" t="s">
        <v>170</v>
      </c>
      <c r="B23" s="854">
        <v>0.7</v>
      </c>
      <c r="C23" s="237"/>
      <c r="D23" s="854">
        <v>0.60000000000000009</v>
      </c>
      <c r="E23" s="237"/>
      <c r="F23" s="1688">
        <v>0.59999999999999987</v>
      </c>
      <c r="G23" s="237"/>
      <c r="H23" s="854">
        <v>1.0000000000000002</v>
      </c>
      <c r="I23" s="1668"/>
      <c r="J23" s="1688">
        <v>0.89999999999999947</v>
      </c>
      <c r="K23" s="1579"/>
      <c r="L23" s="854">
        <v>0.7999999999999996</v>
      </c>
      <c r="M23" s="1668"/>
      <c r="N23" s="1688">
        <v>0.7000000000000004</v>
      </c>
      <c r="O23" s="1668"/>
      <c r="P23" s="1688">
        <v>0.70000000000000018</v>
      </c>
      <c r="Q23" s="1668"/>
      <c r="R23" s="1688">
        <v>2.6999999999999993</v>
      </c>
      <c r="S23" s="1668"/>
      <c r="T23" s="1688">
        <f t="shared" si="0"/>
        <v>2.2000000000000028</v>
      </c>
      <c r="U23" s="1668"/>
      <c r="V23" s="1688"/>
      <c r="W23" s="1668"/>
      <c r="X23" s="1688"/>
      <c r="Y23" s="1669"/>
      <c r="Z23" s="1670"/>
      <c r="AA23" s="1688">
        <v>10.9</v>
      </c>
      <c r="AB23" s="1669"/>
      <c r="AC23" s="1668"/>
      <c r="AD23" s="1688">
        <v>30.7</v>
      </c>
      <c r="AE23" s="1160"/>
      <c r="AF23" s="1126"/>
      <c r="AG23" s="1143">
        <f>ROUND(SUM(AA23-AD23),1)</f>
        <v>-19.8</v>
      </c>
      <c r="AH23" s="1147"/>
      <c r="AI23" s="1148">
        <f>ROUND(IF(AG23=0,0,AG23/ABS(AD23)),3)</f>
        <v>-0.64500000000000002</v>
      </c>
    </row>
    <row r="24" spans="1:35" s="1664" customFormat="1" ht="19.350000000000001" customHeight="1">
      <c r="A24" s="193" t="s">
        <v>155</v>
      </c>
      <c r="B24" s="854">
        <v>3.5</v>
      </c>
      <c r="C24" s="237"/>
      <c r="D24" s="2161">
        <v>3.4000000000000004</v>
      </c>
      <c r="E24" s="237"/>
      <c r="F24" s="1688">
        <v>5.1999999999999993</v>
      </c>
      <c r="G24" s="237"/>
      <c r="H24" s="2161">
        <v>3.4000000000000004</v>
      </c>
      <c r="I24" s="1668"/>
      <c r="J24" s="3727">
        <v>3.3999999999999986</v>
      </c>
      <c r="K24" s="1579"/>
      <c r="L24" s="2161">
        <v>3.5000000000000036</v>
      </c>
      <c r="M24" s="1668"/>
      <c r="N24" s="1688">
        <v>3.3999999999999968</v>
      </c>
      <c r="O24" s="1668"/>
      <c r="P24" s="1688">
        <v>0.10000000000000142</v>
      </c>
      <c r="Q24" s="1668"/>
      <c r="R24" s="1666">
        <v>5.2000000000000028</v>
      </c>
      <c r="S24" s="1668"/>
      <c r="T24" s="1688">
        <f t="shared" si="0"/>
        <v>3.3999999999999968</v>
      </c>
      <c r="U24" s="1668"/>
      <c r="V24" s="1688"/>
      <c r="W24" s="1668"/>
      <c r="X24" s="1688"/>
      <c r="Y24" s="1669"/>
      <c r="Z24" s="1670"/>
      <c r="AA24" s="3753">
        <v>34.5</v>
      </c>
      <c r="AB24" s="1669"/>
      <c r="AC24" s="1668"/>
      <c r="AD24" s="3753">
        <v>33.299999999999997</v>
      </c>
      <c r="AE24" s="1676"/>
      <c r="AF24" s="1678"/>
      <c r="AG24" s="1689">
        <f>ROUND(SUM(AA24-AD24),1)</f>
        <v>1.2</v>
      </c>
      <c r="AH24" s="1662"/>
      <c r="AI24" s="1148">
        <f>ROUND(IF(AD24=0,1,AG24/ABS(AD24)),3)</f>
        <v>3.5999999999999997E-2</v>
      </c>
    </row>
    <row r="25" spans="1:35" s="391" customFormat="1" ht="22.5" customHeight="1">
      <c r="A25" s="249" t="s">
        <v>156</v>
      </c>
      <c r="B25" s="2112">
        <f>ROUND(SUM(B22)+SUM(B23)+SUM(B24),1)</f>
        <v>12.5</v>
      </c>
      <c r="C25" s="382"/>
      <c r="D25" s="855">
        <f>ROUND(SUM(D22)+SUM(D23)+SUM(D24),1)</f>
        <v>9.5</v>
      </c>
      <c r="E25" s="382"/>
      <c r="F25" s="3295">
        <f>ROUND(SUM(F22)+SUM(F23)+SUM(F24),1)</f>
        <v>11.4</v>
      </c>
      <c r="G25" s="855"/>
      <c r="H25" s="855">
        <f>ROUND(SUM(H22)+SUM(H23)+SUM(H24),1)</f>
        <v>9.9</v>
      </c>
      <c r="I25" s="850"/>
      <c r="J25" s="2117">
        <f>ROUND(SUM(J22)+SUM(J23)+SUM(J24),1)</f>
        <v>9.8000000000000007</v>
      </c>
      <c r="K25" s="382"/>
      <c r="L25" s="2117">
        <f>ROUND(SUM(L22)+SUM(L23)+SUM(L24),1)</f>
        <v>12.6</v>
      </c>
      <c r="M25" s="850"/>
      <c r="N25" s="2117">
        <f>ROUND(SUM(N22)+SUM(N23)+SUM(N24),1)</f>
        <v>9.6999999999999993</v>
      </c>
      <c r="O25" s="850"/>
      <c r="P25" s="2117">
        <f>ROUND(SUM(P22)+SUM(P23)+SUM(P24),1)</f>
        <v>6.3</v>
      </c>
      <c r="Q25" s="850"/>
      <c r="R25" s="2112">
        <f>ROUND(SUM(R22)+SUM(R23)+SUM(R24),1)</f>
        <v>13.5</v>
      </c>
      <c r="S25" s="850"/>
      <c r="T25" s="2112">
        <f>ROUND(SUM(T22)+SUM(T23)+SUM(T24),1)</f>
        <v>11.1</v>
      </c>
      <c r="U25" s="850"/>
      <c r="V25" s="2117">
        <f>ROUND(SUM(V22)+SUM(V23)+SUM(V24),1)</f>
        <v>0</v>
      </c>
      <c r="W25" s="850"/>
      <c r="X25" s="2117">
        <f>ROUND(SUM(X22)+SUM(X23)+SUM(X24),1)</f>
        <v>0</v>
      </c>
      <c r="Y25" s="851"/>
      <c r="Z25" s="852"/>
      <c r="AA25" s="2199">
        <f>ROUND(SUM(AA22:AA24),1)</f>
        <v>106.3</v>
      </c>
      <c r="AB25" s="3277"/>
      <c r="AC25" s="3278"/>
      <c r="AD25" s="2199">
        <f>ROUND(SUM(AD22:AD24),1)</f>
        <v>121.2</v>
      </c>
      <c r="AE25" s="1161"/>
      <c r="AF25" s="1126"/>
      <c r="AG25" s="1165">
        <f>ROUND(SUM(AG22:AG24),1)</f>
        <v>-14.9</v>
      </c>
      <c r="AH25" s="1144"/>
      <c r="AI25" s="1167">
        <f>ROUND(IF(AG25=0,0,AG25/ABS(AD25)),3)</f>
        <v>-0.123</v>
      </c>
    </row>
    <row r="26" spans="1:35" s="391" customFormat="1" ht="19.350000000000001" customHeight="1">
      <c r="A26" s="149"/>
      <c r="B26" s="381"/>
      <c r="C26" s="237"/>
      <c r="D26" s="381" t="s">
        <v>15</v>
      </c>
      <c r="E26" s="237"/>
      <c r="F26" s="2200"/>
      <c r="G26" s="237"/>
      <c r="H26" s="853"/>
      <c r="I26" s="845"/>
      <c r="J26" s="853"/>
      <c r="K26" s="237"/>
      <c r="L26" s="853"/>
      <c r="M26" s="845"/>
      <c r="N26" s="853"/>
      <c r="O26" s="845"/>
      <c r="P26" s="853"/>
      <c r="Q26" s="845"/>
      <c r="R26" s="853"/>
      <c r="S26" s="845"/>
      <c r="T26" s="853"/>
      <c r="U26" s="845"/>
      <c r="V26" s="853"/>
      <c r="W26" s="845"/>
      <c r="X26" s="853"/>
      <c r="Y26" s="846"/>
      <c r="Z26" s="847"/>
      <c r="AA26" s="2200"/>
      <c r="AB26" s="1669"/>
      <c r="AC26" s="1667"/>
      <c r="AD26" s="2200"/>
      <c r="AE26" s="1143"/>
      <c r="AF26" s="1125"/>
      <c r="AG26" s="1143"/>
      <c r="AH26" s="1133"/>
      <c r="AI26" s="1132"/>
    </row>
    <row r="27" spans="1:35" s="391" customFormat="1" ht="19.350000000000001" customHeight="1">
      <c r="A27" s="249" t="s">
        <v>157</v>
      </c>
      <c r="B27" s="237"/>
      <c r="C27" s="237"/>
      <c r="D27" s="241" t="s">
        <v>15</v>
      </c>
      <c r="E27" s="237"/>
      <c r="F27" s="1579"/>
      <c r="G27" s="237"/>
      <c r="H27" s="845"/>
      <c r="I27" s="845"/>
      <c r="J27" s="845"/>
      <c r="K27" s="237"/>
      <c r="L27" s="845"/>
      <c r="M27" s="845"/>
      <c r="N27" s="845"/>
      <c r="O27" s="845"/>
      <c r="P27" s="845"/>
      <c r="Q27" s="845"/>
      <c r="R27" s="845"/>
      <c r="S27" s="845"/>
      <c r="T27" s="845"/>
      <c r="U27" s="845"/>
      <c r="V27" s="845"/>
      <c r="W27" s="845"/>
      <c r="X27" s="845"/>
      <c r="Y27" s="846"/>
      <c r="Z27" s="847"/>
      <c r="AA27" s="1579"/>
      <c r="AB27" s="1669"/>
      <c r="AC27" s="1668"/>
      <c r="AD27" s="1579"/>
      <c r="AE27" s="1159"/>
      <c r="AF27" s="1125"/>
      <c r="AG27" s="1143"/>
      <c r="AH27" s="1133"/>
      <c r="AI27" s="1132"/>
    </row>
    <row r="28" spans="1:35" s="391" customFormat="1" ht="18.75" customHeight="1">
      <c r="A28" s="249" t="s">
        <v>45</v>
      </c>
      <c r="B28" s="856">
        <f>ROUND(B17-B25,1)</f>
        <v>-4.2</v>
      </c>
      <c r="C28" s="382"/>
      <c r="D28" s="856">
        <f>ROUND(D17-D25,1)</f>
        <v>-4</v>
      </c>
      <c r="E28" s="382"/>
      <c r="F28" s="3729">
        <f>ROUND(F17-F25,1)</f>
        <v>-6</v>
      </c>
      <c r="G28" s="382"/>
      <c r="H28" s="856">
        <f>ROUND(H17-H25,1)</f>
        <v>13.6</v>
      </c>
      <c r="I28" s="383"/>
      <c r="J28" s="856">
        <f>ROUND(J17-J25,1)</f>
        <v>-4.2</v>
      </c>
      <c r="K28" s="382"/>
      <c r="L28" s="856">
        <f>ROUND(L17-L25,1)</f>
        <v>1.7</v>
      </c>
      <c r="M28" s="850"/>
      <c r="N28" s="856">
        <f>ROUND(N17-N25,1)</f>
        <v>1.3</v>
      </c>
      <c r="O28" s="850"/>
      <c r="P28" s="856">
        <f>ROUND(P17-P25,1)</f>
        <v>-0.7</v>
      </c>
      <c r="Q28" s="850"/>
      <c r="R28" s="856">
        <f>ROUND(R17-R25,1)</f>
        <v>2.2999999999999998</v>
      </c>
      <c r="S28" s="850"/>
      <c r="T28" s="856">
        <f>ROUND(T17-T25,1)</f>
        <v>-5.5</v>
      </c>
      <c r="U28" s="850"/>
      <c r="V28" s="856">
        <f>ROUND(V17-V25,1)</f>
        <v>0</v>
      </c>
      <c r="W28" s="850"/>
      <c r="X28" s="856">
        <f>ROUND(X17-X25,1)</f>
        <v>0</v>
      </c>
      <c r="Y28" s="851"/>
      <c r="Z28" s="852"/>
      <c r="AA28" s="3279">
        <f>ROUND(AA17-AA25,1)</f>
        <v>-5.7</v>
      </c>
      <c r="AB28" s="3277"/>
      <c r="AC28" s="3754"/>
      <c r="AD28" s="3279">
        <f>ROUND(AD17-AD25,1)</f>
        <v>-3.1</v>
      </c>
      <c r="AE28" s="1162"/>
      <c r="AF28" s="1126"/>
      <c r="AG28" s="1412">
        <f>ROUND(SUM(AA28-AD28),1)</f>
        <v>-2.6</v>
      </c>
      <c r="AH28" s="1133"/>
      <c r="AI28" s="1586">
        <f>ROUND(IF(AG28=0,0,AG28/ABS(AD28)),3)</f>
        <v>-0.83899999999999997</v>
      </c>
    </row>
    <row r="29" spans="1:35" s="391" customFormat="1" ht="19.350000000000001" customHeight="1">
      <c r="A29" s="149"/>
      <c r="B29" s="241"/>
      <c r="C29" s="237"/>
      <c r="D29" s="241" t="s">
        <v>15</v>
      </c>
      <c r="E29" s="237"/>
      <c r="F29" s="1673"/>
      <c r="G29" s="237"/>
      <c r="H29" s="844"/>
      <c r="I29" s="845"/>
      <c r="J29" s="844"/>
      <c r="K29" s="237"/>
      <c r="L29" s="844"/>
      <c r="M29" s="845"/>
      <c r="N29" s="853"/>
      <c r="O29" s="845"/>
      <c r="P29" s="844"/>
      <c r="Q29" s="845"/>
      <c r="R29" s="853"/>
      <c r="S29" s="845"/>
      <c r="T29" s="844"/>
      <c r="U29" s="845"/>
      <c r="V29" s="844"/>
      <c r="W29" s="845"/>
      <c r="X29" s="853"/>
      <c r="Y29" s="846"/>
      <c r="Z29" s="847"/>
      <c r="AA29" s="1673"/>
      <c r="AB29" s="1669"/>
      <c r="AC29" s="1667"/>
      <c r="AD29" s="1673"/>
      <c r="AE29" s="1143"/>
      <c r="AF29" s="1127"/>
      <c r="AG29" s="1143"/>
      <c r="AH29" s="1133"/>
      <c r="AI29" s="1132"/>
    </row>
    <row r="30" spans="1:35" s="391" customFormat="1" ht="19.350000000000001" customHeight="1">
      <c r="A30" s="249" t="s">
        <v>46</v>
      </c>
      <c r="B30" s="237"/>
      <c r="C30" s="237"/>
      <c r="D30" s="237"/>
      <c r="E30" s="237"/>
      <c r="F30" s="1579"/>
      <c r="G30" s="237"/>
      <c r="H30" s="845"/>
      <c r="I30" s="845"/>
      <c r="J30" s="845"/>
      <c r="K30" s="237"/>
      <c r="L30" s="845"/>
      <c r="M30" s="845"/>
      <c r="N30" s="845"/>
      <c r="O30" s="845"/>
      <c r="P30" s="845"/>
      <c r="Q30" s="845"/>
      <c r="R30" s="845"/>
      <c r="S30" s="845"/>
      <c r="T30" s="845"/>
      <c r="U30" s="845"/>
      <c r="V30" s="845"/>
      <c r="W30" s="845"/>
      <c r="X30" s="845"/>
      <c r="Y30" s="846"/>
      <c r="Z30" s="847"/>
      <c r="AA30" s="1579"/>
      <c r="AB30" s="1669"/>
      <c r="AC30" s="1668"/>
      <c r="AD30" s="1579"/>
      <c r="AE30" s="1159"/>
      <c r="AF30" s="1127"/>
      <c r="AG30" s="1143"/>
      <c r="AH30" s="1133"/>
      <c r="AI30" s="1132"/>
    </row>
    <row r="31" spans="1:35" s="391" customFormat="1" ht="19.350000000000001" customHeight="1">
      <c r="A31" s="149" t="s">
        <v>181</v>
      </c>
      <c r="B31" s="854">
        <v>0</v>
      </c>
      <c r="C31" s="237"/>
      <c r="D31" s="854">
        <v>0</v>
      </c>
      <c r="E31" s="237"/>
      <c r="F31" s="1688">
        <v>0</v>
      </c>
      <c r="G31" s="237"/>
      <c r="H31" s="854">
        <v>0</v>
      </c>
      <c r="I31" s="1668"/>
      <c r="J31" s="1688">
        <v>0</v>
      </c>
      <c r="K31" s="1579"/>
      <c r="L31" s="854">
        <v>0</v>
      </c>
      <c r="M31" s="1668"/>
      <c r="N31" s="1688">
        <v>0</v>
      </c>
      <c r="O31" s="1668"/>
      <c r="P31" s="1688">
        <v>0</v>
      </c>
      <c r="Q31" s="1668"/>
      <c r="R31" s="1688">
        <v>0</v>
      </c>
      <c r="S31" s="1668"/>
      <c r="T31" s="1688">
        <f t="shared" ref="T31:T32" si="1">$AA31-$B31-$D31-$F31-$H31-$J31-$L31-$N31-$P31-$R31</f>
        <v>0</v>
      </c>
      <c r="U31" s="1668"/>
      <c r="V31" s="1688"/>
      <c r="W31" s="1668"/>
      <c r="X31" s="1688"/>
      <c r="Y31" s="1669"/>
      <c r="Z31" s="1670"/>
      <c r="AA31" s="1688">
        <v>0</v>
      </c>
      <c r="AB31" s="1669"/>
      <c r="AC31" s="1668"/>
      <c r="AD31" s="1688">
        <v>0</v>
      </c>
      <c r="AE31" s="1160"/>
      <c r="AF31" s="1128"/>
      <c r="AG31" s="241">
        <f>ROUND(SUM(AA31-AD31),1)</f>
        <v>0</v>
      </c>
      <c r="AH31" s="1147"/>
      <c r="AI31" s="1148">
        <f>ROUND(IF(AG31=0,0,AG31/ABS(AD31)),3)</f>
        <v>0</v>
      </c>
    </row>
    <row r="32" spans="1:35" s="391" customFormat="1" ht="19.350000000000001" customHeight="1">
      <c r="A32" s="149" t="s">
        <v>182</v>
      </c>
      <c r="B32" s="2161">
        <v>0</v>
      </c>
      <c r="C32" s="237"/>
      <c r="D32" s="854">
        <v>0</v>
      </c>
      <c r="E32" s="237"/>
      <c r="F32" s="1688">
        <v>0</v>
      </c>
      <c r="G32" s="237"/>
      <c r="H32" s="854">
        <v>0</v>
      </c>
      <c r="I32" s="1668"/>
      <c r="J32" s="1688">
        <v>0</v>
      </c>
      <c r="K32" s="1579"/>
      <c r="L32" s="854">
        <v>0</v>
      </c>
      <c r="M32" s="1668"/>
      <c r="N32" s="1688">
        <v>0</v>
      </c>
      <c r="O32" s="1668"/>
      <c r="P32" s="1688">
        <v>0</v>
      </c>
      <c r="Q32" s="1668"/>
      <c r="R32" s="1688">
        <v>0</v>
      </c>
      <c r="S32" s="1668"/>
      <c r="T32" s="1688">
        <f t="shared" si="1"/>
        <v>0</v>
      </c>
      <c r="U32" s="1668"/>
      <c r="V32" s="1688"/>
      <c r="W32" s="1668"/>
      <c r="X32" s="1688"/>
      <c r="Y32" s="1669"/>
      <c r="Z32" s="1670"/>
      <c r="AA32" s="3753">
        <v>0</v>
      </c>
      <c r="AB32" s="1669"/>
      <c r="AC32" s="1668"/>
      <c r="AD32" s="3753">
        <v>0</v>
      </c>
      <c r="AE32" s="1160"/>
      <c r="AF32" s="1127"/>
      <c r="AG32" s="241">
        <f>ROUND(SUM(AA32-AD32),1)</f>
        <v>0</v>
      </c>
      <c r="AH32" s="1147"/>
      <c r="AI32" s="1148">
        <f>ROUND(IF(AG32=0,0,AG32/ABS(AD32)),3)</f>
        <v>0</v>
      </c>
    </row>
    <row r="33" spans="1:35" s="391" customFormat="1" ht="22.5" customHeight="1">
      <c r="A33" s="249" t="s">
        <v>207</v>
      </c>
      <c r="B33" s="858">
        <f>ROUND(SUM(B31:B32),1)</f>
        <v>0</v>
      </c>
      <c r="C33" s="382"/>
      <c r="D33" s="858">
        <f>ROUND(SUM(D31:D32),1)</f>
        <v>0</v>
      </c>
      <c r="E33" s="384"/>
      <c r="F33" s="3730">
        <f>ROUND(SUM(F31:F32),1)</f>
        <v>0</v>
      </c>
      <c r="G33" s="384"/>
      <c r="H33" s="858">
        <f>ROUND(SUM(H31:H32),1)</f>
        <v>0</v>
      </c>
      <c r="I33" s="859"/>
      <c r="J33" s="858">
        <f>ROUND(SUM(J31:J32),1)</f>
        <v>0</v>
      </c>
      <c r="K33" s="384"/>
      <c r="L33" s="858">
        <f>ROUND(SUM(L31:L32),1)</f>
        <v>0</v>
      </c>
      <c r="M33" s="859"/>
      <c r="N33" s="858">
        <f>ROUND(SUM(N31:N32),1)</f>
        <v>0</v>
      </c>
      <c r="O33" s="859"/>
      <c r="P33" s="858">
        <f>ROUND(SUM(P31:P32),1)</f>
        <v>0</v>
      </c>
      <c r="Q33" s="859"/>
      <c r="R33" s="858">
        <f>ROUND(SUM(R31:R32),1)</f>
        <v>0</v>
      </c>
      <c r="S33" s="859"/>
      <c r="T33" s="858">
        <f>ROUND(SUM(T31:T32),1)</f>
        <v>0</v>
      </c>
      <c r="U33" s="859"/>
      <c r="V33" s="858">
        <f>ROUND(SUM(V31:V32),1)</f>
        <v>0</v>
      </c>
      <c r="W33" s="859"/>
      <c r="X33" s="858">
        <f>ROUND(SUM(X31:X32),1)</f>
        <v>0</v>
      </c>
      <c r="Y33" s="851"/>
      <c r="Z33" s="852"/>
      <c r="AA33" s="3280">
        <f>ROUND(SUM(AA31:AA32),1)</f>
        <v>0</v>
      </c>
      <c r="AB33" s="3755"/>
      <c r="AC33" s="3756"/>
      <c r="AD33" s="3280">
        <f>ROUND(SUM(AD31:AD32),1)</f>
        <v>0</v>
      </c>
      <c r="AE33" s="1163"/>
      <c r="AF33" s="1128"/>
      <c r="AG33" s="1165">
        <f>ROUND(SUM(AG31-AG32),1)</f>
        <v>0</v>
      </c>
      <c r="AH33" s="1151"/>
      <c r="AI33" s="1167">
        <f>ROUND(IF(AG33=0,0,AG33/ABS(AD33)),3)</f>
        <v>0</v>
      </c>
    </row>
    <row r="34" spans="1:35" s="391" customFormat="1" ht="19.350000000000001" customHeight="1">
      <c r="A34" s="149"/>
      <c r="B34" s="381"/>
      <c r="C34" s="237"/>
      <c r="D34" s="381" t="s">
        <v>15</v>
      </c>
      <c r="E34" s="237"/>
      <c r="F34" s="2200"/>
      <c r="G34" s="237"/>
      <c r="H34" s="853"/>
      <c r="I34" s="845"/>
      <c r="J34" s="853"/>
      <c r="K34" s="237"/>
      <c r="L34" s="853"/>
      <c r="M34" s="845"/>
      <c r="N34" s="853"/>
      <c r="O34" s="845"/>
      <c r="P34" s="853"/>
      <c r="Q34" s="845"/>
      <c r="R34" s="853"/>
      <c r="S34" s="845"/>
      <c r="T34" s="853"/>
      <c r="U34" s="845"/>
      <c r="V34" s="853"/>
      <c r="W34" s="845"/>
      <c r="X34" s="853"/>
      <c r="Y34" s="846"/>
      <c r="Z34" s="847"/>
      <c r="AA34" s="2200"/>
      <c r="AB34" s="1669"/>
      <c r="AC34" s="1667"/>
      <c r="AD34" s="2200"/>
      <c r="AE34" s="1143"/>
      <c r="AF34" s="1125"/>
      <c r="AG34" s="1143"/>
      <c r="AH34" s="1133"/>
      <c r="AI34" s="1132"/>
    </row>
    <row r="35" spans="1:35" s="391" customFormat="1" ht="19.350000000000001" customHeight="1">
      <c r="A35" s="249" t="s">
        <v>165</v>
      </c>
      <c r="B35" s="237"/>
      <c r="C35" s="237"/>
      <c r="D35" s="237" t="s">
        <v>15</v>
      </c>
      <c r="E35" s="237"/>
      <c r="F35" s="1579"/>
      <c r="G35" s="237"/>
      <c r="H35" s="845"/>
      <c r="I35" s="845"/>
      <c r="J35" s="845"/>
      <c r="K35" s="237"/>
      <c r="L35" s="845"/>
      <c r="M35" s="845"/>
      <c r="N35" s="845"/>
      <c r="O35" s="845"/>
      <c r="P35" s="845"/>
      <c r="Q35" s="845"/>
      <c r="R35" s="845"/>
      <c r="S35" s="845"/>
      <c r="T35" s="845"/>
      <c r="U35" s="845"/>
      <c r="V35" s="845"/>
      <c r="W35" s="845"/>
      <c r="X35" s="845"/>
      <c r="Y35" s="846"/>
      <c r="Z35" s="847"/>
      <c r="AA35" s="1579"/>
      <c r="AB35" s="1669"/>
      <c r="AC35" s="1668"/>
      <c r="AD35" s="1579"/>
      <c r="AE35" s="1159"/>
      <c r="AF35" s="1125"/>
      <c r="AG35" s="1143"/>
      <c r="AH35" s="1133"/>
      <c r="AI35" s="1132"/>
    </row>
    <row r="36" spans="1:35" s="391" customFormat="1" ht="19.350000000000001" customHeight="1">
      <c r="A36" s="249" t="s">
        <v>226</v>
      </c>
      <c r="B36" s="237"/>
      <c r="C36" s="237"/>
      <c r="D36" s="237"/>
      <c r="E36" s="237"/>
      <c r="F36" s="1579"/>
      <c r="G36" s="237"/>
      <c r="H36" s="845"/>
      <c r="I36" s="845"/>
      <c r="J36" s="845"/>
      <c r="K36" s="237"/>
      <c r="L36" s="845"/>
      <c r="M36" s="845"/>
      <c r="N36" s="845"/>
      <c r="O36" s="845"/>
      <c r="P36" s="845"/>
      <c r="Q36" s="845"/>
      <c r="R36" s="845"/>
      <c r="S36" s="845"/>
      <c r="T36" s="866"/>
      <c r="U36" s="845"/>
      <c r="V36" s="866"/>
      <c r="W36" s="845"/>
      <c r="X36" s="845"/>
      <c r="Y36" s="846"/>
      <c r="Z36" s="847"/>
      <c r="AA36" s="1579"/>
      <c r="AB36" s="1669"/>
      <c r="AC36" s="1668"/>
      <c r="AD36" s="2205"/>
      <c r="AE36" s="1164"/>
      <c r="AF36" s="1129"/>
      <c r="AG36" s="1143"/>
      <c r="AH36" s="1133"/>
      <c r="AI36" s="1132"/>
    </row>
    <row r="37" spans="1:35" s="393" customFormat="1" ht="19.350000000000001" customHeight="1">
      <c r="A37" s="249" t="s">
        <v>935</v>
      </c>
      <c r="B37" s="855">
        <f>ROUND(+B28+B33,1)</f>
        <v>-4.2</v>
      </c>
      <c r="C37" s="382"/>
      <c r="D37" s="855">
        <f>ROUND(+D28+D33,1)</f>
        <v>-4</v>
      </c>
      <c r="E37" s="384"/>
      <c r="F37" s="1700">
        <f>ROUND(+F28+F33,1)</f>
        <v>-6</v>
      </c>
      <c r="G37" s="384"/>
      <c r="H37" s="855">
        <f>ROUND(+H28+H33,1)</f>
        <v>13.6</v>
      </c>
      <c r="I37" s="859"/>
      <c r="J37" s="855">
        <f>ROUND(+J28+J33,1)</f>
        <v>-4.2</v>
      </c>
      <c r="K37" s="384"/>
      <c r="L37" s="855">
        <f>ROUND(+L28+L33,1)</f>
        <v>1.7</v>
      </c>
      <c r="M37" s="860"/>
      <c r="N37" s="855">
        <f>ROUND(+N28+N33,1)</f>
        <v>1.3</v>
      </c>
      <c r="O37" s="860"/>
      <c r="P37" s="855">
        <f>ROUND(+P28+P33,1)</f>
        <v>-0.7</v>
      </c>
      <c r="Q37" s="860"/>
      <c r="R37" s="855">
        <f>ROUND(+R28+R33,1)</f>
        <v>2.2999999999999998</v>
      </c>
      <c r="S37" s="859"/>
      <c r="T37" s="855">
        <f>ROUND(+T28+T33,1)</f>
        <v>-5.5</v>
      </c>
      <c r="U37" s="859"/>
      <c r="V37" s="855">
        <f>ROUND(+V28+V33,1)</f>
        <v>0</v>
      </c>
      <c r="W37" s="859"/>
      <c r="X37" s="855">
        <f>ROUND(+X28+X33,1)</f>
        <v>0</v>
      </c>
      <c r="Y37" s="851"/>
      <c r="Z37" s="852"/>
      <c r="AA37" s="2201">
        <f>ROUND(AA28+AA33,1)</f>
        <v>-5.7</v>
      </c>
      <c r="AB37" s="3266"/>
      <c r="AC37" s="3757"/>
      <c r="AD37" s="2201">
        <f>ROUND(AD28+AD33,1)</f>
        <v>-3.1</v>
      </c>
      <c r="AE37" s="1162"/>
      <c r="AF37" s="1130"/>
      <c r="AG37" s="1412">
        <f>ROUND(SUM(AA37-AD37),1)</f>
        <v>-2.6</v>
      </c>
      <c r="AH37" s="1133"/>
      <c r="AI37" s="1585">
        <f>ROUND(IF(AG37=0,0,AG37/ABS(AD37)),3)</f>
        <v>-0.83899999999999997</v>
      </c>
    </row>
    <row r="38" spans="1:35" s="391" customFormat="1" ht="22.5" customHeight="1" thickBot="1">
      <c r="A38" s="249" t="s">
        <v>141</v>
      </c>
      <c r="B38" s="861">
        <f>ROUND(B13+B37,1)</f>
        <v>-5.3</v>
      </c>
      <c r="C38" s="377"/>
      <c r="D38" s="861">
        <f>ROUND(D13+D37,1)</f>
        <v>-9.3000000000000007</v>
      </c>
      <c r="E38" s="377"/>
      <c r="F38" s="3281">
        <f>ROUND(F13+F37,1)</f>
        <v>-15.3</v>
      </c>
      <c r="G38" s="377"/>
      <c r="H38" s="861">
        <f>ROUND(H13+H37,1)</f>
        <v>-1.7</v>
      </c>
      <c r="I38" s="862"/>
      <c r="J38" s="861">
        <f>ROUND(J13+J37,1)</f>
        <v>-5.9</v>
      </c>
      <c r="K38" s="377"/>
      <c r="L38" s="861">
        <f>ROUND(L13+L37,1)</f>
        <v>-4.2</v>
      </c>
      <c r="M38" s="378"/>
      <c r="N38" s="861">
        <f>ROUND(N13+N37,1)</f>
        <v>-2.9</v>
      </c>
      <c r="O38" s="378"/>
      <c r="P38" s="861">
        <f>ROUND(P13+P37,1)</f>
        <v>-3.6</v>
      </c>
      <c r="Q38" s="378"/>
      <c r="R38" s="861">
        <f>ROUND(R13+R37,1)</f>
        <v>-1.3</v>
      </c>
      <c r="S38" s="862"/>
      <c r="T38" s="861">
        <f>ROUND(T13+T37,1)</f>
        <v>-6.8</v>
      </c>
      <c r="U38" s="862"/>
      <c r="V38" s="861">
        <f>ROUND(V13+V37,1)</f>
        <v>0</v>
      </c>
      <c r="W38" s="862"/>
      <c r="X38" s="861">
        <f>ROUND(X13+X37,1)</f>
        <v>0</v>
      </c>
      <c r="Y38" s="836"/>
      <c r="Z38" s="837"/>
      <c r="AA38" s="3281">
        <f>ROUND(SUM(AA13,AA37),1)</f>
        <v>-6.8</v>
      </c>
      <c r="AB38" s="2207"/>
      <c r="AC38" s="3758"/>
      <c r="AD38" s="3759">
        <f>ROUND(SUM(AD13,AD37),1)</f>
        <v>-6.1</v>
      </c>
      <c r="AE38" s="1140"/>
      <c r="AF38" s="1131"/>
      <c r="AG38" s="1168">
        <f>ROUND(SUM(AA38-AD38),1)</f>
        <v>-0.7</v>
      </c>
      <c r="AH38" s="1150"/>
      <c r="AI38" s="1477">
        <f>ROUND(IF(AG38=0,0,AG38/ABS(AD38)),3)</f>
        <v>-0.115</v>
      </c>
    </row>
    <row r="39" spans="1:35" s="391" customFormat="1" ht="19.350000000000001" customHeight="1" thickTop="1">
      <c r="A39" s="149" t="s">
        <v>15</v>
      </c>
      <c r="B39" s="863"/>
      <c r="C39" s="864"/>
      <c r="D39" s="863"/>
      <c r="E39" s="864"/>
      <c r="F39" s="3282"/>
      <c r="G39" s="864"/>
      <c r="H39" s="863"/>
      <c r="I39" s="864"/>
      <c r="J39" s="863"/>
      <c r="K39" s="864"/>
      <c r="L39" s="863"/>
      <c r="M39" s="864"/>
      <c r="N39" s="863"/>
      <c r="O39" s="864"/>
      <c r="P39" s="863"/>
      <c r="Q39" s="864"/>
      <c r="R39" s="863"/>
      <c r="S39" s="864"/>
      <c r="T39" s="863"/>
      <c r="U39" s="864"/>
      <c r="V39" s="863"/>
      <c r="W39" s="864"/>
      <c r="X39" s="863"/>
      <c r="Y39" s="864"/>
      <c r="Z39" s="864"/>
      <c r="AA39" s="3282"/>
      <c r="AB39" s="2209"/>
      <c r="AC39" s="2209"/>
      <c r="AD39" s="2209"/>
      <c r="AE39" s="1149"/>
      <c r="AF39" s="1149"/>
      <c r="AG39" s="1141"/>
      <c r="AH39" s="1133"/>
      <c r="AI39" s="1132"/>
    </row>
    <row r="40" spans="1:35" s="391" customFormat="1" ht="19.350000000000001" customHeight="1">
      <c r="B40" s="668"/>
      <c r="C40" s="815"/>
      <c r="D40" s="668"/>
      <c r="E40" s="668"/>
      <c r="F40" s="649"/>
      <c r="G40" s="668"/>
      <c r="H40" s="668"/>
      <c r="I40" s="668"/>
      <c r="J40" s="668"/>
      <c r="K40" s="668"/>
      <c r="L40" s="668"/>
      <c r="M40" s="668"/>
      <c r="N40" s="668"/>
      <c r="O40" s="668"/>
      <c r="P40" s="668"/>
      <c r="Q40" s="668"/>
      <c r="R40" s="668"/>
      <c r="S40" s="668"/>
      <c r="T40" s="668"/>
      <c r="U40" s="668"/>
      <c r="V40" s="668"/>
      <c r="W40" s="668"/>
      <c r="X40" s="668"/>
      <c r="Y40" s="668"/>
      <c r="Z40" s="865"/>
      <c r="AA40" s="2209"/>
      <c r="AB40" s="2209"/>
      <c r="AC40" s="2209"/>
      <c r="AD40" s="2209"/>
      <c r="AE40" s="1149"/>
      <c r="AF40" s="1149"/>
      <c r="AG40" s="1141"/>
      <c r="AH40" s="1133"/>
      <c r="AI40" s="1132"/>
    </row>
    <row r="41" spans="1:35" ht="15.75" customHeight="1">
      <c r="A41" s="394"/>
      <c r="B41" s="815"/>
      <c r="C41" s="815"/>
      <c r="D41" s="815"/>
      <c r="E41" s="815"/>
      <c r="F41" s="815"/>
      <c r="G41" s="815"/>
      <c r="H41" s="815"/>
      <c r="I41" s="815"/>
      <c r="J41" s="815"/>
      <c r="K41" s="815"/>
      <c r="L41" s="815"/>
      <c r="M41" s="815"/>
      <c r="N41" s="815"/>
      <c r="O41" s="815"/>
      <c r="P41" s="815"/>
      <c r="Q41" s="815"/>
      <c r="R41" s="815"/>
      <c r="S41" s="815"/>
      <c r="T41" s="815"/>
      <c r="U41" s="815"/>
      <c r="V41" s="815"/>
      <c r="W41" s="815"/>
      <c r="X41" s="815"/>
      <c r="Y41" s="815"/>
      <c r="Z41" s="815"/>
      <c r="AA41" s="140"/>
      <c r="AB41" s="140"/>
      <c r="AC41" s="140"/>
      <c r="AD41" s="3284"/>
      <c r="AE41" s="1135"/>
      <c r="AF41" s="1135"/>
      <c r="AG41" s="1141"/>
    </row>
    <row r="42" spans="1:35">
      <c r="A42" s="391"/>
      <c r="B42" s="391"/>
      <c r="C42" s="391"/>
      <c r="D42" s="391"/>
      <c r="E42" s="391"/>
      <c r="F42" s="391"/>
      <c r="G42" s="391"/>
      <c r="H42" s="391"/>
      <c r="I42" s="391"/>
      <c r="J42" s="391"/>
      <c r="K42" s="391"/>
      <c r="L42" s="391"/>
      <c r="M42" s="391"/>
      <c r="N42" s="391"/>
      <c r="O42" s="391"/>
      <c r="P42" s="391"/>
      <c r="Q42" s="391"/>
      <c r="R42" s="391"/>
      <c r="S42" s="391"/>
      <c r="T42" s="391"/>
      <c r="U42" s="391"/>
      <c r="V42" s="391"/>
      <c r="W42" s="391"/>
      <c r="X42" s="391"/>
      <c r="Y42" s="391"/>
      <c r="Z42" s="391"/>
    </row>
    <row r="43" spans="1:35" ht="13.5" customHeight="1">
      <c r="A43" s="690"/>
      <c r="B43" s="815"/>
      <c r="C43" s="815"/>
      <c r="D43" s="815"/>
      <c r="E43" s="815"/>
      <c r="F43" s="815"/>
      <c r="G43" s="815"/>
      <c r="H43" s="815"/>
      <c r="I43" s="815"/>
      <c r="J43" s="815"/>
      <c r="K43" s="815"/>
      <c r="L43" s="815"/>
      <c r="M43" s="815"/>
      <c r="N43" s="815"/>
      <c r="O43" s="815"/>
      <c r="P43" s="815"/>
      <c r="Q43" s="815"/>
      <c r="R43" s="815"/>
      <c r="S43" s="815"/>
      <c r="T43" s="815"/>
      <c r="U43" s="815"/>
      <c r="V43" s="815"/>
      <c r="W43" s="815"/>
      <c r="X43" s="815"/>
      <c r="Y43" s="815"/>
      <c r="Z43" s="815"/>
      <c r="AA43" s="140"/>
      <c r="AB43" s="140"/>
      <c r="AC43" s="140"/>
      <c r="AD43" s="3284"/>
      <c r="AE43" s="1135"/>
      <c r="AF43" s="1135"/>
      <c r="AG43" s="1141"/>
    </row>
    <row r="44" spans="1:35">
      <c r="A44" s="690"/>
      <c r="B44" s="815"/>
      <c r="C44" s="815"/>
      <c r="D44" s="815"/>
      <c r="E44" s="815"/>
      <c r="F44" s="815"/>
      <c r="G44" s="815"/>
      <c r="H44" s="815"/>
      <c r="I44" s="815"/>
      <c r="J44" s="815"/>
      <c r="K44" s="815"/>
      <c r="L44" s="815"/>
      <c r="M44" s="815"/>
      <c r="N44" s="815"/>
      <c r="O44" s="815"/>
      <c r="P44" s="815"/>
      <c r="Q44" s="815"/>
      <c r="R44" s="815"/>
      <c r="S44" s="815"/>
      <c r="T44" s="815"/>
      <c r="U44" s="815"/>
      <c r="V44" s="815"/>
      <c r="W44" s="815"/>
      <c r="X44" s="815"/>
      <c r="Y44" s="815"/>
      <c r="Z44" s="815"/>
      <c r="AA44" s="140"/>
      <c r="AB44" s="140"/>
      <c r="AC44" s="140"/>
      <c r="AD44" s="3284"/>
      <c r="AE44" s="1135"/>
      <c r="AF44" s="1135"/>
      <c r="AG44" s="1141"/>
    </row>
    <row r="45" spans="1:35">
      <c r="A45" s="690"/>
      <c r="B45" s="815"/>
      <c r="C45" s="815"/>
      <c r="D45" s="815"/>
      <c r="E45" s="815"/>
      <c r="F45" s="815"/>
      <c r="G45" s="815"/>
      <c r="H45" s="815"/>
      <c r="I45" s="815"/>
      <c r="J45" s="815"/>
      <c r="K45" s="815"/>
      <c r="L45" s="815"/>
      <c r="M45" s="815"/>
      <c r="N45" s="815"/>
      <c r="O45" s="815"/>
      <c r="P45" s="815"/>
      <c r="Q45" s="815"/>
      <c r="R45" s="815"/>
      <c r="S45" s="815"/>
      <c r="T45" s="815"/>
      <c r="U45" s="815"/>
      <c r="V45" s="815"/>
      <c r="W45" s="815"/>
      <c r="X45" s="815"/>
      <c r="Y45" s="815"/>
      <c r="Z45" s="815"/>
      <c r="AA45" s="140"/>
      <c r="AB45" s="140"/>
      <c r="AC45" s="140"/>
      <c r="AD45" s="3284"/>
      <c r="AE45" s="1135"/>
      <c r="AF45" s="1135"/>
    </row>
    <row r="46" spans="1:35">
      <c r="A46" s="690"/>
      <c r="B46" s="815"/>
      <c r="C46" s="815"/>
      <c r="D46" s="815"/>
      <c r="E46" s="815"/>
      <c r="F46" s="815"/>
      <c r="G46" s="815"/>
      <c r="H46" s="815"/>
      <c r="I46" s="815"/>
      <c r="J46" s="815"/>
      <c r="K46" s="815"/>
      <c r="L46" s="815"/>
      <c r="M46" s="815"/>
      <c r="N46" s="815"/>
      <c r="O46" s="815"/>
      <c r="P46" s="815"/>
      <c r="Q46" s="815"/>
      <c r="R46" s="815"/>
      <c r="S46" s="815"/>
      <c r="T46" s="815"/>
      <c r="U46" s="815"/>
      <c r="V46" s="815"/>
      <c r="W46" s="815"/>
      <c r="X46" s="815"/>
      <c r="Y46" s="815"/>
      <c r="Z46" s="815"/>
      <c r="AA46" s="140"/>
      <c r="AB46" s="140"/>
      <c r="AC46" s="140"/>
      <c r="AD46" s="3284"/>
      <c r="AE46" s="1135"/>
      <c r="AF46" s="1135"/>
    </row>
    <row r="47" spans="1:35">
      <c r="A47" s="690"/>
      <c r="B47" s="690"/>
      <c r="C47" s="690"/>
      <c r="D47" s="690"/>
      <c r="E47" s="690"/>
      <c r="F47" s="690"/>
      <c r="G47" s="690"/>
      <c r="H47" s="690"/>
      <c r="I47" s="690"/>
      <c r="J47" s="690"/>
      <c r="K47" s="690"/>
      <c r="L47" s="690"/>
      <c r="M47" s="690"/>
      <c r="N47" s="690"/>
      <c r="O47" s="690"/>
      <c r="P47" s="690"/>
      <c r="Q47" s="690"/>
      <c r="R47" s="690"/>
      <c r="S47" s="690"/>
      <c r="T47" s="690"/>
      <c r="U47" s="690"/>
      <c r="V47" s="690"/>
      <c r="W47" s="690"/>
      <c r="X47" s="690"/>
      <c r="Y47" s="690"/>
      <c r="Z47" s="690"/>
      <c r="AA47" s="107"/>
      <c r="AB47" s="107"/>
      <c r="AC47" s="107"/>
      <c r="AD47" s="193"/>
    </row>
  </sheetData>
  <mergeCells count="2">
    <mergeCell ref="AC9:AI9"/>
    <mergeCell ref="Z10:AI10"/>
  </mergeCells>
  <pageMargins left="0.25" right="0.25" top="0.5" bottom="0.25" header="0" footer="0.25"/>
  <pageSetup scale="44" firstPageNumber="36" fitToHeight="0" orientation="landscape" useFirstPageNumber="1" r:id="rId1"/>
  <headerFooter scaleWithDoc="0" alignWithMargins="0">
    <oddFooter>&amp;C&amp;8&amp;P</oddFooter>
  </headerFooter>
  <ignoredErrors>
    <ignoredError sqref="AI2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autoPageBreaks="0" fitToPage="1"/>
  </sheetPr>
  <dimension ref="A1:AI47"/>
  <sheetViews>
    <sheetView showGridLines="0" zoomScale="80" workbookViewId="0"/>
  </sheetViews>
  <sheetFormatPr defaultColWidth="8.6640625" defaultRowHeight="12.75"/>
  <cols>
    <col min="1" max="1" width="46.6640625" style="389" customWidth="1"/>
    <col min="2" max="2" width="10" style="389" customWidth="1"/>
    <col min="3" max="3" width="1.6640625" style="389" customWidth="1"/>
    <col min="4" max="4" width="10.6640625" style="389" customWidth="1"/>
    <col min="5" max="5" width="1.6640625" style="389" customWidth="1"/>
    <col min="6" max="6" width="10" style="389" customWidth="1"/>
    <col min="7" max="7" width="1.6640625" style="389" customWidth="1"/>
    <col min="8" max="8" width="10" style="389" customWidth="1"/>
    <col min="9" max="9" width="1.6640625" style="389" customWidth="1"/>
    <col min="10" max="10" width="10.6640625" style="389" customWidth="1"/>
    <col min="11" max="11" width="1.6640625" style="389" customWidth="1"/>
    <col min="12" max="12" width="14.109375" style="389" customWidth="1"/>
    <col min="13" max="13" width="1.6640625" style="389" customWidth="1"/>
    <col min="14" max="14" width="15.44140625" style="389" bestFit="1" customWidth="1"/>
    <col min="15" max="15" width="1.6640625" style="389" customWidth="1"/>
    <col min="16" max="16" width="13.5546875" style="389" bestFit="1" customWidth="1"/>
    <col min="17" max="17" width="1.6640625" style="389" customWidth="1"/>
    <col min="18" max="18" width="15.21875" style="389" bestFit="1" customWidth="1"/>
    <col min="19" max="19" width="1.6640625" style="389" customWidth="1"/>
    <col min="20" max="20" width="11" style="389" bestFit="1" customWidth="1"/>
    <col min="21" max="21" width="1.6640625" style="389" customWidth="1"/>
    <col min="22" max="22" width="12.6640625" style="389" bestFit="1" customWidth="1"/>
    <col min="23" max="23" width="1.6640625" style="389" customWidth="1"/>
    <col min="24" max="24" width="8.6640625" style="2210" customWidth="1"/>
    <col min="25" max="26" width="1.6640625" style="2210" customWidth="1"/>
    <col min="27" max="27" width="10.109375" style="2210" customWidth="1"/>
    <col min="28" max="29" width="1.6640625" style="2210" customWidth="1"/>
    <col min="30" max="30" width="10.109375" style="2210" customWidth="1"/>
    <col min="31" max="31" width="1.6640625" style="2210" customWidth="1"/>
    <col min="32" max="32" width="2.44140625" style="2210" customWidth="1"/>
    <col min="33" max="33" width="10.109375" style="3305" bestFit="1" customWidth="1"/>
    <col min="34" max="34" width="1.6640625" style="396" customWidth="1"/>
    <col min="35" max="35" width="11.109375" style="389" customWidth="1"/>
    <col min="36" max="16384" width="8.6640625" style="389"/>
  </cols>
  <sheetData>
    <row r="1" spans="1:35" ht="15">
      <c r="A1" s="644" t="s">
        <v>963</v>
      </c>
    </row>
    <row r="2" spans="1:35" ht="15">
      <c r="A2" s="824"/>
    </row>
    <row r="3" spans="1:35" ht="20.25" customHeight="1">
      <c r="A3" s="3551" t="s">
        <v>0</v>
      </c>
      <c r="B3" s="31"/>
      <c r="C3" s="31"/>
      <c r="D3" s="31"/>
      <c r="E3" s="31"/>
      <c r="F3" s="31"/>
      <c r="G3" s="31"/>
      <c r="H3" s="31"/>
      <c r="I3" s="31"/>
      <c r="J3" s="31"/>
      <c r="K3" s="29"/>
      <c r="L3" s="29"/>
      <c r="M3" s="31"/>
      <c r="N3" s="31"/>
      <c r="O3" s="31"/>
      <c r="P3" s="31"/>
      <c r="Q3" s="31"/>
      <c r="R3" s="31"/>
      <c r="S3" s="31"/>
      <c r="T3" s="31"/>
      <c r="U3" s="31"/>
      <c r="V3" s="31"/>
      <c r="W3" s="31"/>
      <c r="X3" s="107"/>
      <c r="Y3" s="107"/>
      <c r="Z3" s="107"/>
      <c r="AA3" s="107"/>
      <c r="AB3" s="107"/>
      <c r="AC3" s="107"/>
      <c r="AD3" s="107"/>
      <c r="AE3" s="107"/>
      <c r="AF3" s="107"/>
      <c r="AG3" s="3306"/>
      <c r="AI3" s="830" t="s">
        <v>228</v>
      </c>
    </row>
    <row r="4" spans="1:35" ht="20.25" customHeight="1">
      <c r="A4" s="1535" t="s">
        <v>227</v>
      </c>
      <c r="B4" s="31"/>
      <c r="C4" s="31"/>
      <c r="D4" s="31"/>
      <c r="E4" s="31"/>
      <c r="F4" s="31"/>
      <c r="G4" s="31"/>
      <c r="H4" s="29" t="s">
        <v>15</v>
      </c>
      <c r="I4" s="31"/>
      <c r="J4" s="31"/>
      <c r="K4" s="29"/>
      <c r="L4" s="29"/>
      <c r="M4" s="31"/>
      <c r="N4" s="31"/>
      <c r="O4" s="31"/>
      <c r="P4" s="31"/>
      <c r="Q4" s="31"/>
      <c r="R4" s="31"/>
      <c r="S4" s="31"/>
      <c r="T4" s="31"/>
      <c r="U4" s="31"/>
      <c r="V4" s="31"/>
      <c r="W4" s="31"/>
      <c r="X4" s="107" t="s">
        <v>15</v>
      </c>
      <c r="Y4" s="107"/>
      <c r="Z4" s="107"/>
      <c r="AA4" s="107"/>
      <c r="AB4" s="107"/>
      <c r="AC4" s="107"/>
      <c r="AD4" s="107"/>
      <c r="AE4" s="107"/>
      <c r="AF4" s="107"/>
      <c r="AG4" s="3306"/>
    </row>
    <row r="5" spans="1:35" ht="20.25" customHeight="1">
      <c r="A5" s="1535" t="s">
        <v>123</v>
      </c>
      <c r="B5" s="31"/>
      <c r="C5" s="31"/>
      <c r="D5" s="31"/>
      <c r="E5" s="31"/>
      <c r="F5" s="31"/>
      <c r="G5" s="31"/>
      <c r="H5" s="31"/>
      <c r="I5" s="31"/>
      <c r="J5" s="31"/>
      <c r="K5" s="29"/>
      <c r="L5" s="29"/>
      <c r="M5" s="31"/>
      <c r="N5" s="31"/>
      <c r="O5" s="31"/>
      <c r="P5" s="31"/>
      <c r="Q5" s="31"/>
      <c r="R5" s="31"/>
      <c r="S5" s="31"/>
      <c r="T5" s="31"/>
      <c r="U5" s="31"/>
      <c r="V5" s="31"/>
      <c r="W5" s="31"/>
      <c r="X5" s="107"/>
      <c r="Y5" s="107"/>
      <c r="Z5" s="107"/>
      <c r="AB5" s="3273"/>
      <c r="AC5" s="3273"/>
      <c r="AE5" s="3228"/>
      <c r="AG5" s="3306"/>
    </row>
    <row r="6" spans="1:35" ht="20.25" customHeight="1">
      <c r="A6" s="1535" t="str">
        <f>'Cashflow Governmental'!A6</f>
        <v xml:space="preserve">FISCAL YEAR 2020-2021   </v>
      </c>
      <c r="B6" s="31"/>
      <c r="C6" s="31"/>
      <c r="D6" s="31"/>
      <c r="E6" s="31"/>
      <c r="F6" s="31"/>
      <c r="G6" s="31"/>
      <c r="H6" s="31"/>
      <c r="I6" s="31"/>
      <c r="J6" s="31"/>
      <c r="K6" s="29"/>
      <c r="L6" s="29"/>
      <c r="M6" s="31"/>
      <c r="N6" s="31"/>
      <c r="O6" s="31"/>
      <c r="P6" s="31"/>
      <c r="Q6" s="31"/>
      <c r="R6" s="31"/>
      <c r="S6" s="31"/>
      <c r="T6" s="31"/>
      <c r="U6" s="31"/>
      <c r="V6" s="31"/>
      <c r="W6" s="31"/>
      <c r="X6" s="107"/>
      <c r="Y6" s="107"/>
      <c r="Z6" s="107"/>
      <c r="AA6" s="107"/>
      <c r="AB6" s="107"/>
      <c r="AC6" s="107"/>
      <c r="AD6" s="107"/>
      <c r="AE6" s="107"/>
      <c r="AF6" s="107"/>
      <c r="AG6" s="3306"/>
    </row>
    <row r="7" spans="1:35" ht="20.25" customHeight="1">
      <c r="A7" s="3551" t="s">
        <v>1363</v>
      </c>
      <c r="B7" s="31"/>
      <c r="C7" s="31"/>
      <c r="D7" s="31"/>
      <c r="E7" s="31"/>
      <c r="F7" s="31"/>
      <c r="G7" s="31"/>
      <c r="H7" s="31"/>
      <c r="I7" s="31"/>
      <c r="J7" s="31"/>
      <c r="K7" s="29"/>
      <c r="L7" s="31"/>
      <c r="M7" s="31"/>
      <c r="N7" s="31"/>
      <c r="O7" s="31"/>
      <c r="P7" s="31"/>
      <c r="Q7" s="31"/>
      <c r="R7" s="31"/>
      <c r="S7" s="31"/>
      <c r="T7" s="31"/>
      <c r="U7" s="31"/>
      <c r="V7" s="31"/>
      <c r="W7" s="31"/>
      <c r="X7" s="107"/>
      <c r="Y7" s="107"/>
      <c r="Z7" s="107"/>
      <c r="AA7" s="3227"/>
      <c r="AB7" s="3227"/>
      <c r="AC7" s="3227"/>
      <c r="AD7" s="3227"/>
      <c r="AE7" s="3227"/>
      <c r="AF7" s="3227"/>
      <c r="AG7" s="1662"/>
      <c r="AH7" s="1133"/>
      <c r="AI7" s="1132"/>
    </row>
    <row r="8" spans="1:35" s="391" customFormat="1" ht="19.350000000000001" customHeight="1">
      <c r="A8" s="320"/>
      <c r="B8" s="31"/>
      <c r="C8" s="31"/>
      <c r="D8" s="31"/>
      <c r="E8" s="31"/>
      <c r="F8" s="31"/>
      <c r="G8" s="31"/>
      <c r="H8" s="31"/>
      <c r="I8" s="31"/>
      <c r="J8" s="31"/>
      <c r="K8" s="31"/>
      <c r="L8" s="31"/>
      <c r="M8" s="31"/>
      <c r="N8" s="31"/>
      <c r="O8" s="31"/>
      <c r="P8" s="31"/>
      <c r="Q8" s="31"/>
      <c r="R8" s="31"/>
      <c r="S8" s="31"/>
      <c r="T8" s="31"/>
      <c r="U8" s="31"/>
      <c r="V8" s="31"/>
      <c r="W8" s="31"/>
      <c r="X8" s="107"/>
      <c r="Y8" s="107"/>
      <c r="Z8" s="107"/>
      <c r="AA8" s="3227"/>
      <c r="AB8" s="3227"/>
      <c r="AC8" s="3227"/>
      <c r="AD8" s="3227"/>
      <c r="AE8" s="3227"/>
      <c r="AF8" s="3227"/>
      <c r="AG8" s="1662"/>
      <c r="AH8" s="1133"/>
      <c r="AI8" s="1132"/>
    </row>
    <row r="9" spans="1:35" s="391" customFormat="1" ht="19.350000000000001" customHeight="1">
      <c r="A9" s="31"/>
      <c r="B9" s="31"/>
      <c r="C9" s="31"/>
      <c r="D9" s="31"/>
      <c r="E9" s="31"/>
      <c r="F9" s="31"/>
      <c r="G9" s="31"/>
      <c r="H9" s="29"/>
      <c r="I9" s="29"/>
      <c r="J9" s="29"/>
      <c r="K9" s="31"/>
      <c r="L9" s="31"/>
      <c r="M9" s="31"/>
      <c r="N9" s="31"/>
      <c r="O9" s="31"/>
      <c r="P9" s="31"/>
      <c r="Q9" s="31"/>
      <c r="R9" s="31"/>
      <c r="S9" s="31"/>
      <c r="T9" s="31"/>
      <c r="U9" s="31"/>
      <c r="V9" s="31"/>
      <c r="W9" s="31"/>
      <c r="X9" s="107"/>
      <c r="Y9" s="107"/>
      <c r="Z9" s="107"/>
      <c r="AA9" s="3227"/>
      <c r="AB9" s="3227"/>
      <c r="AC9" s="3970"/>
      <c r="AD9" s="3971"/>
      <c r="AE9" s="3971"/>
      <c r="AF9" s="3971"/>
      <c r="AG9" s="3971"/>
      <c r="AH9" s="3971"/>
      <c r="AI9" s="3971"/>
    </row>
    <row r="10" spans="1:35" s="391" customFormat="1" ht="19.350000000000001" customHeight="1">
      <c r="A10" s="149"/>
      <c r="B10" s="149"/>
      <c r="C10" s="149"/>
      <c r="D10" s="149"/>
      <c r="E10" s="149"/>
      <c r="F10" s="149"/>
      <c r="G10" s="149"/>
      <c r="H10" s="149"/>
      <c r="I10" s="149"/>
      <c r="J10" s="149"/>
      <c r="K10" s="149"/>
      <c r="L10" s="149"/>
      <c r="M10" s="149"/>
      <c r="N10" s="149"/>
      <c r="O10" s="149"/>
      <c r="P10" s="149"/>
      <c r="Q10" s="149"/>
      <c r="R10" s="149"/>
      <c r="S10" s="149"/>
      <c r="T10" s="149"/>
      <c r="U10" s="149"/>
      <c r="V10" s="2115"/>
      <c r="W10" s="831"/>
      <c r="X10" s="3285"/>
      <c r="Y10" s="3283"/>
      <c r="Z10" s="1664"/>
      <c r="AA10" s="3969" t="s">
        <v>1558</v>
      </c>
      <c r="AB10" s="3972"/>
      <c r="AC10" s="3972"/>
      <c r="AD10" s="3972"/>
      <c r="AE10" s="3972"/>
      <c r="AF10" s="3972"/>
      <c r="AG10" s="3972"/>
      <c r="AH10" s="3972"/>
      <c r="AI10" s="3972"/>
    </row>
    <row r="11" spans="1:35" s="391" customFormat="1" ht="19.350000000000001" customHeight="1">
      <c r="A11" s="149"/>
      <c r="B11" s="769" t="str">
        <f>'Cashflow Governmental'!C13</f>
        <v>2020</v>
      </c>
      <c r="C11" s="249"/>
      <c r="D11" s="249"/>
      <c r="E11" s="249"/>
      <c r="F11" s="249"/>
      <c r="G11" s="249"/>
      <c r="H11" s="249"/>
      <c r="I11" s="249"/>
      <c r="J11" s="249"/>
      <c r="K11" s="249"/>
      <c r="L11" s="249"/>
      <c r="M11" s="249"/>
      <c r="N11" s="249"/>
      <c r="O11" s="249"/>
      <c r="P11" s="249"/>
      <c r="Q11" s="249"/>
      <c r="R11" s="249"/>
      <c r="S11" s="249"/>
      <c r="T11" s="769">
        <f>'Cashflow Governmental'!U13</f>
        <v>2021</v>
      </c>
      <c r="U11" s="249"/>
      <c r="V11" s="771"/>
      <c r="W11" s="249"/>
      <c r="X11" s="1653"/>
      <c r="Y11" s="1653"/>
      <c r="Z11" s="3253"/>
      <c r="AA11" s="3232"/>
      <c r="AB11" s="3232"/>
      <c r="AC11" s="3232"/>
      <c r="AD11" s="3307"/>
      <c r="AE11" s="3307"/>
      <c r="AF11" s="3232"/>
      <c r="AG11" s="3235" t="s">
        <v>8</v>
      </c>
      <c r="AH11" s="1136"/>
      <c r="AI11" s="1137" t="s">
        <v>9</v>
      </c>
    </row>
    <row r="12" spans="1:35" s="391" customFormat="1" ht="19.350000000000001" customHeight="1">
      <c r="A12" s="149"/>
      <c r="B12" s="771" t="s">
        <v>124</v>
      </c>
      <c r="C12" s="249"/>
      <c r="D12" s="834" t="s">
        <v>125</v>
      </c>
      <c r="E12" s="249"/>
      <c r="F12" s="834" t="s">
        <v>126</v>
      </c>
      <c r="G12" s="249"/>
      <c r="H12" s="834" t="s">
        <v>127</v>
      </c>
      <c r="I12" s="249"/>
      <c r="J12" s="835" t="s">
        <v>225</v>
      </c>
      <c r="K12" s="249"/>
      <c r="L12" s="835" t="s">
        <v>143</v>
      </c>
      <c r="M12" s="249"/>
      <c r="N12" s="835" t="s">
        <v>144</v>
      </c>
      <c r="O12" s="249"/>
      <c r="P12" s="834" t="s">
        <v>131</v>
      </c>
      <c r="Q12" s="249"/>
      <c r="R12" s="834" t="s">
        <v>132</v>
      </c>
      <c r="S12" s="249"/>
      <c r="T12" s="835" t="s">
        <v>133</v>
      </c>
      <c r="U12" s="249"/>
      <c r="V12" s="834" t="s">
        <v>134</v>
      </c>
      <c r="W12" s="249"/>
      <c r="X12" s="3286" t="s">
        <v>185</v>
      </c>
      <c r="Y12" s="1653"/>
      <c r="Z12" s="1653"/>
      <c r="AA12" s="3287">
        <f>'Cashflow Governmental'!AB14</f>
        <v>2021</v>
      </c>
      <c r="AB12" s="3287"/>
      <c r="AC12" s="3271"/>
      <c r="AD12" s="3458">
        <f>'Cashflow Governmental'!AE14</f>
        <v>2020</v>
      </c>
      <c r="AE12" s="3271"/>
      <c r="AF12" s="3271"/>
      <c r="AG12" s="3238" t="s">
        <v>12</v>
      </c>
      <c r="AH12" s="1139"/>
      <c r="AI12" s="1138" t="s">
        <v>13</v>
      </c>
    </row>
    <row r="13" spans="1:35" s="1664" customFormat="1" ht="19.350000000000001" customHeight="1">
      <c r="A13" s="1653" t="s">
        <v>136</v>
      </c>
      <c r="B13" s="1654">
        <v>14.3</v>
      </c>
      <c r="C13" s="1655"/>
      <c r="D13" s="1654">
        <f>B38</f>
        <v>14.4</v>
      </c>
      <c r="E13" s="1655"/>
      <c r="F13" s="1654">
        <f>D38</f>
        <v>14.5</v>
      </c>
      <c r="G13" s="1655" t="s">
        <v>15</v>
      </c>
      <c r="H13" s="1654">
        <f>F38</f>
        <v>14.6</v>
      </c>
      <c r="I13" s="1656" t="s">
        <v>15</v>
      </c>
      <c r="J13" s="1654">
        <f>H38</f>
        <v>14.7</v>
      </c>
      <c r="K13" s="1655"/>
      <c r="L13" s="1654">
        <f>J38</f>
        <v>14.1</v>
      </c>
      <c r="M13" s="1656"/>
      <c r="N13" s="1654">
        <f>L38</f>
        <v>14.1</v>
      </c>
      <c r="O13" s="1656"/>
      <c r="P13" s="1654">
        <f>N38</f>
        <v>14.2</v>
      </c>
      <c r="Q13" s="1656" t="s">
        <v>15</v>
      </c>
      <c r="R13" s="1654">
        <f>P38</f>
        <v>14.2</v>
      </c>
      <c r="S13" s="1656" t="s">
        <v>15</v>
      </c>
      <c r="T13" s="1654">
        <f>R38</f>
        <v>14.2</v>
      </c>
      <c r="U13" s="1656" t="s">
        <v>15</v>
      </c>
      <c r="V13" s="1654" t="s">
        <v>15</v>
      </c>
      <c r="W13" s="1656"/>
      <c r="X13" s="1654" t="s">
        <v>15</v>
      </c>
      <c r="Y13" s="1657"/>
      <c r="Z13" s="1658"/>
      <c r="AA13" s="3288">
        <f>+B13</f>
        <v>14.3</v>
      </c>
      <c r="AB13" s="3289"/>
      <c r="AC13" s="3290"/>
      <c r="AD13" s="1654">
        <v>13.2</v>
      </c>
      <c r="AE13" s="1659"/>
      <c r="AF13" s="1660"/>
      <c r="AG13" s="1661">
        <f>ROUND(SUM(AA13-AD13),1)</f>
        <v>1.1000000000000001</v>
      </c>
      <c r="AH13" s="1662"/>
      <c r="AI13" s="1663">
        <f>ROUND(IF(AG13=0,0,AG13/(AD13)),3)</f>
        <v>8.3000000000000004E-2</v>
      </c>
    </row>
    <row r="14" spans="1:35" s="391" customFormat="1" ht="19.350000000000001" customHeight="1">
      <c r="A14" s="149"/>
      <c r="B14" s="379"/>
      <c r="C14" s="379"/>
      <c r="D14" s="379"/>
      <c r="E14" s="379"/>
      <c r="F14" s="3236"/>
      <c r="G14" s="379"/>
      <c r="H14" s="842"/>
      <c r="I14" s="842"/>
      <c r="J14" s="842"/>
      <c r="K14" s="379"/>
      <c r="L14" s="842"/>
      <c r="M14" s="842"/>
      <c r="N14" s="842"/>
      <c r="O14" s="842"/>
      <c r="P14" s="842"/>
      <c r="Q14" s="842"/>
      <c r="R14" s="842"/>
      <c r="S14" s="842"/>
      <c r="T14" s="842"/>
      <c r="U14" s="842"/>
      <c r="V14" s="842"/>
      <c r="W14" s="842"/>
      <c r="X14" s="3276"/>
      <c r="Y14" s="3275"/>
      <c r="Z14" s="3291"/>
      <c r="AA14" s="3292"/>
      <c r="AB14" s="3293"/>
      <c r="AC14" s="3294"/>
      <c r="AD14" s="3292"/>
      <c r="AE14" s="3292"/>
      <c r="AF14" s="3272"/>
      <c r="AG14" s="3241"/>
      <c r="AH14" s="1133"/>
      <c r="AI14" s="1132"/>
    </row>
    <row r="15" spans="1:35" s="391" customFormat="1" ht="19.350000000000001" customHeight="1">
      <c r="A15" s="249" t="s">
        <v>14</v>
      </c>
      <c r="B15" s="379"/>
      <c r="C15" s="379"/>
      <c r="D15" s="379"/>
      <c r="E15" s="379"/>
      <c r="F15" s="3236"/>
      <c r="G15" s="379"/>
      <c r="H15" s="842"/>
      <c r="I15" s="842"/>
      <c r="J15" s="842"/>
      <c r="K15" s="379"/>
      <c r="L15" s="842"/>
      <c r="M15" s="842"/>
      <c r="N15" s="842"/>
      <c r="O15" s="842"/>
      <c r="P15" s="842"/>
      <c r="Q15" s="842"/>
      <c r="R15" s="842"/>
      <c r="S15" s="842"/>
      <c r="T15" s="842"/>
      <c r="U15" s="842"/>
      <c r="V15" s="842"/>
      <c r="W15" s="842"/>
      <c r="X15" s="3276"/>
      <c r="Y15" s="3275"/>
      <c r="Z15" s="3291"/>
      <c r="AA15" s="3292"/>
      <c r="AB15" s="3293"/>
      <c r="AC15" s="3294"/>
      <c r="AD15" s="3292"/>
      <c r="AE15" s="3292"/>
      <c r="AF15" s="3272"/>
      <c r="AG15" s="3241"/>
      <c r="AH15" s="1133"/>
      <c r="AI15" s="1132"/>
    </row>
    <row r="16" spans="1:35" s="1664" customFormat="1" ht="19.350000000000001" customHeight="1">
      <c r="A16" s="1665" t="s">
        <v>178</v>
      </c>
      <c r="B16" s="1846">
        <v>0.2</v>
      </c>
      <c r="C16" s="237"/>
      <c r="D16" s="1846">
        <v>9.9999999999999978E-2</v>
      </c>
      <c r="E16" s="237"/>
      <c r="F16" s="1666">
        <v>0.10000000000000003</v>
      </c>
      <c r="G16" s="1688"/>
      <c r="H16" s="1666">
        <v>0.19999999999999996</v>
      </c>
      <c r="I16" s="1667"/>
      <c r="J16" s="1666">
        <v>-0.6</v>
      </c>
      <c r="K16" s="1579"/>
      <c r="L16" s="1666">
        <v>0</v>
      </c>
      <c r="M16" s="1668"/>
      <c r="N16" s="1666">
        <v>0.2</v>
      </c>
      <c r="O16" s="1668"/>
      <c r="P16" s="1666">
        <v>0</v>
      </c>
      <c r="Q16" s="1668"/>
      <c r="R16" s="1666">
        <v>0</v>
      </c>
      <c r="S16" s="1668"/>
      <c r="T16" s="1666">
        <f>$AA16-$B16-$D16-$F16-$H16-$J16-$L16-$N16-$P16-$R16</f>
        <v>0.10000000000000003</v>
      </c>
      <c r="U16" s="1668"/>
      <c r="V16" s="1666"/>
      <c r="W16" s="1668"/>
      <c r="X16" s="1666"/>
      <c r="Y16" s="1669"/>
      <c r="Z16" s="1670"/>
      <c r="AA16" s="1666">
        <v>0.30000000000000004</v>
      </c>
      <c r="AB16" s="3732"/>
      <c r="AC16" s="3733"/>
      <c r="AD16" s="1666">
        <v>1.2</v>
      </c>
      <c r="AE16" s="1671"/>
      <c r="AF16" s="1672"/>
      <c r="AG16" s="1673">
        <f>ROUND(SUM(AA16-AD16),1)</f>
        <v>-0.9</v>
      </c>
      <c r="AH16" s="1662"/>
      <c r="AI16" s="1930">
        <f>ROUND(IF(AD16=0,-1,AG16/ABS(AD16)),3)</f>
        <v>-0.75</v>
      </c>
    </row>
    <row r="17" spans="1:35" s="391" customFormat="1" ht="24" customHeight="1">
      <c r="A17" s="249" t="s">
        <v>150</v>
      </c>
      <c r="B17" s="855">
        <f>ROUND(SUM(B16),1)</f>
        <v>0.2</v>
      </c>
      <c r="C17" s="382"/>
      <c r="D17" s="855">
        <f>ROUND(SUM(D16),1)</f>
        <v>0.1</v>
      </c>
      <c r="E17" s="382"/>
      <c r="F17" s="1700">
        <f>ROUND(SUM(F16),1)</f>
        <v>0.1</v>
      </c>
      <c r="G17" s="382"/>
      <c r="H17" s="855">
        <f>ROUND(SUM(H16),1)</f>
        <v>0.2</v>
      </c>
      <c r="I17" s="849"/>
      <c r="J17" s="3040">
        <f>ROUND(SUM(J16),1)</f>
        <v>-0.6</v>
      </c>
      <c r="K17" s="382"/>
      <c r="L17" s="855">
        <f>ROUND(SUM(L16),1)</f>
        <v>0</v>
      </c>
      <c r="M17" s="850"/>
      <c r="N17" s="855">
        <f>ROUND(SUM(N16),1)</f>
        <v>0.2</v>
      </c>
      <c r="O17" s="850"/>
      <c r="P17" s="855">
        <f>ROUND(SUM(P16),1)</f>
        <v>0</v>
      </c>
      <c r="Q17" s="850"/>
      <c r="R17" s="2111">
        <f>ROUND(SUM(R16),1)</f>
        <v>0</v>
      </c>
      <c r="S17" s="850"/>
      <c r="T17" s="855">
        <f>ROUND(SUM(T16),1)</f>
        <v>0.1</v>
      </c>
      <c r="U17" s="850"/>
      <c r="V17" s="2117">
        <f>ROUND(SUM(V16),1)</f>
        <v>0</v>
      </c>
      <c r="W17" s="850"/>
      <c r="X17" s="3295">
        <f>ROUND(SUM(X16),1)</f>
        <v>0</v>
      </c>
      <c r="Y17" s="3277"/>
      <c r="Z17" s="3278"/>
      <c r="AA17" s="3296">
        <f>ROUND(SUM(AA16),1)</f>
        <v>0.3</v>
      </c>
      <c r="AB17" s="3734"/>
      <c r="AC17" s="3735"/>
      <c r="AD17" s="1700">
        <f>ROUND(SUM(AD16),1)</f>
        <v>1.2</v>
      </c>
      <c r="AE17" s="3296"/>
      <c r="AF17" s="1672"/>
      <c r="AG17" s="3308">
        <f>ROUND(SUM(AG16),1)</f>
        <v>-0.9</v>
      </c>
      <c r="AH17" s="1166"/>
      <c r="AI17" s="1931">
        <f>ROUND(IF(AD17=0,-1,AG17/ABS(AD17)),3)</f>
        <v>-0.75</v>
      </c>
    </row>
    <row r="18" spans="1:35" s="391" customFormat="1" ht="19.350000000000001" customHeight="1">
      <c r="A18" s="149"/>
      <c r="B18" s="381"/>
      <c r="C18" s="237"/>
      <c r="D18" s="381" t="s">
        <v>15</v>
      </c>
      <c r="E18" s="237"/>
      <c r="F18" s="2200"/>
      <c r="G18" s="237"/>
      <c r="H18" s="853"/>
      <c r="I18" s="845"/>
      <c r="J18" s="853"/>
      <c r="K18" s="237"/>
      <c r="L18" s="853"/>
      <c r="M18" s="845"/>
      <c r="N18" s="853"/>
      <c r="O18" s="845"/>
      <c r="P18" s="853"/>
      <c r="Q18" s="845"/>
      <c r="R18" s="853"/>
      <c r="S18" s="845"/>
      <c r="T18" s="853"/>
      <c r="U18" s="845"/>
      <c r="V18" s="853"/>
      <c r="W18" s="845"/>
      <c r="X18" s="3297"/>
      <c r="Y18" s="1669"/>
      <c r="Z18" s="1670"/>
      <c r="AA18" s="3736"/>
      <c r="AB18" s="3732"/>
      <c r="AC18" s="3737"/>
      <c r="AD18" s="3297"/>
      <c r="AE18" s="1689"/>
      <c r="AF18" s="1672"/>
      <c r="AG18" s="1689"/>
      <c r="AH18" s="1133"/>
      <c r="AI18" s="1132"/>
    </row>
    <row r="19" spans="1:35" s="391" customFormat="1" ht="19.350000000000001" customHeight="1">
      <c r="A19" s="149"/>
      <c r="B19" s="237"/>
      <c r="C19" s="237"/>
      <c r="D19" s="237" t="s">
        <v>15</v>
      </c>
      <c r="E19" s="237"/>
      <c r="F19" s="1579"/>
      <c r="G19" s="237"/>
      <c r="H19" s="845"/>
      <c r="I19" s="845"/>
      <c r="J19" s="845"/>
      <c r="K19" s="237"/>
      <c r="L19" s="845"/>
      <c r="M19" s="845"/>
      <c r="N19" s="845"/>
      <c r="O19" s="845"/>
      <c r="P19" s="845"/>
      <c r="Q19" s="845"/>
      <c r="R19" s="845"/>
      <c r="S19" s="845"/>
      <c r="T19" s="845"/>
      <c r="U19" s="845"/>
      <c r="V19" s="845"/>
      <c r="W19" s="845"/>
      <c r="X19" s="1668"/>
      <c r="Y19" s="1669"/>
      <c r="Z19" s="1670"/>
      <c r="AA19" s="3298"/>
      <c r="AB19" s="3732"/>
      <c r="AC19" s="3733"/>
      <c r="AD19" s="1668"/>
      <c r="AE19" s="3298"/>
      <c r="AF19" s="1672"/>
      <c r="AG19" s="1689"/>
      <c r="AH19" s="1133"/>
      <c r="AI19" s="1132"/>
    </row>
    <row r="20" spans="1:35" s="391" customFormat="1" ht="19.350000000000001" customHeight="1">
      <c r="A20" s="249" t="s">
        <v>23</v>
      </c>
      <c r="B20" s="237"/>
      <c r="C20" s="237"/>
      <c r="D20" s="237" t="s">
        <v>15</v>
      </c>
      <c r="E20" s="237"/>
      <c r="F20" s="1579"/>
      <c r="G20" s="237"/>
      <c r="H20" s="845"/>
      <c r="I20" s="845"/>
      <c r="J20" s="845"/>
      <c r="K20" s="237"/>
      <c r="L20" s="845"/>
      <c r="M20" s="845"/>
      <c r="N20" s="845"/>
      <c r="O20" s="845"/>
      <c r="P20" s="845"/>
      <c r="Q20" s="845"/>
      <c r="R20" s="845"/>
      <c r="S20" s="845"/>
      <c r="T20" s="845"/>
      <c r="U20" s="845"/>
      <c r="V20" s="845"/>
      <c r="W20" s="845"/>
      <c r="X20" s="1668"/>
      <c r="Y20" s="1669"/>
      <c r="Z20" s="1670"/>
      <c r="AA20" s="3298"/>
      <c r="AB20" s="3732"/>
      <c r="AC20" s="3733"/>
      <c r="AD20" s="1668"/>
      <c r="AE20" s="3298"/>
      <c r="AF20" s="1672"/>
      <c r="AG20" s="1689"/>
      <c r="AH20" s="1133"/>
      <c r="AI20" s="1132"/>
    </row>
    <row r="21" spans="1:35" s="391" customFormat="1" ht="19.350000000000001" customHeight="1">
      <c r="A21" s="149" t="s">
        <v>152</v>
      </c>
      <c r="B21" s="238"/>
      <c r="C21" s="237"/>
      <c r="D21" s="237"/>
      <c r="E21" s="237"/>
      <c r="F21" s="1579"/>
      <c r="G21" s="237"/>
      <c r="H21" s="845"/>
      <c r="I21" s="845"/>
      <c r="J21" s="845"/>
      <c r="K21" s="237"/>
      <c r="L21" s="845"/>
      <c r="M21" s="845"/>
      <c r="N21" s="845"/>
      <c r="O21" s="845"/>
      <c r="P21" s="845"/>
      <c r="Q21" s="845"/>
      <c r="R21" s="845"/>
      <c r="S21" s="845"/>
      <c r="T21" s="845"/>
      <c r="U21" s="845"/>
      <c r="V21" s="845"/>
      <c r="W21" s="845"/>
      <c r="X21" s="1668"/>
      <c r="Y21" s="1669"/>
      <c r="Z21" s="1670"/>
      <c r="AA21" s="1680"/>
      <c r="AB21" s="3738"/>
      <c r="AC21" s="3739"/>
      <c r="AD21" s="1668"/>
      <c r="AE21" s="1680"/>
      <c r="AF21" s="1678"/>
      <c r="AG21" s="1689"/>
      <c r="AH21" s="1133"/>
      <c r="AI21" s="1132"/>
    </row>
    <row r="22" spans="1:35" s="1664" customFormat="1" ht="19.350000000000001" customHeight="1">
      <c r="A22" s="193" t="s">
        <v>218</v>
      </c>
      <c r="B22" s="854">
        <v>0</v>
      </c>
      <c r="C22" s="237"/>
      <c r="D22" s="854">
        <v>0</v>
      </c>
      <c r="E22" s="237"/>
      <c r="F22" s="1688">
        <v>0</v>
      </c>
      <c r="G22" s="237"/>
      <c r="H22" s="854">
        <v>0.1</v>
      </c>
      <c r="I22" s="1668"/>
      <c r="J22" s="1688">
        <v>0</v>
      </c>
      <c r="K22" s="1579"/>
      <c r="L22" s="854">
        <v>0</v>
      </c>
      <c r="M22" s="1668"/>
      <c r="N22" s="1688">
        <v>0.1</v>
      </c>
      <c r="O22" s="1668"/>
      <c r="P22" s="1688">
        <v>0</v>
      </c>
      <c r="Q22" s="1668"/>
      <c r="R22" s="1688">
        <v>0</v>
      </c>
      <c r="S22" s="1668"/>
      <c r="T22" s="1688">
        <f>$AA22-$B22-$D22-$F22-$H22-$J22-$L22-$N22-$P22-$R22</f>
        <v>0</v>
      </c>
      <c r="U22" s="1668"/>
      <c r="V22" s="1688"/>
      <c r="W22" s="1668"/>
      <c r="X22" s="1688"/>
      <c r="Y22" s="1669"/>
      <c r="Z22" s="1670"/>
      <c r="AA22" s="1675">
        <v>0.2</v>
      </c>
      <c r="AB22" s="3732"/>
      <c r="AC22" s="3733"/>
      <c r="AD22" s="1675">
        <v>0.2</v>
      </c>
      <c r="AE22" s="1677"/>
      <c r="AF22" s="1678"/>
      <c r="AG22" s="1673">
        <f>ROUND(SUM(AA22-AD22),1)</f>
        <v>0</v>
      </c>
      <c r="AH22" s="1662"/>
      <c r="AI22" s="1679">
        <f>ROUND(IF(AD22=0,0,AG22/ABS(AD22)),3)</f>
        <v>0</v>
      </c>
    </row>
    <row r="23" spans="1:35" s="1664" customFormat="1" ht="19.350000000000001" customHeight="1">
      <c r="A23" s="1665" t="s">
        <v>170</v>
      </c>
      <c r="B23" s="854">
        <v>0</v>
      </c>
      <c r="C23" s="237"/>
      <c r="D23" s="854">
        <v>0</v>
      </c>
      <c r="E23" s="237"/>
      <c r="F23" s="1688">
        <v>0</v>
      </c>
      <c r="G23" s="237"/>
      <c r="H23" s="854">
        <v>0</v>
      </c>
      <c r="I23" s="1668"/>
      <c r="J23" s="1688">
        <v>0</v>
      </c>
      <c r="K23" s="1579"/>
      <c r="L23" s="854">
        <v>0</v>
      </c>
      <c r="M23" s="1668"/>
      <c r="N23" s="1688">
        <v>0</v>
      </c>
      <c r="O23" s="1675"/>
      <c r="P23" s="1688">
        <v>0</v>
      </c>
      <c r="Q23" s="1668"/>
      <c r="R23" s="1688">
        <v>0</v>
      </c>
      <c r="S23" s="1668"/>
      <c r="T23" s="1688">
        <f t="shared" ref="T23:T24" si="0">$AA23-$B23-$D23-$F23-$H23-$J23-$L23-$N23-$P23-$R23</f>
        <v>0</v>
      </c>
      <c r="U23" s="1668"/>
      <c r="V23" s="1688"/>
      <c r="W23" s="1668"/>
      <c r="X23" s="1688"/>
      <c r="Y23" s="1669"/>
      <c r="Z23" s="1670"/>
      <c r="AA23" s="1675">
        <v>0</v>
      </c>
      <c r="AB23" s="3732"/>
      <c r="AC23" s="3733"/>
      <c r="AD23" s="1675">
        <v>0</v>
      </c>
      <c r="AE23" s="1680"/>
      <c r="AF23" s="1678"/>
      <c r="AG23" s="1673">
        <f>ROUND(SUM(AA23-AD23),1)</f>
        <v>0</v>
      </c>
      <c r="AH23" s="1681"/>
      <c r="AI23" s="1674">
        <f>ROUND(IF(AG23=0,0,AG23/ABS(AD23)),3)</f>
        <v>0</v>
      </c>
    </row>
    <row r="24" spans="1:35" s="1664" customFormat="1" ht="19.350000000000001" customHeight="1">
      <c r="A24" s="193" t="s">
        <v>155</v>
      </c>
      <c r="B24" s="854">
        <v>0.1</v>
      </c>
      <c r="C24" s="237"/>
      <c r="D24" s="854">
        <v>0</v>
      </c>
      <c r="E24" s="237"/>
      <c r="F24" s="1688">
        <v>0</v>
      </c>
      <c r="G24" s="237"/>
      <c r="H24" s="1846">
        <v>0</v>
      </c>
      <c r="I24" s="1668"/>
      <c r="J24" s="1666">
        <v>0</v>
      </c>
      <c r="K24" s="1579"/>
      <c r="L24" s="1846">
        <v>0</v>
      </c>
      <c r="M24" s="1668"/>
      <c r="N24" s="1688">
        <v>0</v>
      </c>
      <c r="O24" s="1668"/>
      <c r="P24" s="1666">
        <v>0</v>
      </c>
      <c r="Q24" s="1668"/>
      <c r="R24" s="1688">
        <v>0</v>
      </c>
      <c r="S24" s="1668"/>
      <c r="T24" s="1688">
        <f t="shared" si="0"/>
        <v>0</v>
      </c>
      <c r="U24" s="1668"/>
      <c r="V24" s="1688"/>
      <c r="W24" s="1668"/>
      <c r="X24" s="1688"/>
      <c r="Y24" s="1669"/>
      <c r="Z24" s="1670"/>
      <c r="AA24" s="3740">
        <v>0.1</v>
      </c>
      <c r="AB24" s="3732"/>
      <c r="AC24" s="3733"/>
      <c r="AD24" s="3740">
        <v>0.1</v>
      </c>
      <c r="AE24" s="1676"/>
      <c r="AF24" s="1678"/>
      <c r="AG24" s="1673">
        <f>ROUND(SUM(AA24-AD24),1)</f>
        <v>0</v>
      </c>
      <c r="AH24" s="1662"/>
      <c r="AI24" s="1674">
        <f>ROUND(IF(AG24=0,0,AG24/ABS(AD24)),3)</f>
        <v>0</v>
      </c>
    </row>
    <row r="25" spans="1:35" s="391" customFormat="1" ht="22.5" customHeight="1">
      <c r="A25" s="249" t="s">
        <v>156</v>
      </c>
      <c r="B25" s="2118">
        <f>ROUND(SUM(B22:B24),1)</f>
        <v>0.1</v>
      </c>
      <c r="C25" s="382"/>
      <c r="D25" s="2135">
        <f>ROUND(SUM(D22:D24),1)</f>
        <v>0</v>
      </c>
      <c r="E25" s="382"/>
      <c r="F25" s="3731">
        <f>ROUND(SUM(F22:F24),1)</f>
        <v>0</v>
      </c>
      <c r="G25" s="382"/>
      <c r="H25" s="867">
        <f>ROUND(SUM(H22:H24),1)</f>
        <v>0.1</v>
      </c>
      <c r="I25" s="850"/>
      <c r="J25" s="2118">
        <f>ROUND(SUM(J22:J24),1)</f>
        <v>0</v>
      </c>
      <c r="K25" s="382"/>
      <c r="L25" s="2118">
        <f>ROUND(SUM(L22:L24),1)</f>
        <v>0</v>
      </c>
      <c r="M25" s="850"/>
      <c r="N25" s="1975">
        <f>ROUND(SUM(N22:N24),1)</f>
        <v>0.1</v>
      </c>
      <c r="O25" s="859"/>
      <c r="P25" s="867">
        <f>ROUND(SUM(P22:P24),1)</f>
        <v>0</v>
      </c>
      <c r="Q25" s="850"/>
      <c r="R25" s="2118">
        <f>ROUND(SUM(R22:R24),1)</f>
        <v>0</v>
      </c>
      <c r="S25" s="850"/>
      <c r="T25" s="2135">
        <f>ROUND(SUM(T22:T24),1)</f>
        <v>0</v>
      </c>
      <c r="U25" s="859"/>
      <c r="V25" s="2118">
        <f>ROUND(SUM(V22:V24),1)</f>
        <v>0</v>
      </c>
      <c r="W25" s="859"/>
      <c r="X25" s="3299">
        <f>ROUND(SUM(X22:X24),1)</f>
        <v>0</v>
      </c>
      <c r="Y25" s="3277"/>
      <c r="Z25" s="3278"/>
      <c r="AA25" s="3300">
        <f>ROUND(SUM(AA22:AA24),1)</f>
        <v>0.3</v>
      </c>
      <c r="AB25" s="3734"/>
      <c r="AC25" s="3735"/>
      <c r="AD25" s="2199">
        <f>ROUND(SUM(AD22:AD24),1)</f>
        <v>0.3</v>
      </c>
      <c r="AE25" s="3300"/>
      <c r="AF25" s="1678"/>
      <c r="AG25" s="3308">
        <f>ROUND(SUM(AG22:AG24),1)</f>
        <v>0</v>
      </c>
      <c r="AH25" s="1144"/>
      <c r="AI25" s="1167">
        <f>ROUND(IF(AD25=0,0,AG25/ABS(AD25)),3)</f>
        <v>0</v>
      </c>
    </row>
    <row r="26" spans="1:35" s="391" customFormat="1" ht="19.350000000000001" customHeight="1">
      <c r="A26" s="149"/>
      <c r="B26" s="381"/>
      <c r="C26" s="237"/>
      <c r="D26" s="381" t="s">
        <v>15</v>
      </c>
      <c r="E26" s="237"/>
      <c r="F26" s="2200"/>
      <c r="G26" s="237"/>
      <c r="H26" s="853"/>
      <c r="I26" s="845"/>
      <c r="J26" s="853"/>
      <c r="K26" s="237"/>
      <c r="L26" s="853"/>
      <c r="M26" s="845"/>
      <c r="N26" s="853"/>
      <c r="O26" s="845"/>
      <c r="P26" s="853"/>
      <c r="Q26" s="845"/>
      <c r="R26" s="853"/>
      <c r="S26" s="845"/>
      <c r="T26" s="853"/>
      <c r="U26" s="845"/>
      <c r="V26" s="853"/>
      <c r="W26" s="845"/>
      <c r="X26" s="3297"/>
      <c r="Y26" s="1669"/>
      <c r="Z26" s="1670"/>
      <c r="AA26" s="3736"/>
      <c r="AB26" s="3732"/>
      <c r="AC26" s="3737"/>
      <c r="AD26" s="3297"/>
      <c r="AE26" s="1689"/>
      <c r="AF26" s="1672"/>
      <c r="AG26" s="1689"/>
      <c r="AH26" s="1133"/>
      <c r="AI26" s="1132"/>
    </row>
    <row r="27" spans="1:35" s="391" customFormat="1" ht="19.350000000000001" customHeight="1">
      <c r="A27" s="249" t="s">
        <v>157</v>
      </c>
      <c r="B27" s="237"/>
      <c r="C27" s="237"/>
      <c r="D27" s="241" t="s">
        <v>15</v>
      </c>
      <c r="E27" s="237"/>
      <c r="F27" s="1579"/>
      <c r="G27" s="237"/>
      <c r="H27" s="845"/>
      <c r="I27" s="845"/>
      <c r="J27" s="845"/>
      <c r="K27" s="237"/>
      <c r="L27" s="845"/>
      <c r="M27" s="845"/>
      <c r="N27" s="845"/>
      <c r="O27" s="845"/>
      <c r="P27" s="845"/>
      <c r="Q27" s="845"/>
      <c r="R27" s="845"/>
      <c r="S27" s="845"/>
      <c r="T27" s="845"/>
      <c r="U27" s="845"/>
      <c r="V27" s="845"/>
      <c r="W27" s="845"/>
      <c r="X27" s="1668"/>
      <c r="Y27" s="1669"/>
      <c r="Z27" s="1670"/>
      <c r="AA27" s="3298"/>
      <c r="AB27" s="3732"/>
      <c r="AC27" s="3733"/>
      <c r="AD27" s="1668"/>
      <c r="AE27" s="3298"/>
      <c r="AF27" s="1672"/>
      <c r="AG27" s="1689"/>
      <c r="AH27" s="1133"/>
      <c r="AI27" s="1133"/>
    </row>
    <row r="28" spans="1:35" s="391" customFormat="1" ht="18.75" customHeight="1">
      <c r="A28" s="249" t="s">
        <v>45</v>
      </c>
      <c r="B28" s="857">
        <f>ROUND(B17-B25,1)</f>
        <v>0.1</v>
      </c>
      <c r="C28" s="382"/>
      <c r="D28" s="857">
        <f>ROUND(D17-D25,1)</f>
        <v>0.1</v>
      </c>
      <c r="E28" s="868"/>
      <c r="F28" s="3279">
        <f>ROUND(F17-F25,1)</f>
        <v>0.1</v>
      </c>
      <c r="G28" s="868"/>
      <c r="H28" s="857">
        <f>ROUND(H17-H25,1)</f>
        <v>0.1</v>
      </c>
      <c r="I28" s="869"/>
      <c r="J28" s="857">
        <f>ROUND(J17-J25,1)</f>
        <v>-0.6</v>
      </c>
      <c r="K28" s="868"/>
      <c r="L28" s="857">
        <f>ROUND(L17-L25,1)</f>
        <v>0</v>
      </c>
      <c r="M28" s="870"/>
      <c r="N28" s="857">
        <f>ROUND(N17-N25,1)</f>
        <v>0.1</v>
      </c>
      <c r="O28" s="870"/>
      <c r="P28" s="857">
        <f>ROUND(P17-P25,1)</f>
        <v>0</v>
      </c>
      <c r="Q28" s="870"/>
      <c r="R28" s="857">
        <f>ROUND(R17-R25,1)</f>
        <v>0</v>
      </c>
      <c r="S28" s="870"/>
      <c r="T28" s="857">
        <f>ROUND(T17-T25,1)</f>
        <v>0.1</v>
      </c>
      <c r="U28" s="870"/>
      <c r="V28" s="857">
        <f>ROUND(V17-V25,1)</f>
        <v>0</v>
      </c>
      <c r="W28" s="870"/>
      <c r="X28" s="3279">
        <f>ROUND(X17-X25,1)</f>
        <v>0</v>
      </c>
      <c r="Y28" s="3277"/>
      <c r="Z28" s="3278"/>
      <c r="AA28" s="3741">
        <f>ROUND(AA17-AA25,1)</f>
        <v>0</v>
      </c>
      <c r="AB28" s="3734"/>
      <c r="AC28" s="3742"/>
      <c r="AD28" s="3279">
        <f>ROUND(AD17-AD25,1)</f>
        <v>0.9</v>
      </c>
      <c r="AE28" s="3301"/>
      <c r="AF28" s="1678"/>
      <c r="AG28" s="3245">
        <f>ROUND(SUM(AG17-AG25),1)</f>
        <v>-0.9</v>
      </c>
      <c r="AH28" s="1144"/>
      <c r="AI28" s="2122">
        <f>ROUND(IF(AD28=0,-1,AG28/ABS(AD28)),3)</f>
        <v>-1</v>
      </c>
    </row>
    <row r="29" spans="1:35" s="391" customFormat="1" ht="19.350000000000001" customHeight="1">
      <c r="A29" s="149"/>
      <c r="B29" s="241"/>
      <c r="C29" s="237"/>
      <c r="D29" s="241" t="s">
        <v>15</v>
      </c>
      <c r="E29" s="237"/>
      <c r="F29" s="1673"/>
      <c r="G29" s="237"/>
      <c r="H29" s="844"/>
      <c r="I29" s="845"/>
      <c r="J29" s="844"/>
      <c r="K29" s="237"/>
      <c r="L29" s="844"/>
      <c r="M29" s="845"/>
      <c r="N29" s="853"/>
      <c r="O29" s="845"/>
      <c r="P29" s="844"/>
      <c r="Q29" s="845"/>
      <c r="R29" s="844"/>
      <c r="S29" s="845"/>
      <c r="T29" s="844"/>
      <c r="U29" s="845"/>
      <c r="V29" s="844"/>
      <c r="W29" s="845"/>
      <c r="X29" s="3297"/>
      <c r="Y29" s="1669"/>
      <c r="Z29" s="1670"/>
      <c r="AA29" s="1689"/>
      <c r="AB29" s="3732"/>
      <c r="AC29" s="3737"/>
      <c r="AD29" s="1667"/>
      <c r="AE29" s="1689"/>
      <c r="AF29" s="1683"/>
      <c r="AG29" s="1689"/>
      <c r="AH29" s="1133"/>
      <c r="AI29" s="1132"/>
    </row>
    <row r="30" spans="1:35" s="391" customFormat="1" ht="19.350000000000001" customHeight="1">
      <c r="A30" s="249" t="s">
        <v>46</v>
      </c>
      <c r="B30" s="237"/>
      <c r="C30" s="237"/>
      <c r="D30" s="237"/>
      <c r="E30" s="237"/>
      <c r="F30" s="1579"/>
      <c r="G30" s="237"/>
      <c r="H30" s="845"/>
      <c r="I30" s="845"/>
      <c r="J30" s="845"/>
      <c r="K30" s="237"/>
      <c r="L30" s="845"/>
      <c r="M30" s="845"/>
      <c r="N30" s="845"/>
      <c r="O30" s="845"/>
      <c r="P30" s="845"/>
      <c r="Q30" s="845"/>
      <c r="R30" s="845"/>
      <c r="S30" s="845"/>
      <c r="T30" s="845"/>
      <c r="U30" s="845"/>
      <c r="V30" s="845"/>
      <c r="W30" s="845"/>
      <c r="X30" s="1668"/>
      <c r="Y30" s="1669"/>
      <c r="Z30" s="1670"/>
      <c r="AA30" s="3298"/>
      <c r="AB30" s="3732"/>
      <c r="AC30" s="3733"/>
      <c r="AD30" s="1668"/>
      <c r="AE30" s="3298"/>
      <c r="AF30" s="1683"/>
      <c r="AG30" s="1689"/>
      <c r="AH30" s="1133"/>
      <c r="AI30" s="1132"/>
    </row>
    <row r="31" spans="1:35" s="1664" customFormat="1" ht="19.350000000000001" customHeight="1">
      <c r="A31" s="193" t="s">
        <v>181</v>
      </c>
      <c r="B31" s="854">
        <v>0</v>
      </c>
      <c r="C31" s="237"/>
      <c r="D31" s="854">
        <v>0</v>
      </c>
      <c r="E31" s="237"/>
      <c r="F31" s="1688">
        <v>0</v>
      </c>
      <c r="G31" s="237"/>
      <c r="H31" s="854">
        <v>0</v>
      </c>
      <c r="I31" s="1668"/>
      <c r="J31" s="1688">
        <v>0</v>
      </c>
      <c r="K31" s="1579"/>
      <c r="L31" s="854">
        <v>0</v>
      </c>
      <c r="M31" s="1668"/>
      <c r="N31" s="1688">
        <v>0</v>
      </c>
      <c r="O31" s="1668"/>
      <c r="P31" s="1688">
        <v>0</v>
      </c>
      <c r="Q31" s="1668"/>
      <c r="R31" s="1688">
        <v>0</v>
      </c>
      <c r="S31" s="1668"/>
      <c r="T31" s="1688">
        <f t="shared" ref="T31:T32" si="1">$AA31-$B31-$D31-$F31-$H31-$J31-$L31-$N31-$P31-$R31</f>
        <v>0</v>
      </c>
      <c r="U31" s="1668"/>
      <c r="V31" s="1688"/>
      <c r="W31" s="1668"/>
      <c r="X31" s="1688"/>
      <c r="Y31" s="1669"/>
      <c r="Z31" s="1670"/>
      <c r="AA31" s="1675">
        <v>0</v>
      </c>
      <c r="AB31" s="3732"/>
      <c r="AC31" s="3733"/>
      <c r="AD31" s="1675">
        <v>0</v>
      </c>
      <c r="AE31" s="1680"/>
      <c r="AF31" s="1682"/>
      <c r="AG31" s="1673">
        <f>ROUND(SUM(AA31-AD31),1)</f>
        <v>0</v>
      </c>
      <c r="AH31" s="1681"/>
      <c r="AI31" s="1674">
        <f>ROUND(IF(AG31=0,0,AG31/ABS(AD31)),3)</f>
        <v>0</v>
      </c>
    </row>
    <row r="32" spans="1:35" s="1664" customFormat="1" ht="19.350000000000001" customHeight="1">
      <c r="A32" s="193" t="s">
        <v>182</v>
      </c>
      <c r="B32" s="854">
        <v>0</v>
      </c>
      <c r="C32" s="237"/>
      <c r="D32" s="854">
        <v>0</v>
      </c>
      <c r="E32" s="237"/>
      <c r="F32" s="1688">
        <v>0</v>
      </c>
      <c r="G32" s="237"/>
      <c r="H32" s="854">
        <v>0</v>
      </c>
      <c r="I32" s="1668"/>
      <c r="J32" s="1666">
        <v>0</v>
      </c>
      <c r="K32" s="1579"/>
      <c r="L32" s="854">
        <v>0</v>
      </c>
      <c r="M32" s="1667"/>
      <c r="N32" s="1688">
        <v>0</v>
      </c>
      <c r="O32" s="1666"/>
      <c r="P32" s="1688">
        <v>0</v>
      </c>
      <c r="Q32" s="1667"/>
      <c r="R32" s="1688">
        <v>0</v>
      </c>
      <c r="S32" s="1667"/>
      <c r="T32" s="1688">
        <f t="shared" si="1"/>
        <v>0</v>
      </c>
      <c r="U32" s="1667"/>
      <c r="V32" s="1688"/>
      <c r="W32" s="1667"/>
      <c r="X32" s="1688"/>
      <c r="Y32" s="1669"/>
      <c r="Z32" s="1670"/>
      <c r="AA32" s="1675">
        <v>0</v>
      </c>
      <c r="AB32" s="3743"/>
      <c r="AC32" s="3744"/>
      <c r="AD32" s="1675">
        <v>0</v>
      </c>
      <c r="AE32" s="1680"/>
      <c r="AF32" s="1683"/>
      <c r="AG32" s="1673">
        <f>ROUND(SUM(AA32-AD32),1)</f>
        <v>0</v>
      </c>
      <c r="AH32" s="1681"/>
      <c r="AI32" s="1674">
        <f>ROUND(IF(AG32=0,0,AG32/ABS(AD32)),3)</f>
        <v>0</v>
      </c>
    </row>
    <row r="33" spans="1:35" s="391" customFormat="1" ht="22.5" customHeight="1">
      <c r="A33" s="249" t="s">
        <v>207</v>
      </c>
      <c r="B33" s="871">
        <f>ROUND(SUM(B31:B32),1)</f>
        <v>0</v>
      </c>
      <c r="C33" s="382"/>
      <c r="D33" s="871">
        <f>ROUND(SUM(D31:D32),1)</f>
        <v>0</v>
      </c>
      <c r="E33" s="382"/>
      <c r="F33" s="3280">
        <f>ROUND(SUM(F31:F32),1)</f>
        <v>0</v>
      </c>
      <c r="G33" s="382"/>
      <c r="H33" s="871">
        <f>ROUND(SUM(H31:H32),1)</f>
        <v>0</v>
      </c>
      <c r="I33" s="850"/>
      <c r="J33" s="871">
        <f>ROUND(SUM(J31:J32),1)</f>
        <v>0</v>
      </c>
      <c r="K33" s="382"/>
      <c r="L33" s="871">
        <f>ROUND(SUM(L31:L32),1)</f>
        <v>0</v>
      </c>
      <c r="M33" s="850"/>
      <c r="N33" s="871">
        <f>ROUND(SUM(N31:N32),1)</f>
        <v>0</v>
      </c>
      <c r="O33" s="850"/>
      <c r="P33" s="871">
        <f>ROUND(SUM(P31:P32),1)</f>
        <v>0</v>
      </c>
      <c r="Q33" s="872"/>
      <c r="R33" s="871">
        <f>ROUND(SUM(R31:R32),1)</f>
        <v>0</v>
      </c>
      <c r="S33" s="850"/>
      <c r="T33" s="871">
        <f>ROUND(SUM(T31:T32),1)</f>
        <v>0</v>
      </c>
      <c r="U33" s="850"/>
      <c r="V33" s="871">
        <f>ROUND(SUM(V31:V32),1)</f>
        <v>0</v>
      </c>
      <c r="W33" s="850"/>
      <c r="X33" s="3280">
        <f>ROUND(SUM(X31:X32),1)</f>
        <v>0</v>
      </c>
      <c r="Y33" s="3277"/>
      <c r="Z33" s="3278"/>
      <c r="AA33" s="3745">
        <f>ROUND(SUM(AA31:AA32),1)</f>
        <v>0</v>
      </c>
      <c r="AB33" s="3746"/>
      <c r="AC33" s="3747"/>
      <c r="AD33" s="3280">
        <f>ROUND(SUM(AD31:AD32),1)</f>
        <v>0</v>
      </c>
      <c r="AE33" s="3309"/>
      <c r="AF33" s="1682"/>
      <c r="AG33" s="3308">
        <f>ROUND(SUM(AG31-AG32),1)</f>
        <v>0</v>
      </c>
      <c r="AH33" s="1151"/>
      <c r="AI33" s="1167">
        <f>ROUND(IF(AG33=0,0,AG33/ABS(AD33)),3)</f>
        <v>0</v>
      </c>
    </row>
    <row r="34" spans="1:35" s="391" customFormat="1" ht="19.350000000000001" customHeight="1">
      <c r="A34" s="149"/>
      <c r="B34" s="381"/>
      <c r="C34" s="237"/>
      <c r="D34" s="381" t="s">
        <v>15</v>
      </c>
      <c r="E34" s="237"/>
      <c r="F34" s="2200"/>
      <c r="G34" s="237"/>
      <c r="H34" s="853"/>
      <c r="I34" s="845"/>
      <c r="J34" s="853"/>
      <c r="K34" s="237"/>
      <c r="L34" s="853"/>
      <c r="M34" s="845"/>
      <c r="N34" s="853"/>
      <c r="O34" s="845"/>
      <c r="P34" s="853"/>
      <c r="Q34" s="845"/>
      <c r="R34" s="853"/>
      <c r="S34" s="845"/>
      <c r="T34" s="853"/>
      <c r="U34" s="845"/>
      <c r="V34" s="853"/>
      <c r="W34" s="845"/>
      <c r="X34" s="3297"/>
      <c r="Y34" s="1669"/>
      <c r="Z34" s="1670"/>
      <c r="AA34" s="3736"/>
      <c r="AB34" s="3732"/>
      <c r="AC34" s="3737"/>
      <c r="AD34" s="3297"/>
      <c r="AE34" s="1689"/>
      <c r="AF34" s="1672"/>
      <c r="AG34" s="1689"/>
      <c r="AH34" s="1133"/>
      <c r="AI34" s="1132"/>
    </row>
    <row r="35" spans="1:35" s="391" customFormat="1" ht="19.350000000000001" customHeight="1">
      <c r="A35" s="249" t="s">
        <v>165</v>
      </c>
      <c r="B35" s="237"/>
      <c r="C35" s="237"/>
      <c r="D35" s="237" t="s">
        <v>15</v>
      </c>
      <c r="E35" s="237"/>
      <c r="F35" s="1579"/>
      <c r="G35" s="237"/>
      <c r="H35" s="845"/>
      <c r="I35" s="845"/>
      <c r="J35" s="845"/>
      <c r="K35" s="237"/>
      <c r="L35" s="845"/>
      <c r="M35" s="845"/>
      <c r="N35" s="845"/>
      <c r="O35" s="845"/>
      <c r="P35" s="845"/>
      <c r="Q35" s="845"/>
      <c r="R35" s="845"/>
      <c r="S35" s="845"/>
      <c r="T35" s="845"/>
      <c r="U35" s="845"/>
      <c r="V35" s="845"/>
      <c r="W35" s="845"/>
      <c r="X35" s="1668"/>
      <c r="Y35" s="1669"/>
      <c r="Z35" s="1670"/>
      <c r="AA35" s="3298"/>
      <c r="AB35" s="3732"/>
      <c r="AC35" s="3733"/>
      <c r="AD35" s="1668"/>
      <c r="AE35" s="3298"/>
      <c r="AF35" s="1672"/>
      <c r="AG35" s="1689"/>
      <c r="AH35" s="1133"/>
      <c r="AI35" s="1132"/>
    </row>
    <row r="36" spans="1:35" s="391" customFormat="1" ht="19.350000000000001" customHeight="1">
      <c r="A36" s="249" t="s">
        <v>226</v>
      </c>
      <c r="B36" s="237"/>
      <c r="C36" s="237"/>
      <c r="D36" s="237"/>
      <c r="E36" s="237"/>
      <c r="F36" s="1579"/>
      <c r="G36" s="237"/>
      <c r="H36" s="845"/>
      <c r="I36" s="845"/>
      <c r="J36" s="845"/>
      <c r="K36" s="237"/>
      <c r="L36" s="845"/>
      <c r="M36" s="845"/>
      <c r="N36" s="845"/>
      <c r="O36" s="845"/>
      <c r="P36" s="845"/>
      <c r="Q36" s="845"/>
      <c r="R36" s="845"/>
      <c r="S36" s="845"/>
      <c r="T36" s="845"/>
      <c r="U36" s="845"/>
      <c r="V36" s="844"/>
      <c r="W36" s="845"/>
      <c r="X36" s="1668"/>
      <c r="Y36" s="1669"/>
      <c r="Z36" s="1670"/>
      <c r="AA36" s="3298"/>
      <c r="AB36" s="3732"/>
      <c r="AC36" s="3733"/>
      <c r="AD36" s="1668"/>
      <c r="AE36" s="3310"/>
      <c r="AF36" s="1710"/>
      <c r="AG36" s="1689"/>
      <c r="AH36" s="1133"/>
      <c r="AI36" s="1133"/>
    </row>
    <row r="37" spans="1:35" s="393" customFormat="1" ht="19.350000000000001" customHeight="1">
      <c r="A37" s="249" t="s">
        <v>167</v>
      </c>
      <c r="B37" s="855">
        <f>ROUND(B28+B33,1)</f>
        <v>0.1</v>
      </c>
      <c r="C37" s="382"/>
      <c r="D37" s="855">
        <f>ROUND(D28+D33,1)</f>
        <v>0.1</v>
      </c>
      <c r="E37" s="384"/>
      <c r="F37" s="1700">
        <f>ROUND(F28+F33,1)</f>
        <v>0.1</v>
      </c>
      <c r="G37" s="384"/>
      <c r="H37" s="855">
        <f>ROUND(H28+H33,1)</f>
        <v>0.1</v>
      </c>
      <c r="I37" s="859"/>
      <c r="J37" s="855">
        <f>ROUND(J28+J33,1)</f>
        <v>-0.6</v>
      </c>
      <c r="K37" s="384"/>
      <c r="L37" s="855">
        <f>ROUND(L28+L33,1)</f>
        <v>0</v>
      </c>
      <c r="M37" s="860"/>
      <c r="N37" s="855">
        <f>ROUND(N28+N33,1)</f>
        <v>0.1</v>
      </c>
      <c r="O37" s="860"/>
      <c r="P37" s="855">
        <f>ROUND(P28+P33,1)</f>
        <v>0</v>
      </c>
      <c r="Q37" s="860"/>
      <c r="R37" s="855">
        <f>ROUND(R28+R33,1)</f>
        <v>0</v>
      </c>
      <c r="S37" s="859"/>
      <c r="T37" s="855">
        <f>ROUND(T28+T33,1)</f>
        <v>0.1</v>
      </c>
      <c r="U37" s="859"/>
      <c r="V37" s="855">
        <f>ROUND(V28+V33,1)</f>
        <v>0</v>
      </c>
      <c r="W37" s="859"/>
      <c r="X37" s="1700">
        <f>ROUND(X28+X33,1)</f>
        <v>0</v>
      </c>
      <c r="Y37" s="3277"/>
      <c r="Z37" s="3278"/>
      <c r="AA37" s="3301">
        <f>ROUND(AA28+AA33,1)</f>
        <v>0</v>
      </c>
      <c r="AB37" s="3302"/>
      <c r="AC37" s="3748"/>
      <c r="AD37" s="1700">
        <f>ROUND(AD28+AD33,1)</f>
        <v>0.9</v>
      </c>
      <c r="AE37" s="3301"/>
      <c r="AF37" s="2206"/>
      <c r="AG37" s="3302">
        <f>ROUND(SUM(AG28+AG33),1)</f>
        <v>-0.9</v>
      </c>
      <c r="AH37" s="1124"/>
      <c r="AI37" s="2122">
        <f>ROUND(IF(AD37=0,-1,AG37/ABS(AD37)),3)</f>
        <v>-1</v>
      </c>
    </row>
    <row r="38" spans="1:35" s="391" customFormat="1" ht="22.5" customHeight="1" thickBot="1">
      <c r="A38" s="249" t="s">
        <v>141</v>
      </c>
      <c r="B38" s="861">
        <f>ROUND(SUM(B13,B37),1)</f>
        <v>14.4</v>
      </c>
      <c r="C38" s="377"/>
      <c r="D38" s="861">
        <f>ROUND(SUM(D13,D37),1)</f>
        <v>14.5</v>
      </c>
      <c r="E38" s="377"/>
      <c r="F38" s="3281">
        <f>ROUND(SUM(F13,F37),1)</f>
        <v>14.6</v>
      </c>
      <c r="G38" s="377"/>
      <c r="H38" s="861">
        <f>ROUND(SUM(H13,H37),1)</f>
        <v>14.7</v>
      </c>
      <c r="I38" s="862"/>
      <c r="J38" s="861">
        <f>ROUND(SUM(J13,J37),1)</f>
        <v>14.1</v>
      </c>
      <c r="K38" s="377"/>
      <c r="L38" s="861">
        <f>ROUND(SUM(L13,L37),1)</f>
        <v>14.1</v>
      </c>
      <c r="M38" s="378"/>
      <c r="N38" s="861">
        <f>ROUND(SUM(N13,N37),1)</f>
        <v>14.2</v>
      </c>
      <c r="O38" s="378"/>
      <c r="P38" s="861">
        <f>ROUND(SUM(P13,P37),1)</f>
        <v>14.2</v>
      </c>
      <c r="Q38" s="378"/>
      <c r="R38" s="861">
        <f>ROUND(SUM(R13,R37),1)</f>
        <v>14.2</v>
      </c>
      <c r="S38" s="862"/>
      <c r="T38" s="861">
        <f>ROUND(SUM(T13,T37),1)</f>
        <v>14.3</v>
      </c>
      <c r="U38" s="862"/>
      <c r="V38" s="861">
        <f>ROUND(SUM(V13,V37),1)</f>
        <v>0</v>
      </c>
      <c r="W38" s="862"/>
      <c r="X38" s="3281">
        <f>ROUND(SUM(X13,X37),1)</f>
        <v>0</v>
      </c>
      <c r="Y38" s="1657"/>
      <c r="Z38" s="1658"/>
      <c r="AA38" s="3749">
        <f>ROUND(SUM(AA13,AA37),1)</f>
        <v>14.3</v>
      </c>
      <c r="AB38" s="1661"/>
      <c r="AC38" s="3750"/>
      <c r="AD38" s="3311">
        <f>ROUND(SUM(AD13,AD37),1)</f>
        <v>14.1</v>
      </c>
      <c r="AE38" s="1661"/>
      <c r="AF38" s="2208"/>
      <c r="AG38" s="3311">
        <f>ROUND(SUM(AA38-AD38),1)</f>
        <v>0.2</v>
      </c>
      <c r="AH38" s="1150"/>
      <c r="AI38" s="1169">
        <f>ROUND(IF(AG38=0,0,AG38/ABS(AD38)),3)</f>
        <v>1.4E-2</v>
      </c>
    </row>
    <row r="39" spans="1:35" s="391" customFormat="1" ht="19.350000000000001" customHeight="1" thickTop="1">
      <c r="A39" s="149" t="s">
        <v>15</v>
      </c>
      <c r="B39" s="863"/>
      <c r="C39" s="864"/>
      <c r="D39" s="863"/>
      <c r="E39" s="864"/>
      <c r="F39" s="3282"/>
      <c r="G39" s="864"/>
      <c r="H39" s="863"/>
      <c r="I39" s="864"/>
      <c r="J39" s="863"/>
      <c r="K39" s="864"/>
      <c r="L39" s="863"/>
      <c r="M39" s="864"/>
      <c r="N39" s="863"/>
      <c r="O39" s="864"/>
      <c r="P39" s="863"/>
      <c r="Q39" s="864"/>
      <c r="R39" s="863"/>
      <c r="S39" s="864"/>
      <c r="T39" s="863"/>
      <c r="U39" s="864"/>
      <c r="V39" s="863"/>
      <c r="W39" s="864"/>
      <c r="X39" s="3282"/>
      <c r="Y39" s="3284"/>
      <c r="Z39" s="3284"/>
      <c r="AA39" s="3303"/>
      <c r="AB39" s="3304"/>
      <c r="AC39" s="3304"/>
      <c r="AD39" s="3304"/>
      <c r="AE39" s="3304"/>
      <c r="AF39" s="3304"/>
      <c r="AG39" s="3241"/>
      <c r="AH39" s="1133"/>
      <c r="AI39" s="1132"/>
    </row>
    <row r="40" spans="1:35" s="391" customFormat="1" ht="19.350000000000001" customHeight="1">
      <c r="B40" s="59"/>
      <c r="C40" s="165"/>
      <c r="D40" s="59"/>
      <c r="E40" s="59"/>
      <c r="F40" s="59"/>
      <c r="G40" s="59"/>
      <c r="H40" s="59"/>
      <c r="I40" s="59"/>
      <c r="J40" s="59"/>
      <c r="K40" s="59"/>
      <c r="L40" s="59"/>
      <c r="M40" s="59"/>
      <c r="N40" s="59"/>
      <c r="O40" s="59"/>
      <c r="P40" s="59"/>
      <c r="Q40" s="59"/>
      <c r="R40" s="59"/>
      <c r="S40" s="59"/>
      <c r="T40" s="59"/>
      <c r="U40" s="59"/>
      <c r="V40" s="59"/>
      <c r="W40" s="59"/>
      <c r="X40" s="117"/>
      <c r="Y40" s="117"/>
      <c r="Z40" s="117"/>
      <c r="AA40" s="117"/>
      <c r="AB40" s="117"/>
      <c r="AC40" s="117"/>
      <c r="AD40" s="117"/>
      <c r="AE40" s="117"/>
      <c r="AF40" s="117"/>
      <c r="AG40" s="3312"/>
      <c r="AH40" s="395"/>
    </row>
    <row r="41" spans="1:35" ht="15.75" customHeight="1">
      <c r="A41" s="394"/>
      <c r="B41" s="165"/>
      <c r="C41" s="165"/>
      <c r="D41" s="165"/>
      <c r="E41" s="165"/>
      <c r="F41" s="165"/>
      <c r="G41" s="165"/>
      <c r="H41" s="165"/>
      <c r="I41" s="165"/>
      <c r="J41" s="165"/>
      <c r="K41" s="165"/>
      <c r="L41" s="165"/>
      <c r="M41" s="165"/>
      <c r="N41" s="165"/>
      <c r="O41" s="165"/>
      <c r="P41" s="165"/>
      <c r="Q41" s="165"/>
      <c r="R41" s="165"/>
      <c r="S41" s="165"/>
      <c r="T41" s="165"/>
      <c r="U41" s="165"/>
      <c r="V41" s="165"/>
      <c r="W41" s="165"/>
      <c r="X41" s="140"/>
      <c r="Y41" s="140"/>
      <c r="Z41" s="140"/>
      <c r="AA41" s="140"/>
      <c r="AB41" s="140"/>
      <c r="AC41" s="140"/>
      <c r="AD41" s="140"/>
      <c r="AE41" s="140"/>
      <c r="AF41" s="140"/>
      <c r="AG41" s="3313"/>
    </row>
    <row r="42" spans="1:35" ht="15">
      <c r="A42" s="391"/>
    </row>
    <row r="43" spans="1:35" ht="13.5" customHeight="1">
      <c r="A43" s="690"/>
      <c r="B43" s="165"/>
      <c r="C43" s="165"/>
      <c r="D43" s="165"/>
      <c r="E43" s="165"/>
      <c r="F43" s="165"/>
      <c r="G43" s="165"/>
      <c r="H43" s="165"/>
      <c r="I43" s="165"/>
      <c r="J43" s="165"/>
      <c r="K43" s="165"/>
      <c r="L43" s="165"/>
      <c r="M43" s="165"/>
      <c r="N43" s="165"/>
      <c r="O43" s="165"/>
      <c r="P43" s="165"/>
      <c r="Q43" s="165"/>
      <c r="R43" s="165"/>
      <c r="S43" s="165"/>
      <c r="T43" s="165"/>
      <c r="U43" s="165"/>
      <c r="V43" s="165"/>
      <c r="W43" s="165"/>
      <c r="X43" s="140"/>
      <c r="Y43" s="140"/>
      <c r="Z43" s="140"/>
      <c r="AA43" s="140"/>
      <c r="AB43" s="140"/>
      <c r="AC43" s="140"/>
      <c r="AD43" s="140"/>
      <c r="AE43" s="140"/>
      <c r="AF43" s="140"/>
      <c r="AG43" s="3313"/>
    </row>
    <row r="44" spans="1:35" ht="15">
      <c r="A44" s="31"/>
      <c r="B44" s="165"/>
      <c r="C44" s="165"/>
      <c r="D44" s="165"/>
      <c r="E44" s="165"/>
      <c r="F44" s="165"/>
      <c r="G44" s="165"/>
      <c r="H44" s="165"/>
      <c r="I44" s="165"/>
      <c r="J44" s="165"/>
      <c r="K44" s="165"/>
      <c r="L44" s="165"/>
      <c r="M44" s="165"/>
      <c r="N44" s="165"/>
      <c r="O44" s="165"/>
      <c r="P44" s="165"/>
      <c r="Q44" s="165"/>
      <c r="R44" s="165"/>
      <c r="S44" s="165"/>
      <c r="T44" s="165"/>
      <c r="U44" s="165"/>
      <c r="V44" s="165"/>
      <c r="W44" s="165"/>
      <c r="X44" s="140"/>
      <c r="Y44" s="140"/>
      <c r="Z44" s="140"/>
      <c r="AA44" s="140"/>
      <c r="AB44" s="140"/>
      <c r="AC44" s="140"/>
      <c r="AD44" s="140"/>
      <c r="AE44" s="140"/>
      <c r="AF44" s="140"/>
      <c r="AG44" s="3313"/>
    </row>
    <row r="45" spans="1:35" ht="15">
      <c r="A45" s="31"/>
      <c r="B45" s="165"/>
      <c r="C45" s="165"/>
      <c r="D45" s="165"/>
      <c r="E45" s="165"/>
      <c r="F45" s="165"/>
      <c r="G45" s="165"/>
      <c r="H45" s="165"/>
      <c r="I45" s="165"/>
      <c r="J45" s="165"/>
      <c r="K45" s="165"/>
      <c r="L45" s="165"/>
      <c r="M45" s="165"/>
      <c r="N45" s="165"/>
      <c r="O45" s="165"/>
      <c r="P45" s="165"/>
      <c r="Q45" s="165"/>
      <c r="R45" s="165"/>
      <c r="S45" s="165"/>
      <c r="T45" s="165"/>
      <c r="U45" s="165"/>
      <c r="V45" s="165"/>
      <c r="W45" s="165"/>
      <c r="X45" s="140"/>
      <c r="Y45" s="140"/>
      <c r="Z45" s="140"/>
      <c r="AA45" s="140"/>
      <c r="AB45" s="140"/>
      <c r="AC45" s="140"/>
      <c r="AD45" s="140"/>
      <c r="AE45" s="140"/>
      <c r="AF45" s="140"/>
    </row>
    <row r="46" spans="1:35" ht="15">
      <c r="A46" s="31"/>
      <c r="B46" s="165"/>
      <c r="C46" s="165"/>
      <c r="D46" s="165"/>
      <c r="E46" s="165"/>
      <c r="F46" s="165"/>
      <c r="G46" s="165"/>
      <c r="H46" s="165"/>
      <c r="I46" s="165"/>
      <c r="J46" s="165"/>
      <c r="K46" s="165"/>
      <c r="L46" s="165"/>
      <c r="M46" s="165"/>
      <c r="N46" s="165"/>
      <c r="O46" s="165"/>
      <c r="P46" s="165"/>
      <c r="Q46" s="165"/>
      <c r="R46" s="165"/>
      <c r="S46" s="165"/>
      <c r="T46" s="165"/>
      <c r="U46" s="165"/>
      <c r="V46" s="165"/>
      <c r="W46" s="165"/>
      <c r="X46" s="140"/>
      <c r="Y46" s="140"/>
      <c r="Z46" s="140"/>
      <c r="AA46" s="140"/>
      <c r="AB46" s="140"/>
      <c r="AC46" s="140"/>
      <c r="AD46" s="140"/>
      <c r="AE46" s="140"/>
      <c r="AF46" s="140"/>
    </row>
    <row r="47" spans="1:35" ht="15">
      <c r="A47" s="31"/>
      <c r="B47" s="31"/>
      <c r="C47" s="31"/>
      <c r="D47" s="31"/>
      <c r="E47" s="31"/>
      <c r="F47" s="31"/>
      <c r="G47" s="31"/>
      <c r="H47" s="31"/>
      <c r="I47" s="31"/>
      <c r="J47" s="31"/>
      <c r="K47" s="31"/>
      <c r="L47" s="31"/>
      <c r="M47" s="31"/>
      <c r="N47" s="31"/>
      <c r="O47" s="31"/>
      <c r="P47" s="31"/>
      <c r="Q47" s="31"/>
      <c r="R47" s="31"/>
      <c r="S47" s="31"/>
      <c r="T47" s="31"/>
      <c r="U47" s="31"/>
      <c r="V47" s="31"/>
      <c r="W47" s="31"/>
      <c r="X47" s="107"/>
      <c r="Y47" s="107"/>
      <c r="Z47" s="107"/>
      <c r="AA47" s="107"/>
      <c r="AB47" s="107"/>
      <c r="AC47" s="107"/>
      <c r="AD47" s="107"/>
      <c r="AE47" s="107"/>
      <c r="AF47" s="107"/>
    </row>
  </sheetData>
  <mergeCells count="2">
    <mergeCell ref="AC9:AI9"/>
    <mergeCell ref="AA10:AI10"/>
  </mergeCells>
  <pageMargins left="0.25" right="0.25" top="0.5" bottom="0.25" header="0" footer="0.25"/>
  <pageSetup scale="43" firstPageNumber="37" fitToHeight="0" orientation="landscape" useFirstPageNumber="1" r:id="rId1"/>
  <headerFooter scaleWithDoc="0" alignWithMargins="0">
    <oddFooter>&amp;C&amp;8&amp;P</oddFooter>
  </headerFooter>
  <ignoredErrors>
    <ignoredError sqref="AI23"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fitToPage="1"/>
  </sheetPr>
  <dimension ref="A1:AG69"/>
  <sheetViews>
    <sheetView showGridLines="0" zoomScale="120" zoomScaleNormal="120" workbookViewId="0"/>
  </sheetViews>
  <sheetFormatPr defaultColWidth="8.6640625" defaultRowHeight="11.25"/>
  <cols>
    <col min="1" max="1" width="38.44140625" style="2235" customWidth="1"/>
    <col min="2" max="2" width="6.6640625" style="2235" customWidth="1"/>
    <col min="3" max="3" width="4.109375" style="2235" customWidth="1"/>
    <col min="4" max="4" width="14" style="2235" customWidth="1"/>
    <col min="5" max="5" width="1.109375" style="2235" customWidth="1"/>
    <col min="6" max="6" width="13.44140625" style="2235" customWidth="1"/>
    <col min="7" max="7" width="1.109375" style="2235" customWidth="1"/>
    <col min="8" max="8" width="13.44140625" style="2236" customWidth="1"/>
    <col min="9" max="9" width="1.6640625" style="2235" customWidth="1"/>
    <col min="10" max="10" width="13.44140625" style="2235" customWidth="1"/>
    <col min="11" max="11" width="1.109375" style="2235" customWidth="1"/>
    <col min="12" max="12" width="11.6640625" style="2235" customWidth="1"/>
    <col min="13" max="13" width="1.109375" style="2235" customWidth="1"/>
    <col min="14" max="14" width="13.5546875" style="2235" customWidth="1"/>
    <col min="15" max="15" width="1.109375" style="2235" customWidth="1"/>
    <col min="16" max="16" width="0.6640625" style="2235" customWidth="1"/>
    <col min="17" max="17" width="1.109375" style="2235" customWidth="1"/>
    <col min="18" max="18" width="14.44140625" style="2235" customWidth="1"/>
    <col min="19" max="19" width="1.109375" style="2235" customWidth="1"/>
    <col min="20" max="20" width="14.44140625" style="2235" customWidth="1"/>
    <col min="21" max="21" width="1.109375" style="2237" customWidth="1"/>
    <col min="22" max="22" width="0.6640625" style="2237" customWidth="1"/>
    <col min="23" max="24" width="1.109375" style="2237" customWidth="1"/>
    <col min="25" max="25" width="12.6640625" style="2237" customWidth="1"/>
    <col min="26" max="26" width="1.109375" style="2237" customWidth="1"/>
    <col min="27" max="27" width="16.6640625" style="2237" bestFit="1" customWidth="1"/>
    <col min="28" max="28" width="1.6640625" style="2237" customWidth="1"/>
    <col min="29" max="29" width="1.109375" style="2343" customWidth="1"/>
    <col min="30" max="30" width="13.109375" style="2237" customWidth="1"/>
    <col min="31" max="31" width="3" style="2237" customWidth="1"/>
    <col min="32" max="32" width="12" style="2237" customWidth="1"/>
    <col min="33" max="16384" width="8.6640625" style="2237"/>
  </cols>
  <sheetData>
    <row r="1" spans="1:33" ht="15">
      <c r="A1" s="2234" t="s">
        <v>963</v>
      </c>
    </row>
    <row r="2" spans="1:33" ht="15" customHeight="1">
      <c r="A2" s="2234"/>
    </row>
    <row r="3" spans="1:33" ht="21" customHeight="1">
      <c r="A3" s="3935" t="s">
        <v>0</v>
      </c>
      <c r="B3" s="3936"/>
      <c r="C3" s="3936"/>
      <c r="D3" s="3936"/>
      <c r="E3" s="3936"/>
      <c r="F3" s="3936"/>
      <c r="G3" s="3936"/>
      <c r="H3" s="3936"/>
      <c r="I3" s="3936"/>
      <c r="J3" s="3936"/>
      <c r="K3" s="3936"/>
      <c r="L3" s="3936"/>
      <c r="M3" s="3936"/>
      <c r="N3" s="3936"/>
      <c r="O3" s="3936"/>
      <c r="P3" s="3936"/>
      <c r="Q3" s="3936"/>
      <c r="R3" s="3936"/>
      <c r="S3" s="3936"/>
      <c r="T3" s="3936"/>
      <c r="U3" s="3936"/>
      <c r="V3" s="3936"/>
      <c r="W3" s="3936"/>
      <c r="X3" s="3936"/>
      <c r="Y3" s="3936"/>
      <c r="Z3" s="3936"/>
      <c r="AA3" s="3936"/>
      <c r="AB3" s="3936"/>
      <c r="AC3" s="2344"/>
      <c r="AF3" s="2241" t="s">
        <v>54</v>
      </c>
    </row>
    <row r="4" spans="1:33" ht="20.25">
      <c r="A4" s="3937" t="s">
        <v>1163</v>
      </c>
      <c r="B4" s="3936"/>
      <c r="C4" s="3936"/>
      <c r="D4" s="3936"/>
      <c r="E4" s="3936"/>
      <c r="F4" s="3936"/>
      <c r="G4" s="3936"/>
      <c r="H4" s="3936"/>
      <c r="I4" s="3936"/>
      <c r="J4" s="3936"/>
      <c r="K4" s="3936"/>
      <c r="L4" s="3936"/>
      <c r="M4" s="3936"/>
      <c r="N4" s="3936"/>
      <c r="O4" s="3936"/>
      <c r="P4" s="3936"/>
      <c r="Q4" s="3936"/>
      <c r="R4" s="3936"/>
      <c r="S4" s="3936"/>
      <c r="T4" s="3936"/>
      <c r="U4" s="3936"/>
      <c r="V4" s="3936"/>
      <c r="W4" s="3936"/>
      <c r="X4" s="3936"/>
      <c r="Y4" s="3936"/>
      <c r="Z4" s="3936"/>
      <c r="AA4" s="3936"/>
      <c r="AB4" s="3936"/>
      <c r="AC4" s="2344"/>
      <c r="AF4" s="2241" t="s">
        <v>55</v>
      </c>
    </row>
    <row r="5" spans="1:33" ht="21" customHeight="1">
      <c r="A5" s="3937" t="s">
        <v>871</v>
      </c>
      <c r="B5" s="3936"/>
      <c r="C5" s="3936"/>
      <c r="D5" s="3936"/>
      <c r="E5" s="3936"/>
      <c r="F5" s="3936"/>
      <c r="G5" s="3936"/>
      <c r="H5" s="3936"/>
      <c r="I5" s="3936"/>
      <c r="J5" s="3936"/>
      <c r="K5" s="3936"/>
      <c r="L5" s="3936"/>
      <c r="M5" s="3936"/>
      <c r="N5" s="3936"/>
      <c r="O5" s="3936"/>
      <c r="P5" s="3936"/>
      <c r="Q5" s="3936"/>
      <c r="R5" s="3936"/>
      <c r="S5" s="3936"/>
      <c r="T5" s="3936"/>
      <c r="U5" s="3936"/>
      <c r="V5" s="3936"/>
      <c r="W5" s="3936"/>
      <c r="X5" s="3936"/>
      <c r="Y5" s="3936"/>
      <c r="Z5" s="3936"/>
      <c r="AA5" s="3936"/>
      <c r="AB5" s="3936"/>
      <c r="AC5" s="2344"/>
    </row>
    <row r="6" spans="1:33" ht="21" customHeight="1">
      <c r="A6" s="2345" t="s">
        <v>1363</v>
      </c>
      <c r="B6" s="2346"/>
      <c r="C6" s="2346"/>
      <c r="D6" s="2346"/>
      <c r="E6" s="2346"/>
      <c r="F6" s="2346"/>
      <c r="G6" s="2346"/>
      <c r="H6" s="2346"/>
      <c r="I6" s="2346"/>
      <c r="J6" s="2346"/>
      <c r="K6" s="2346"/>
      <c r="L6" s="2346"/>
      <c r="M6" s="2346"/>
      <c r="N6" s="2346"/>
      <c r="O6" s="2346"/>
      <c r="P6" s="2346"/>
      <c r="Q6" s="2346"/>
      <c r="R6" s="2346"/>
      <c r="S6" s="2346"/>
      <c r="T6" s="2346"/>
      <c r="U6" s="2346"/>
      <c r="V6" s="2346"/>
      <c r="W6" s="2346"/>
      <c r="X6" s="2346"/>
      <c r="Y6" s="3475"/>
      <c r="Z6" s="3437"/>
      <c r="AA6" s="3864"/>
      <c r="AB6" s="2346"/>
      <c r="AC6" s="2344"/>
    </row>
    <row r="7" spans="1:33" ht="15.75" customHeight="1">
      <c r="A7" s="3937"/>
      <c r="B7" s="3936"/>
      <c r="C7" s="3936"/>
      <c r="D7" s="3936"/>
      <c r="E7" s="3936"/>
      <c r="F7" s="3936"/>
      <c r="G7" s="3936"/>
      <c r="H7" s="3936"/>
      <c r="I7" s="3936"/>
      <c r="J7" s="3936"/>
      <c r="K7" s="3936"/>
      <c r="L7" s="3936"/>
      <c r="M7" s="3936"/>
      <c r="N7" s="3936"/>
      <c r="O7" s="3936"/>
      <c r="P7" s="3936"/>
      <c r="Q7" s="3936"/>
      <c r="R7" s="3936"/>
      <c r="S7" s="3936"/>
      <c r="T7" s="3936"/>
      <c r="U7" s="3936"/>
      <c r="V7" s="3936"/>
      <c r="W7" s="3936"/>
      <c r="X7" s="3936"/>
      <c r="Y7" s="3936"/>
      <c r="Z7" s="3936"/>
      <c r="AA7" s="3936"/>
      <c r="AB7" s="3936"/>
      <c r="AC7" s="2344"/>
    </row>
    <row r="8" spans="1:33" ht="15.75" customHeight="1">
      <c r="A8" s="1"/>
      <c r="B8" s="1"/>
      <c r="C8" s="1"/>
      <c r="D8" s="1"/>
      <c r="E8" s="1"/>
      <c r="F8" s="1"/>
      <c r="G8" s="1"/>
      <c r="H8" s="2244"/>
      <c r="I8" s="2"/>
      <c r="J8" s="2"/>
      <c r="K8" s="2"/>
      <c r="L8" s="2"/>
      <c r="M8" s="1"/>
      <c r="N8" s="2"/>
      <c r="O8" s="2"/>
      <c r="P8" s="2"/>
      <c r="Q8" s="2"/>
      <c r="R8" s="2"/>
      <c r="S8" s="2"/>
      <c r="T8" s="2"/>
      <c r="U8" s="2347"/>
      <c r="V8" s="2347"/>
      <c r="W8" s="2347"/>
      <c r="X8" s="2347"/>
      <c r="Y8" s="2348"/>
      <c r="Z8" s="2348"/>
      <c r="AA8" s="2241"/>
      <c r="AB8" s="2348"/>
      <c r="AC8" s="2349"/>
    </row>
    <row r="9" spans="1:33" ht="15.75" customHeight="1">
      <c r="A9" s="1"/>
      <c r="B9" s="1"/>
      <c r="C9" s="1"/>
      <c r="D9" s="1"/>
      <c r="E9" s="1"/>
      <c r="F9" s="1"/>
      <c r="G9" s="1"/>
      <c r="H9" s="2244"/>
      <c r="I9" s="2"/>
      <c r="J9" s="2"/>
      <c r="K9" s="2"/>
      <c r="L9" s="2"/>
      <c r="M9" s="1"/>
      <c r="N9" s="2"/>
      <c r="O9" s="2350"/>
      <c r="P9" s="2350"/>
      <c r="Q9" s="2350"/>
      <c r="R9" s="2350"/>
      <c r="S9" s="2304"/>
      <c r="T9" s="2304"/>
      <c r="U9" s="2343"/>
      <c r="V9" s="2343"/>
      <c r="W9" s="2343"/>
      <c r="X9" s="2351"/>
      <c r="Y9" s="2348"/>
      <c r="Z9" s="2348"/>
      <c r="AA9" s="2241"/>
      <c r="AB9" s="2348"/>
      <c r="AC9" s="2349"/>
    </row>
    <row r="10" spans="1:33" ht="16.350000000000001" customHeight="1">
      <c r="A10" s="1"/>
      <c r="B10" s="1"/>
      <c r="C10" s="2249"/>
      <c r="D10" s="3932"/>
      <c r="E10" s="3933"/>
      <c r="F10" s="3933"/>
      <c r="G10" s="3933"/>
      <c r="H10" s="3933"/>
      <c r="I10" s="3933"/>
      <c r="J10" s="3933"/>
      <c r="K10" s="3933"/>
      <c r="L10" s="3933"/>
      <c r="M10" s="3933"/>
      <c r="N10" s="3933"/>
      <c r="O10" s="2351"/>
      <c r="P10" s="2352"/>
      <c r="Q10" s="2351"/>
      <c r="R10" s="3931"/>
      <c r="S10" s="3931"/>
      <c r="T10" s="3931"/>
      <c r="U10" s="3931"/>
      <c r="V10" s="3931"/>
      <c r="W10" s="3931"/>
      <c r="X10" s="3931"/>
      <c r="Y10" s="3931"/>
      <c r="Z10" s="3931"/>
      <c r="AA10" s="3931"/>
      <c r="AB10" s="3931"/>
      <c r="AC10" s="2353"/>
      <c r="AD10" s="2343"/>
      <c r="AE10" s="2343"/>
      <c r="AF10" s="2343"/>
      <c r="AG10" s="2343"/>
    </row>
    <row r="11" spans="1:33" ht="16.350000000000001" customHeight="1">
      <c r="A11" s="2260"/>
      <c r="B11" s="614"/>
      <c r="C11" s="614"/>
      <c r="D11" s="3" t="s">
        <v>3</v>
      </c>
      <c r="E11" s="3"/>
      <c r="F11" s="3"/>
      <c r="G11" s="2254"/>
      <c r="H11" s="2354" t="s">
        <v>1145</v>
      </c>
      <c r="I11" s="3"/>
      <c r="J11" s="3"/>
      <c r="K11" s="2304"/>
      <c r="L11" s="3934" t="s">
        <v>5</v>
      </c>
      <c r="M11" s="3934"/>
      <c r="N11" s="3934"/>
      <c r="O11" s="5"/>
      <c r="P11" s="2256"/>
      <c r="Q11" s="2256"/>
      <c r="R11" s="2355" t="s">
        <v>1515</v>
      </c>
      <c r="S11" s="2355"/>
      <c r="T11" s="2355"/>
      <c r="U11" s="2355"/>
      <c r="V11" s="2355"/>
      <c r="W11" s="2355"/>
      <c r="X11" s="2355"/>
      <c r="Y11" s="2355"/>
      <c r="Z11" s="2355"/>
      <c r="AA11" s="2355"/>
      <c r="AB11" s="2355"/>
      <c r="AC11" s="2356"/>
      <c r="AD11" s="2357"/>
      <c r="AE11" s="2357"/>
      <c r="AF11" s="2357"/>
    </row>
    <row r="12" spans="1:33" ht="15.75" customHeight="1">
      <c r="A12" s="2253"/>
      <c r="B12" s="2253"/>
      <c r="C12" s="7"/>
      <c r="D12" s="5" t="s">
        <v>7</v>
      </c>
      <c r="E12" s="5"/>
      <c r="F12" s="4" t="str">
        <f>'Exhibit A'!F11</f>
        <v>10 MOS. ENDED</v>
      </c>
      <c r="G12" s="2248"/>
      <c r="H12" s="5" t="s">
        <v>7</v>
      </c>
      <c r="I12" s="5"/>
      <c r="J12" s="5" t="str">
        <f>F12</f>
        <v>10 MOS. ENDED</v>
      </c>
      <c r="K12" s="2248"/>
      <c r="L12" s="5" t="s">
        <v>7</v>
      </c>
      <c r="M12" s="5"/>
      <c r="N12" s="5" t="str">
        <f>F12</f>
        <v>10 MOS. ENDED</v>
      </c>
      <c r="O12" s="5"/>
      <c r="P12" s="2358"/>
      <c r="Q12" s="5"/>
      <c r="R12" s="5" t="s">
        <v>7</v>
      </c>
      <c r="S12" s="5"/>
      <c r="T12" s="5" t="str">
        <f>F12</f>
        <v>10 MOS. ENDED</v>
      </c>
      <c r="U12" s="2256"/>
      <c r="V12" s="2256"/>
      <c r="W12" s="2256"/>
      <c r="X12" s="2256"/>
      <c r="Y12" s="3474" t="s">
        <v>7</v>
      </c>
      <c r="Z12" s="3436"/>
      <c r="AA12" s="3863" t="str">
        <f>'Exhibit A'!AD11</f>
        <v>10 MOS. ENDED</v>
      </c>
      <c r="AB12" s="2256"/>
      <c r="AC12" s="2359"/>
      <c r="AD12" s="2256" t="s">
        <v>8</v>
      </c>
      <c r="AE12" s="2257"/>
      <c r="AF12" s="5" t="s">
        <v>9</v>
      </c>
    </row>
    <row r="13" spans="1:33" ht="16.350000000000001" customHeight="1">
      <c r="A13" s="2253"/>
      <c r="B13" s="2253"/>
      <c r="C13" s="2253"/>
      <c r="D13" s="904" t="str">
        <f>'Exhibit A'!D12</f>
        <v>JAN. 2021</v>
      </c>
      <c r="E13" s="2248"/>
      <c r="F13" s="904" t="str">
        <f>'Exhibit A'!F12</f>
        <v>JAN. 31, 2021</v>
      </c>
      <c r="G13" s="2248"/>
      <c r="H13" s="6" t="str">
        <f>D13</f>
        <v>JAN. 2021</v>
      </c>
      <c r="I13" s="2248"/>
      <c r="J13" s="6" t="str">
        <f>F13</f>
        <v>JAN. 31, 2021</v>
      </c>
      <c r="K13" s="2248"/>
      <c r="L13" s="6" t="str">
        <f>D13</f>
        <v>JAN. 2021</v>
      </c>
      <c r="M13" s="2248"/>
      <c r="N13" s="6" t="str">
        <f>F13</f>
        <v>JAN. 31, 2021</v>
      </c>
      <c r="O13" s="5"/>
      <c r="P13" s="2358"/>
      <c r="Q13" s="5"/>
      <c r="R13" s="6" t="str">
        <f>D13</f>
        <v>JAN. 2021</v>
      </c>
      <c r="S13" s="2248"/>
      <c r="T13" s="6" t="str">
        <f>F13</f>
        <v>JAN. 31, 2021</v>
      </c>
      <c r="U13" s="2256"/>
      <c r="V13" s="2256"/>
      <c r="W13" s="2256"/>
      <c r="X13" s="2360"/>
      <c r="Y13" s="3424" t="str">
        <f>'Exhibit A'!AB12</f>
        <v>JAN. 2020</v>
      </c>
      <c r="Z13" s="2360"/>
      <c r="AA13" s="3424" t="str">
        <f>'Exhibit A'!AD12</f>
        <v>JAN. 31, 2020</v>
      </c>
      <c r="AB13" s="2360"/>
      <c r="AC13" s="2359"/>
      <c r="AD13" s="2361" t="s">
        <v>12</v>
      </c>
      <c r="AE13" s="2234"/>
      <c r="AF13" s="904" t="s">
        <v>13</v>
      </c>
    </row>
    <row r="14" spans="1:33" ht="16.350000000000001" customHeight="1">
      <c r="A14" s="2252" t="s">
        <v>14</v>
      </c>
      <c r="B14" s="2253"/>
      <c r="C14" s="2253"/>
      <c r="D14" s="2362" t="s">
        <v>15</v>
      </c>
      <c r="E14" s="2253"/>
      <c r="F14" s="7"/>
      <c r="G14" s="2253"/>
      <c r="H14" s="614" t="s">
        <v>15</v>
      </c>
      <c r="I14" s="2253"/>
      <c r="J14" s="7"/>
      <c r="K14" s="2253"/>
      <c r="L14" s="614" t="s">
        <v>15</v>
      </c>
      <c r="M14" s="2253"/>
      <c r="N14" s="7"/>
      <c r="O14" s="7"/>
      <c r="P14" s="2363"/>
      <c r="Q14" s="2364"/>
      <c r="R14" s="7"/>
      <c r="S14" s="7"/>
      <c r="T14" s="7"/>
      <c r="U14" s="2263"/>
      <c r="V14" s="2263"/>
      <c r="W14" s="2365"/>
      <c r="X14" s="2263"/>
      <c r="Y14" s="2263"/>
      <c r="Z14" s="2302"/>
      <c r="AA14" s="2263"/>
      <c r="AB14" s="2263"/>
      <c r="AC14" s="2366"/>
      <c r="AD14" s="2263"/>
      <c r="AE14" s="2235"/>
      <c r="AF14" s="1429"/>
    </row>
    <row r="15" spans="1:33" ht="18" customHeight="1">
      <c r="A15" s="2253" t="s">
        <v>16</v>
      </c>
      <c r="B15" s="2276">
        <v>-3</v>
      </c>
      <c r="C15" s="2253"/>
      <c r="D15" s="1362">
        <f>+'Exhibit A'!D14</f>
        <v>2754.5</v>
      </c>
      <c r="E15" s="656" t="s">
        <v>15</v>
      </c>
      <c r="F15" s="656">
        <f>+'Exhibit A'!F14</f>
        <v>21117</v>
      </c>
      <c r="G15" s="656"/>
      <c r="H15" s="2367">
        <f>+'Exhibit G State'!V17</f>
        <v>1972</v>
      </c>
      <c r="I15" s="656"/>
      <c r="J15" s="2368">
        <f>'Exhibit G State'!AD17</f>
        <v>2008.6</v>
      </c>
      <c r="K15" s="656"/>
      <c r="L15" s="1422">
        <f>+'Exhibit A'!L14</f>
        <v>4726.4999999999991</v>
      </c>
      <c r="M15" s="656"/>
      <c r="N15" s="656">
        <f>+'Exhibit A'!N14</f>
        <v>23125.599999999999</v>
      </c>
      <c r="O15" s="2269"/>
      <c r="P15" s="2369"/>
      <c r="Q15" s="2370"/>
      <c r="R15" s="656">
        <f t="shared" ref="R15:R20" si="0">ROUND(SUM(D15+H15+L15),1)</f>
        <v>9453</v>
      </c>
      <c r="S15" s="656"/>
      <c r="T15" s="2371">
        <f t="shared" ref="T15:T20" si="1">ROUND(SUM(F15+J15+N15),1)</f>
        <v>46251.199999999997</v>
      </c>
      <c r="U15" s="2372"/>
      <c r="V15" s="2372"/>
      <c r="W15" s="2373"/>
      <c r="X15" s="2372"/>
      <c r="Y15" s="2372">
        <v>8899.1999999999989</v>
      </c>
      <c r="Z15" s="2372" t="s">
        <v>15</v>
      </c>
      <c r="AA15" s="2372">
        <f>'Exhibit F'!AF26+'Exhibit G State'!AG17+'Exhibit H'!AD16</f>
        <v>46216.399999999994</v>
      </c>
      <c r="AB15" s="2374"/>
      <c r="AC15" s="2375"/>
      <c r="AD15" s="2372">
        <f t="shared" ref="AD15:AD20" si="2">ROUND(SUM(T15-AA15),1)</f>
        <v>34.799999999999997</v>
      </c>
      <c r="AE15" s="2274"/>
      <c r="AF15" s="1426">
        <f>ROUND(+AD15/AA15,3)</f>
        <v>1E-3</v>
      </c>
    </row>
    <row r="16" spans="1:33" ht="18" customHeight="1">
      <c r="A16" s="2253" t="s">
        <v>17</v>
      </c>
      <c r="B16" s="2276" t="s">
        <v>15</v>
      </c>
      <c r="C16" s="2253"/>
      <c r="D16" s="616">
        <f>+'Exhibit A'!D15</f>
        <v>663.1</v>
      </c>
      <c r="E16" s="9"/>
      <c r="F16" s="9">
        <f>+'Exhibit A'!F15</f>
        <v>6055.6</v>
      </c>
      <c r="G16" s="9"/>
      <c r="H16" s="2376">
        <f>+'Exhibit G State'!V28</f>
        <v>153.4</v>
      </c>
      <c r="I16" s="9"/>
      <c r="J16" s="2377">
        <f>'Exhibit G State'!AD28</f>
        <v>1489</v>
      </c>
      <c r="K16" s="9"/>
      <c r="L16" s="616">
        <f>+'Exhibit A'!L15</f>
        <v>597.79999999999995</v>
      </c>
      <c r="M16" s="9"/>
      <c r="N16" s="9">
        <f>+'Exhibit A'!N15</f>
        <v>5510.1</v>
      </c>
      <c r="O16" s="14"/>
      <c r="P16" s="2378"/>
      <c r="Q16" s="2379"/>
      <c r="R16" s="9">
        <f t="shared" si="0"/>
        <v>1414.3</v>
      </c>
      <c r="S16" s="9"/>
      <c r="T16" s="2380">
        <f t="shared" si="1"/>
        <v>13054.7</v>
      </c>
      <c r="U16" s="22"/>
      <c r="V16" s="22"/>
      <c r="W16" s="2308"/>
      <c r="X16" s="22"/>
      <c r="Y16" s="22">
        <v>1501.1</v>
      </c>
      <c r="Z16" s="22" t="s">
        <v>15</v>
      </c>
      <c r="AA16" s="22">
        <f>'Exhibit F'!AF36+'Exhibit G State'!AG28+'Exhibit H'!AD20</f>
        <v>14776.400000000001</v>
      </c>
      <c r="AB16" s="2263"/>
      <c r="AC16" s="2366"/>
      <c r="AD16" s="22">
        <f t="shared" si="2"/>
        <v>-1721.7</v>
      </c>
      <c r="AE16" s="2235"/>
      <c r="AF16" s="1426">
        <f t="shared" ref="AF16:AF21" si="3">ROUND(+AD16/AA16,3)</f>
        <v>-0.11700000000000001</v>
      </c>
    </row>
    <row r="17" spans="1:32" ht="18" customHeight="1">
      <c r="A17" s="2253" t="s">
        <v>18</v>
      </c>
      <c r="B17" s="2280"/>
      <c r="C17" s="2253"/>
      <c r="D17" s="616">
        <f>+'Exhibit A'!D16</f>
        <v>-29.7</v>
      </c>
      <c r="E17" s="9"/>
      <c r="F17" s="9">
        <f>+'Exhibit A'!F16</f>
        <v>4440.3999999999996</v>
      </c>
      <c r="G17" s="9"/>
      <c r="H17" s="2376">
        <f>+'Exhibit G State'!V35</f>
        <v>104.2</v>
      </c>
      <c r="I17" s="9"/>
      <c r="J17" s="2377">
        <f>'Exhibit G State'!AD35</f>
        <v>1355.1</v>
      </c>
      <c r="K17" s="9"/>
      <c r="L17" s="616">
        <f>+'Exhibit A'!L16</f>
        <v>0</v>
      </c>
      <c r="M17" s="9"/>
      <c r="N17" s="9">
        <f>+'Exhibit A'!N16</f>
        <v>0</v>
      </c>
      <c r="O17" s="17"/>
      <c r="P17" s="2381"/>
      <c r="Q17" s="2382"/>
      <c r="R17" s="9">
        <f t="shared" si="0"/>
        <v>74.5</v>
      </c>
      <c r="S17" s="9"/>
      <c r="T17" s="2380">
        <f t="shared" si="1"/>
        <v>5795.5</v>
      </c>
      <c r="U17" s="22"/>
      <c r="V17" s="22"/>
      <c r="W17" s="2383"/>
      <c r="X17" s="21"/>
      <c r="Y17" s="22">
        <v>196.6</v>
      </c>
      <c r="Z17" s="22" t="s">
        <v>15</v>
      </c>
      <c r="AA17" s="22">
        <f>'Exhibit F'!AF43+'Exhibit G State'!AG35</f>
        <v>6025.5</v>
      </c>
      <c r="AB17" s="2263"/>
      <c r="AC17" s="2366"/>
      <c r="AD17" s="22">
        <f t="shared" si="2"/>
        <v>-230</v>
      </c>
      <c r="AE17" s="2235"/>
      <c r="AF17" s="1426">
        <f t="shared" si="3"/>
        <v>-3.7999999999999999E-2</v>
      </c>
    </row>
    <row r="18" spans="1:32" ht="18" customHeight="1">
      <c r="A18" s="2253" t="s">
        <v>19</v>
      </c>
      <c r="B18" s="2276" t="s">
        <v>15</v>
      </c>
      <c r="C18" s="2253"/>
      <c r="D18" s="616">
        <f>+'Exhibit A'!D17</f>
        <v>294.5</v>
      </c>
      <c r="E18" s="9"/>
      <c r="F18" s="9">
        <f>+'Exhibit A'!F17</f>
        <v>1260.2</v>
      </c>
      <c r="G18" s="9"/>
      <c r="H18" s="2376">
        <v>0</v>
      </c>
      <c r="I18" s="9"/>
      <c r="J18" s="2377">
        <v>0</v>
      </c>
      <c r="K18" s="9"/>
      <c r="L18" s="616">
        <f>+'Exhibit A'!L17</f>
        <v>111.2</v>
      </c>
      <c r="M18" s="9"/>
      <c r="N18" s="9">
        <f>+'Exhibit A'!N17</f>
        <v>675.4</v>
      </c>
      <c r="O18" s="14"/>
      <c r="P18" s="2378"/>
      <c r="Q18" s="2379"/>
      <c r="R18" s="9">
        <f t="shared" si="0"/>
        <v>405.7</v>
      </c>
      <c r="S18" s="9"/>
      <c r="T18" s="2380">
        <f t="shared" si="1"/>
        <v>1935.6</v>
      </c>
      <c r="U18" s="22"/>
      <c r="V18" s="22"/>
      <c r="W18" s="2308"/>
      <c r="X18" s="22"/>
      <c r="Y18" s="22">
        <v>177.5</v>
      </c>
      <c r="Z18" s="22" t="s">
        <v>15</v>
      </c>
      <c r="AA18" s="22">
        <f>'Exhibit F'!AF51+'Exhibit H'!AD24</f>
        <v>1780.4</v>
      </c>
      <c r="AB18" s="2263"/>
      <c r="AC18" s="2366"/>
      <c r="AD18" s="22">
        <f t="shared" si="2"/>
        <v>155.19999999999999</v>
      </c>
      <c r="AE18" s="2235"/>
      <c r="AF18" s="1426">
        <f t="shared" si="3"/>
        <v>8.6999999999999994E-2</v>
      </c>
    </row>
    <row r="19" spans="1:32" ht="18" customHeight="1">
      <c r="A19" s="2253" t="s">
        <v>20</v>
      </c>
      <c r="B19" s="2276" t="s">
        <v>15</v>
      </c>
      <c r="C19" s="2253"/>
      <c r="D19" s="616">
        <f>+'Exhibit A'!D18</f>
        <v>127.2</v>
      </c>
      <c r="E19" s="616"/>
      <c r="F19" s="9">
        <f>+'Exhibit A'!F18</f>
        <v>6706.9</v>
      </c>
      <c r="G19" s="9"/>
      <c r="H19" s="2376">
        <f>+'Exhibit G State'!V80</f>
        <v>1518.5</v>
      </c>
      <c r="I19" s="9"/>
      <c r="J19" s="2377">
        <f>'Exhibit G State'!AD80</f>
        <v>13684.3</v>
      </c>
      <c r="K19" s="9"/>
      <c r="L19" s="616">
        <f>+'Exhibit A'!L18</f>
        <v>18.5</v>
      </c>
      <c r="M19" s="9"/>
      <c r="N19" s="9">
        <f>+'Exhibit A'!N18</f>
        <v>344.1</v>
      </c>
      <c r="O19" s="14"/>
      <c r="P19" s="2378"/>
      <c r="Q19" s="2379"/>
      <c r="R19" s="9">
        <f t="shared" si="0"/>
        <v>1664.2</v>
      </c>
      <c r="S19" s="9"/>
      <c r="T19" s="2380">
        <f t="shared" si="1"/>
        <v>20735.3</v>
      </c>
      <c r="U19" s="22"/>
      <c r="V19" s="22"/>
      <c r="W19" s="2308"/>
      <c r="X19" s="22"/>
      <c r="Y19" s="22">
        <v>2313.6</v>
      </c>
      <c r="Z19" s="22" t="s">
        <v>15</v>
      </c>
      <c r="AA19" s="22">
        <f>+'Exhibit F'!AF92+'Exhibit G State'!AG80+'Exhibit H'!AD47</f>
        <v>18793.8</v>
      </c>
      <c r="AB19" s="2263"/>
      <c r="AC19" s="2366"/>
      <c r="AD19" s="22">
        <f t="shared" si="2"/>
        <v>1941.5</v>
      </c>
      <c r="AE19" s="2235"/>
      <c r="AF19" s="1426">
        <f t="shared" si="3"/>
        <v>0.10299999999999999</v>
      </c>
    </row>
    <row r="20" spans="1:32" ht="18" customHeight="1">
      <c r="A20" s="2253" t="s">
        <v>21</v>
      </c>
      <c r="B20" s="2296"/>
      <c r="C20" s="2253"/>
      <c r="D20" s="616">
        <f>+'Exhibit A'!D19</f>
        <v>0</v>
      </c>
      <c r="E20" s="9"/>
      <c r="F20" s="9">
        <f>+'Exhibit A'!F19</f>
        <v>0.2</v>
      </c>
      <c r="G20" s="9"/>
      <c r="H20" s="2376">
        <f>+'Exhibit G State'!V82</f>
        <v>0</v>
      </c>
      <c r="I20" s="9"/>
      <c r="J20" s="2377">
        <f>'Exhibit G State'!AD82</f>
        <v>7.2</v>
      </c>
      <c r="K20" s="9"/>
      <c r="L20" s="616">
        <f>+'Exhibit A'!L19</f>
        <v>0</v>
      </c>
      <c r="M20" s="10"/>
      <c r="N20" s="9">
        <f>+'Exhibit A'!N19</f>
        <v>36.9</v>
      </c>
      <c r="O20" s="17"/>
      <c r="P20" s="2381"/>
      <c r="Q20" s="2382"/>
      <c r="R20" s="10">
        <f t="shared" si="0"/>
        <v>0</v>
      </c>
      <c r="S20" s="17"/>
      <c r="T20" s="2380">
        <f t="shared" si="1"/>
        <v>44.3</v>
      </c>
      <c r="U20" s="22"/>
      <c r="V20" s="22"/>
      <c r="W20" s="2383"/>
      <c r="X20" s="2384"/>
      <c r="Y20" s="22">
        <v>-25.3</v>
      </c>
      <c r="Z20" s="22" t="s">
        <v>15</v>
      </c>
      <c r="AA20" s="22">
        <f>+'Exhibit F'!AF94+'Exhibit G State'!AG82+'Exhibit H'!AD49</f>
        <v>29.7</v>
      </c>
      <c r="AB20" s="2263"/>
      <c r="AC20" s="2366"/>
      <c r="AD20" s="22">
        <f t="shared" si="2"/>
        <v>14.6</v>
      </c>
      <c r="AE20" s="2235"/>
      <c r="AF20" s="1465">
        <f>ROUND(IF(AA20=0,0,AD20/ABS(AA20)),3)</f>
        <v>0.49199999999999999</v>
      </c>
    </row>
    <row r="21" spans="1:32" ht="18" customHeight="1">
      <c r="A21" s="2252" t="s">
        <v>22</v>
      </c>
      <c r="B21" s="2253"/>
      <c r="C21" s="2253"/>
      <c r="D21" s="12">
        <f>ROUND(SUM(D15:D20),1)</f>
        <v>3809.6</v>
      </c>
      <c r="E21" s="1364"/>
      <c r="F21" s="11">
        <f>ROUND(SUM(F15:F20),1)</f>
        <v>39580.300000000003</v>
      </c>
      <c r="G21" s="1364"/>
      <c r="H21" s="12">
        <f>ROUND(SUM(H15:H20),1)</f>
        <v>3748.1</v>
      </c>
      <c r="I21" s="1364"/>
      <c r="J21" s="12">
        <f>ROUND(SUM(J15:J20),1)</f>
        <v>18544.2</v>
      </c>
      <c r="K21" s="1364"/>
      <c r="L21" s="12">
        <f>ROUND(SUM(L15:L20),1)</f>
        <v>5454</v>
      </c>
      <c r="M21" s="1364"/>
      <c r="N21" s="12">
        <f>ROUND(SUM(N15:N20),1)</f>
        <v>29692.1</v>
      </c>
      <c r="O21" s="2284"/>
      <c r="P21" s="2385"/>
      <c r="Q21" s="2386"/>
      <c r="R21" s="12">
        <f>ROUND(SUM(R15:R20),1)</f>
        <v>13011.7</v>
      </c>
      <c r="S21" s="2284"/>
      <c r="T21" s="12">
        <f>ROUND(SUM(T15:T20),1)</f>
        <v>87816.6</v>
      </c>
      <c r="U21" s="1478"/>
      <c r="V21" s="1478"/>
      <c r="W21" s="2314"/>
      <c r="X21" s="1478"/>
      <c r="Y21" s="1558">
        <f>ROUND(SUM(Y15:Y20),1)</f>
        <v>13062.7</v>
      </c>
      <c r="Z21" s="23"/>
      <c r="AA21" s="1558">
        <f>ROUND(SUM(AA15:AA20),1)</f>
        <v>87622.2</v>
      </c>
      <c r="AB21" s="2315"/>
      <c r="AC21" s="2387"/>
      <c r="AD21" s="1558">
        <f>ROUND(SUM(AD15:AD20),1)</f>
        <v>194.4</v>
      </c>
      <c r="AE21" s="2287"/>
      <c r="AF21" s="1442">
        <f t="shared" si="3"/>
        <v>2E-3</v>
      </c>
    </row>
    <row r="22" spans="1:32" ht="16.350000000000001" customHeight="1">
      <c r="A22" s="2252"/>
      <c r="B22" s="2253"/>
      <c r="C22" s="2253"/>
      <c r="D22" s="617"/>
      <c r="E22" s="9"/>
      <c r="F22" s="14"/>
      <c r="G22" s="9"/>
      <c r="H22" s="617"/>
      <c r="I22" s="9"/>
      <c r="J22" s="14"/>
      <c r="K22" s="9"/>
      <c r="L22" s="617"/>
      <c r="M22" s="9"/>
      <c r="N22" s="14"/>
      <c r="O22" s="14"/>
      <c r="P22" s="2378"/>
      <c r="Q22" s="2379"/>
      <c r="R22" s="14"/>
      <c r="S22" s="14"/>
      <c r="T22" s="14"/>
      <c r="U22" s="1425"/>
      <c r="V22" s="1425"/>
      <c r="W22" s="2308"/>
      <c r="X22" s="1425"/>
      <c r="Y22" s="1425"/>
      <c r="Z22" s="22"/>
      <c r="AA22" s="1425"/>
      <c r="AB22" s="2263"/>
      <c r="AC22" s="2366"/>
      <c r="AD22" s="1425"/>
      <c r="AE22" s="2235"/>
      <c r="AF22" s="1429"/>
    </row>
    <row r="23" spans="1:32" ht="16.350000000000001" customHeight="1">
      <c r="A23" s="2252" t="s">
        <v>23</v>
      </c>
      <c r="B23" s="2253"/>
      <c r="C23" s="2253"/>
      <c r="D23" s="616"/>
      <c r="E23" s="9"/>
      <c r="F23" s="9"/>
      <c r="G23" s="9"/>
      <c r="H23" s="616"/>
      <c r="I23" s="9"/>
      <c r="J23" s="9"/>
      <c r="K23" s="9"/>
      <c r="L23" s="616"/>
      <c r="M23" s="9"/>
      <c r="N23" s="9"/>
      <c r="O23" s="14"/>
      <c r="P23" s="2378"/>
      <c r="Q23" s="2379"/>
      <c r="R23" s="9"/>
      <c r="S23" s="9"/>
      <c r="T23" s="9"/>
      <c r="U23" s="22"/>
      <c r="V23" s="22"/>
      <c r="W23" s="2308"/>
      <c r="X23" s="22"/>
      <c r="Y23" s="22"/>
      <c r="Z23" s="22"/>
      <c r="AA23" s="22"/>
      <c r="AB23" s="2263"/>
      <c r="AC23" s="2366"/>
      <c r="AD23" s="22"/>
      <c r="AE23" s="2235"/>
      <c r="AF23" s="1429"/>
    </row>
    <row r="24" spans="1:32" ht="16.350000000000001" customHeight="1">
      <c r="A24" s="2253" t="s">
        <v>24</v>
      </c>
      <c r="B24" s="2388" t="s">
        <v>15</v>
      </c>
      <c r="C24" s="2253"/>
      <c r="D24" s="618"/>
      <c r="E24" s="10"/>
      <c r="F24" s="15"/>
      <c r="G24" s="9"/>
      <c r="H24" s="618"/>
      <c r="I24" s="10"/>
      <c r="J24" s="15"/>
      <c r="K24" s="9"/>
      <c r="L24" s="618"/>
      <c r="M24" s="9"/>
      <c r="N24" s="10"/>
      <c r="O24" s="14"/>
      <c r="P24" s="2378"/>
      <c r="Q24" s="2379"/>
      <c r="R24" s="10"/>
      <c r="S24" s="10"/>
      <c r="T24" s="10"/>
      <c r="U24" s="22"/>
      <c r="V24" s="22"/>
      <c r="W24" s="2308"/>
      <c r="X24" s="21"/>
      <c r="Y24" s="22"/>
      <c r="Z24" s="22"/>
      <c r="AA24" s="22"/>
      <c r="AB24" s="2263"/>
      <c r="AC24" s="2366"/>
      <c r="AD24" s="2389"/>
      <c r="AE24" s="2235"/>
      <c r="AF24" s="2290"/>
    </row>
    <row r="25" spans="1:32" ht="18" customHeight="1">
      <c r="A25" s="2291" t="s">
        <v>25</v>
      </c>
      <c r="B25" s="2253"/>
      <c r="C25" s="2253"/>
      <c r="D25" s="1365">
        <f>+'Exhibit A'!D24</f>
        <v>480.60000000000127</v>
      </c>
      <c r="E25" s="9"/>
      <c r="F25" s="2390">
        <f>+'Exhibit A'!F24</f>
        <v>16239.1</v>
      </c>
      <c r="G25" s="9"/>
      <c r="H25" s="1365">
        <f>+'Exhibit G State'!V88</f>
        <v>2128.4</v>
      </c>
      <c r="I25" s="9"/>
      <c r="J25" s="2390">
        <f>+'Exhibit G State'!AD88</f>
        <v>5222.8</v>
      </c>
      <c r="K25" s="9"/>
      <c r="L25" s="618">
        <f>+'Exhibit A'!L24</f>
        <v>0</v>
      </c>
      <c r="M25" s="9"/>
      <c r="N25" s="10">
        <f>+'Exhibit A'!N24</f>
        <v>0</v>
      </c>
      <c r="O25" s="17"/>
      <c r="P25" s="2381"/>
      <c r="Q25" s="2382"/>
      <c r="R25" s="2380">
        <f>ROUND(SUM(D25+H25+L25),1)</f>
        <v>2609</v>
      </c>
      <c r="S25" s="2380"/>
      <c r="T25" s="2380">
        <f>ROUND(SUM(F25+J25+N25),1)</f>
        <v>21461.9</v>
      </c>
      <c r="U25" s="22"/>
      <c r="V25" s="22"/>
      <c r="W25" s="2383"/>
      <c r="X25" s="21"/>
      <c r="Y25" s="22">
        <v>3045.7999999999997</v>
      </c>
      <c r="Z25" s="22" t="s">
        <v>15</v>
      </c>
      <c r="AA25" s="22">
        <f>+'Exhibit F'!AF100+'Exhibit G State'!AG88</f>
        <v>23183.899999999998</v>
      </c>
      <c r="AB25" s="2263"/>
      <c r="AC25" s="2366"/>
      <c r="AD25" s="22">
        <f>ROUND(SUM(T25-AA25),1)</f>
        <v>-1722</v>
      </c>
      <c r="AE25" s="2235"/>
      <c r="AF25" s="1426">
        <f>ROUND(+AD25/AA25,3)</f>
        <v>-7.3999999999999996E-2</v>
      </c>
    </row>
    <row r="26" spans="1:32" ht="18" customHeight="1">
      <c r="A26" s="2291" t="s">
        <v>26</v>
      </c>
      <c r="B26" s="2294"/>
      <c r="C26" s="2253"/>
      <c r="D26" s="1365">
        <f>+'Exhibit A'!D25</f>
        <v>0.2</v>
      </c>
      <c r="E26" s="9"/>
      <c r="F26" s="2390">
        <f>+'Exhibit A'!F25</f>
        <v>0.5</v>
      </c>
      <c r="G26" s="9"/>
      <c r="H26" s="1365">
        <f>+'Exhibit G State'!V89</f>
        <v>0</v>
      </c>
      <c r="I26" s="2380"/>
      <c r="J26" s="2390">
        <f>+'Exhibit G State'!AD89</f>
        <v>1.8</v>
      </c>
      <c r="K26" s="9"/>
      <c r="L26" s="618">
        <f>+'Exhibit A'!L25</f>
        <v>0</v>
      </c>
      <c r="M26" s="9"/>
      <c r="N26" s="10">
        <f>+'Exhibit A'!N25</f>
        <v>0</v>
      </c>
      <c r="O26" s="17"/>
      <c r="P26" s="2381"/>
      <c r="Q26" s="2382"/>
      <c r="R26" s="2380">
        <f t="shared" ref="R26:R33" si="4">ROUND(SUM(D26+H26+L26),1)</f>
        <v>0.2</v>
      </c>
      <c r="S26" s="2380"/>
      <c r="T26" s="2380">
        <f t="shared" ref="T26:T33" si="5">ROUND(SUM(F26+J26+N26),1)</f>
        <v>2.2999999999999998</v>
      </c>
      <c r="U26" s="22"/>
      <c r="V26" s="22"/>
      <c r="W26" s="2383"/>
      <c r="X26" s="21"/>
      <c r="Y26" s="22">
        <v>0.70000000000000007</v>
      </c>
      <c r="Z26" s="22" t="s">
        <v>15</v>
      </c>
      <c r="AA26" s="22">
        <f>+'Exhibit F'!AF101+'Exhibit G State'!AG89</f>
        <v>4.5</v>
      </c>
      <c r="AB26" s="2263"/>
      <c r="AC26" s="2366"/>
      <c r="AD26" s="22">
        <f>ROUND(SUM(T26-AA26),1)</f>
        <v>-2.2000000000000002</v>
      </c>
      <c r="AE26" s="2235"/>
      <c r="AF26" s="1426">
        <f>ROUND(IF(AA26=0,1,AD26/ABS(AA26)),3)</f>
        <v>-0.48899999999999999</v>
      </c>
    </row>
    <row r="27" spans="1:32" ht="18" customHeight="1">
      <c r="A27" s="2291" t="s">
        <v>27</v>
      </c>
      <c r="B27" s="2295"/>
      <c r="C27" s="2253"/>
      <c r="D27" s="1365">
        <f>+'Exhibit A'!D26</f>
        <v>10.399999999999977</v>
      </c>
      <c r="E27" s="9"/>
      <c r="F27" s="2390">
        <f>+'Exhibit A'!F26</f>
        <v>815.9</v>
      </c>
      <c r="G27" s="9"/>
      <c r="H27" s="1365">
        <f>+'Exhibit G State'!V90</f>
        <v>21.600000000000023</v>
      </c>
      <c r="I27" s="9"/>
      <c r="J27" s="2390">
        <f>+'Exhibit G State'!AD90</f>
        <v>133.20000000000002</v>
      </c>
      <c r="K27" s="9"/>
      <c r="L27" s="618">
        <f>+'Exhibit A'!L26</f>
        <v>0</v>
      </c>
      <c r="M27" s="9"/>
      <c r="N27" s="10">
        <f>+'Exhibit A'!N26</f>
        <v>0</v>
      </c>
      <c r="O27" s="17"/>
      <c r="P27" s="2381"/>
      <c r="Q27" s="2382"/>
      <c r="R27" s="2380">
        <f t="shared" si="4"/>
        <v>32</v>
      </c>
      <c r="S27" s="2380"/>
      <c r="T27" s="2380">
        <f t="shared" si="5"/>
        <v>949.1</v>
      </c>
      <c r="U27" s="22"/>
      <c r="V27" s="22"/>
      <c r="W27" s="2383"/>
      <c r="X27" s="21"/>
      <c r="Y27" s="22">
        <v>30.8</v>
      </c>
      <c r="Z27" s="22" t="s">
        <v>15</v>
      </c>
      <c r="AA27" s="22">
        <f>+'Exhibit F'!AF102+'Exhibit G State'!AG90</f>
        <v>1137.3</v>
      </c>
      <c r="AB27" s="2263"/>
      <c r="AC27" s="2366"/>
      <c r="AD27" s="22">
        <f>ROUND(SUM(T27-AA27),1)</f>
        <v>-188.2</v>
      </c>
      <c r="AE27" s="2235"/>
      <c r="AF27" s="1426">
        <f>ROUND(+AD27/AA27,3)</f>
        <v>-0.16500000000000001</v>
      </c>
    </row>
    <row r="28" spans="1:32" ht="18" customHeight="1">
      <c r="A28" s="2291" t="s">
        <v>28</v>
      </c>
      <c r="B28" s="2295"/>
      <c r="C28" s="2253"/>
      <c r="D28" s="1365"/>
      <c r="E28" s="9"/>
      <c r="F28" s="2390"/>
      <c r="G28" s="9"/>
      <c r="H28" s="1365"/>
      <c r="I28" s="9"/>
      <c r="J28" s="2390"/>
      <c r="K28" s="9"/>
      <c r="L28" s="618"/>
      <c r="M28" s="9"/>
      <c r="N28" s="10"/>
      <c r="O28" s="17"/>
      <c r="P28" s="2381"/>
      <c r="Q28" s="2382"/>
      <c r="R28" s="1421" t="s">
        <v>15</v>
      </c>
      <c r="S28" s="2380"/>
      <c r="T28" s="1421" t="s">
        <v>15</v>
      </c>
      <c r="U28" s="22"/>
      <c r="V28" s="22"/>
      <c r="W28" s="2383"/>
      <c r="X28" s="21"/>
      <c r="Y28" s="621"/>
      <c r="Z28" s="22" t="s">
        <v>15</v>
      </c>
      <c r="AA28" s="621" t="s">
        <v>15</v>
      </c>
      <c r="AB28" s="2263"/>
      <c r="AC28" s="2366"/>
      <c r="AD28" s="22"/>
      <c r="AE28" s="2235"/>
      <c r="AF28" s="1426"/>
    </row>
    <row r="29" spans="1:32" ht="18" customHeight="1">
      <c r="A29" s="2391" t="s">
        <v>29</v>
      </c>
      <c r="B29" s="2296"/>
      <c r="C29" s="2253"/>
      <c r="D29" s="1365">
        <f>+'Exhibit A'!D28</f>
        <v>1007.1000000000008</v>
      </c>
      <c r="E29" s="9"/>
      <c r="F29" s="2390">
        <f>+'Exhibit A'!F28</f>
        <v>12928.1</v>
      </c>
      <c r="G29" s="9"/>
      <c r="H29" s="1365">
        <f>+'Exhibit G State'!V92</f>
        <v>462</v>
      </c>
      <c r="I29" s="9"/>
      <c r="J29" s="2390">
        <f>+'Exhibit G State'!AD92</f>
        <v>4632.7</v>
      </c>
      <c r="K29" s="9"/>
      <c r="L29" s="618">
        <f>+'Exhibit A'!L28</f>
        <v>0</v>
      </c>
      <c r="M29" s="9"/>
      <c r="N29" s="10">
        <f>+'Exhibit A'!N28</f>
        <v>0</v>
      </c>
      <c r="O29" s="17"/>
      <c r="P29" s="2381"/>
      <c r="Q29" s="2382"/>
      <c r="R29" s="2380">
        <f t="shared" si="4"/>
        <v>1469.1</v>
      </c>
      <c r="S29" s="2380"/>
      <c r="T29" s="2380">
        <f t="shared" si="5"/>
        <v>17560.8</v>
      </c>
      <c r="U29" s="22"/>
      <c r="V29" s="22"/>
      <c r="W29" s="2383"/>
      <c r="X29" s="21"/>
      <c r="Y29" s="22">
        <v>2245.6999999999998</v>
      </c>
      <c r="Z29" s="22" t="s">
        <v>15</v>
      </c>
      <c r="AA29" s="22">
        <f>+'Exhibit F'!AF104+'Exhibit G State'!AG92</f>
        <v>21545.300000000003</v>
      </c>
      <c r="AB29" s="2263"/>
      <c r="AC29" s="2366"/>
      <c r="AD29" s="22">
        <f t="shared" ref="AD29:AD34" si="6">ROUND(SUM(T29-AA29),1)</f>
        <v>-3984.5</v>
      </c>
      <c r="AE29" s="2235"/>
      <c r="AF29" s="1426">
        <f t="shared" ref="AF29:AF34" si="7">ROUND(+AD29/AA29,3)</f>
        <v>-0.185</v>
      </c>
    </row>
    <row r="30" spans="1:32" ht="18" customHeight="1">
      <c r="A30" s="2291" t="s">
        <v>30</v>
      </c>
      <c r="B30" s="2295"/>
      <c r="C30" s="2253"/>
      <c r="D30" s="1365">
        <f>+'Exhibit A'!D29</f>
        <v>225.69999999999976</v>
      </c>
      <c r="E30" s="9"/>
      <c r="F30" s="2390">
        <f>+'Exhibit A'!F29</f>
        <v>1873.9999999999998</v>
      </c>
      <c r="G30" s="9"/>
      <c r="H30" s="1365">
        <f>+'Exhibit G State'!V93</f>
        <v>114.49999999999997</v>
      </c>
      <c r="I30" s="9"/>
      <c r="J30" s="2390">
        <f>+'Exhibit G State'!AD93</f>
        <v>729</v>
      </c>
      <c r="K30" s="9"/>
      <c r="L30" s="618">
        <f>+'Exhibit A'!L29</f>
        <v>0</v>
      </c>
      <c r="M30" s="9"/>
      <c r="N30" s="10">
        <f>+'Exhibit A'!N29</f>
        <v>0</v>
      </c>
      <c r="O30" s="17"/>
      <c r="P30" s="2381"/>
      <c r="Q30" s="2382"/>
      <c r="R30" s="2380">
        <f t="shared" si="4"/>
        <v>340.2</v>
      </c>
      <c r="S30" s="2380"/>
      <c r="T30" s="2380">
        <f t="shared" si="5"/>
        <v>2603</v>
      </c>
      <c r="U30" s="22"/>
      <c r="V30" s="22"/>
      <c r="W30" s="2383"/>
      <c r="X30" s="21"/>
      <c r="Y30" s="22">
        <v>223.6</v>
      </c>
      <c r="Z30" s="22" t="s">
        <v>15</v>
      </c>
      <c r="AA30" s="22">
        <f>+'Exhibit F'!AF105+'Exhibit G State'!AG93</f>
        <v>2636.1</v>
      </c>
      <c r="AB30" s="2263"/>
      <c r="AC30" s="2366"/>
      <c r="AD30" s="22">
        <f t="shared" si="6"/>
        <v>-33.1</v>
      </c>
      <c r="AE30" s="2235"/>
      <c r="AF30" s="1426">
        <f t="shared" si="7"/>
        <v>-1.2999999999999999E-2</v>
      </c>
    </row>
    <row r="31" spans="1:32" ht="18" customHeight="1">
      <c r="A31" s="2291" t="s">
        <v>31</v>
      </c>
      <c r="B31" s="2253"/>
      <c r="C31" s="2253"/>
      <c r="D31" s="1365">
        <f>+'Exhibit A'!D30</f>
        <v>7.5999999999999943</v>
      </c>
      <c r="E31" s="9"/>
      <c r="F31" s="2390">
        <f>+'Exhibit A'!F30</f>
        <v>93.5</v>
      </c>
      <c r="G31" s="9"/>
      <c r="H31" s="1365">
        <f>+'Exhibit G State'!V94</f>
        <v>9.3000000000000114</v>
      </c>
      <c r="I31" s="9"/>
      <c r="J31" s="2390">
        <f>+'Exhibit G State'!AD94</f>
        <v>117.4</v>
      </c>
      <c r="K31" s="9"/>
      <c r="L31" s="618">
        <f>+'Exhibit A'!L30</f>
        <v>0</v>
      </c>
      <c r="M31" s="9"/>
      <c r="N31" s="10">
        <f>+'Exhibit A'!N30</f>
        <v>0</v>
      </c>
      <c r="O31" s="17"/>
      <c r="P31" s="2381"/>
      <c r="Q31" s="2382"/>
      <c r="R31" s="2380">
        <f t="shared" si="4"/>
        <v>16.899999999999999</v>
      </c>
      <c r="S31" s="2380"/>
      <c r="T31" s="2380">
        <f t="shared" si="5"/>
        <v>210.9</v>
      </c>
      <c r="U31" s="22"/>
      <c r="V31" s="22"/>
      <c r="W31" s="2383"/>
      <c r="X31" s="21"/>
      <c r="Y31" s="22">
        <v>-19.799999999999997</v>
      </c>
      <c r="Z31" s="22" t="s">
        <v>15</v>
      </c>
      <c r="AA31" s="22">
        <f>+'Exhibit F'!AF106+'Exhibit G State'!AG94</f>
        <v>255.3</v>
      </c>
      <c r="AB31" s="2263"/>
      <c r="AC31" s="2366"/>
      <c r="AD31" s="22">
        <f t="shared" si="6"/>
        <v>-44.4</v>
      </c>
      <c r="AE31" s="2235"/>
      <c r="AF31" s="1426">
        <f t="shared" si="7"/>
        <v>-0.17399999999999999</v>
      </c>
    </row>
    <row r="32" spans="1:32" ht="18" customHeight="1">
      <c r="A32" s="2291" t="s">
        <v>32</v>
      </c>
      <c r="B32" s="2253"/>
      <c r="C32" s="2253"/>
      <c r="D32" s="1365">
        <f>+'Exhibit A'!D31</f>
        <v>154.10000000000002</v>
      </c>
      <c r="E32" s="9"/>
      <c r="F32" s="2390">
        <f>+'Exhibit A'!F31</f>
        <v>1971.6</v>
      </c>
      <c r="G32" s="9"/>
      <c r="H32" s="1365">
        <f>+'Exhibit G State'!V95</f>
        <v>-1.2999999999999998</v>
      </c>
      <c r="I32" s="9"/>
      <c r="J32" s="2390">
        <f>+'Exhibit G State'!AD95</f>
        <v>0.6</v>
      </c>
      <c r="K32" s="9"/>
      <c r="L32" s="618">
        <f>+'Exhibit A'!L31</f>
        <v>0</v>
      </c>
      <c r="M32" s="9"/>
      <c r="N32" s="10">
        <f>+'Exhibit A'!N31</f>
        <v>0</v>
      </c>
      <c r="O32" s="17"/>
      <c r="P32" s="2381"/>
      <c r="Q32" s="2382"/>
      <c r="R32" s="2380">
        <f t="shared" si="4"/>
        <v>152.80000000000001</v>
      </c>
      <c r="S32" s="2380"/>
      <c r="T32" s="2380">
        <f t="shared" si="5"/>
        <v>1972.2</v>
      </c>
      <c r="U32" s="22"/>
      <c r="V32" s="22"/>
      <c r="W32" s="2383"/>
      <c r="X32" s="21"/>
      <c r="Y32" s="22">
        <v>171.1</v>
      </c>
      <c r="Z32" s="22" t="s">
        <v>15</v>
      </c>
      <c r="AA32" s="22">
        <f>+'Exhibit F'!AF107+'Exhibit G State'!AG95</f>
        <v>2011</v>
      </c>
      <c r="AB32" s="2263"/>
      <c r="AC32" s="2366"/>
      <c r="AD32" s="22">
        <f t="shared" si="6"/>
        <v>-38.799999999999997</v>
      </c>
      <c r="AE32" s="2235"/>
      <c r="AF32" s="1426">
        <f t="shared" si="7"/>
        <v>-1.9E-2</v>
      </c>
    </row>
    <row r="33" spans="1:32" ht="18" customHeight="1">
      <c r="A33" s="2291" t="s">
        <v>33</v>
      </c>
      <c r="B33" s="2253"/>
      <c r="C33" s="2253"/>
      <c r="D33" s="1365">
        <f>+'Exhibit A'!D32</f>
        <v>9</v>
      </c>
      <c r="E33" s="9"/>
      <c r="F33" s="2390">
        <f>+'Exhibit A'!F32</f>
        <v>66.2</v>
      </c>
      <c r="G33" s="9"/>
      <c r="H33" s="1365">
        <f>+'Exhibit G State'!V96</f>
        <v>1</v>
      </c>
      <c r="I33" s="9"/>
      <c r="J33" s="2390">
        <f>+'Exhibit G State'!AD96</f>
        <v>38.6</v>
      </c>
      <c r="K33" s="9"/>
      <c r="L33" s="618">
        <f>+'Exhibit A'!L32</f>
        <v>0</v>
      </c>
      <c r="M33" s="9"/>
      <c r="N33" s="10">
        <f>+'Exhibit A'!N32</f>
        <v>0</v>
      </c>
      <c r="O33" s="17"/>
      <c r="P33" s="2381"/>
      <c r="Q33" s="2382"/>
      <c r="R33" s="2380">
        <f t="shared" si="4"/>
        <v>10</v>
      </c>
      <c r="S33" s="2380"/>
      <c r="T33" s="2380">
        <f t="shared" si="5"/>
        <v>104.8</v>
      </c>
      <c r="U33" s="22"/>
      <c r="V33" s="22"/>
      <c r="W33" s="2383"/>
      <c r="X33" s="21"/>
      <c r="Y33" s="22">
        <v>4.6999999999999993</v>
      </c>
      <c r="Z33" s="22" t="s">
        <v>15</v>
      </c>
      <c r="AA33" s="22">
        <f>+'Exhibit F'!AF108+'Exhibit G State'!AG96</f>
        <v>159.6</v>
      </c>
      <c r="AB33" s="2263"/>
      <c r="AC33" s="2366"/>
      <c r="AD33" s="22">
        <f t="shared" si="6"/>
        <v>-54.8</v>
      </c>
      <c r="AE33" s="2235"/>
      <c r="AF33" s="1426">
        <f t="shared" si="7"/>
        <v>-0.34300000000000003</v>
      </c>
    </row>
    <row r="34" spans="1:32" ht="18" customHeight="1">
      <c r="A34" s="2291" t="s">
        <v>34</v>
      </c>
      <c r="B34" s="2253"/>
      <c r="C34" s="2253"/>
      <c r="D34" s="1365">
        <f>+'Exhibit A'!D33</f>
        <v>0</v>
      </c>
      <c r="E34" s="9"/>
      <c r="F34" s="2390">
        <f>+'Exhibit A'!F33</f>
        <v>80.400000000000006</v>
      </c>
      <c r="G34" s="9"/>
      <c r="H34" s="1365">
        <f>+'Exhibit G State'!V97</f>
        <v>70.400000000000318</v>
      </c>
      <c r="I34" s="9"/>
      <c r="J34" s="2390">
        <f>+'Exhibit G State'!AD97</f>
        <v>2923</v>
      </c>
      <c r="K34" s="9"/>
      <c r="L34" s="618">
        <f>+'Exhibit A'!L33</f>
        <v>0</v>
      </c>
      <c r="M34" s="9"/>
      <c r="N34" s="10">
        <f>+'Exhibit A'!N33</f>
        <v>0</v>
      </c>
      <c r="O34" s="17"/>
      <c r="P34" s="2381"/>
      <c r="Q34" s="2382"/>
      <c r="R34" s="2392">
        <f>ROUND(SUM(D34+H34+L34),1)</f>
        <v>70.400000000000006</v>
      </c>
      <c r="S34" s="2380"/>
      <c r="T34" s="2392">
        <f>ROUND(SUM(F34+J34+N34),1)</f>
        <v>3003.4</v>
      </c>
      <c r="U34" s="22"/>
      <c r="V34" s="22"/>
      <c r="W34" s="2383"/>
      <c r="X34" s="21"/>
      <c r="Y34" s="22">
        <v>62.5</v>
      </c>
      <c r="Z34" s="22" t="s">
        <v>15</v>
      </c>
      <c r="AA34" s="1425">
        <f>+'Exhibit F'!AF109+'Exhibit G State'!AG97</f>
        <v>3344.8</v>
      </c>
      <c r="AB34" s="2263"/>
      <c r="AC34" s="2366"/>
      <c r="AD34" s="22">
        <f t="shared" si="6"/>
        <v>-341.4</v>
      </c>
      <c r="AE34" s="2235"/>
      <c r="AF34" s="1426">
        <f t="shared" si="7"/>
        <v>-0.10199999999999999</v>
      </c>
    </row>
    <row r="35" spans="1:32" ht="18" customHeight="1">
      <c r="A35" s="2252" t="s">
        <v>35</v>
      </c>
      <c r="B35" s="2253"/>
      <c r="C35" s="2253"/>
      <c r="D35" s="12">
        <f>ROUND(SUM(D25:D34),1)</f>
        <v>1894.7</v>
      </c>
      <c r="E35" s="1364"/>
      <c r="F35" s="12">
        <f>ROUND(SUM(F25:F34),1)</f>
        <v>34069.300000000003</v>
      </c>
      <c r="G35" s="1364"/>
      <c r="H35" s="12">
        <f>ROUND(SUM(H25:H34),1)</f>
        <v>2805.9</v>
      </c>
      <c r="I35" s="1364"/>
      <c r="J35" s="12">
        <f>ROUND(SUM(J25:J34),1)</f>
        <v>13799.1</v>
      </c>
      <c r="K35" s="1364"/>
      <c r="L35" s="2393">
        <f>ROUND(SUM(L25:L34),1)</f>
        <v>0</v>
      </c>
      <c r="M35" s="1364"/>
      <c r="N35" s="1423">
        <f>ROUND(SUM(N25:N34),1)</f>
        <v>0</v>
      </c>
      <c r="O35" s="2394"/>
      <c r="P35" s="2395"/>
      <c r="Q35" s="2396"/>
      <c r="R35" s="12">
        <f>ROUND(SUM(R25:R34),1)</f>
        <v>4700.6000000000004</v>
      </c>
      <c r="S35" s="2394"/>
      <c r="T35" s="12">
        <f>ROUND(SUM(T25:T34),1)</f>
        <v>47868.4</v>
      </c>
      <c r="U35" s="1478"/>
      <c r="V35" s="1478"/>
      <c r="W35" s="2397"/>
      <c r="X35" s="2398"/>
      <c r="Y35" s="1558">
        <f>ROUND(SUM(Y25:Y34),1)</f>
        <v>5765.1</v>
      </c>
      <c r="Z35" s="23"/>
      <c r="AA35" s="1558">
        <f>ROUND(SUM(AA25:AA34),1)</f>
        <v>54277.8</v>
      </c>
      <c r="AB35" s="2315"/>
      <c r="AC35" s="2387"/>
      <c r="AD35" s="1558">
        <f>ROUND(SUM(AD25:AD34),1)</f>
        <v>-6409.4</v>
      </c>
      <c r="AE35" s="2287"/>
      <c r="AF35" s="1442">
        <f>ROUND(+AD35/AA35,3)</f>
        <v>-0.11799999999999999</v>
      </c>
    </row>
    <row r="36" spans="1:32" ht="18" customHeight="1">
      <c r="A36" s="2253" t="s">
        <v>36</v>
      </c>
      <c r="B36" s="2295"/>
      <c r="C36" s="2253"/>
      <c r="D36" s="616"/>
      <c r="E36" s="9"/>
      <c r="F36" s="9"/>
      <c r="G36" s="9"/>
      <c r="H36" s="616"/>
      <c r="I36" s="9"/>
      <c r="J36" s="9"/>
      <c r="K36" s="9"/>
      <c r="L36" s="616"/>
      <c r="M36" s="9"/>
      <c r="N36" s="9"/>
      <c r="O36" s="14"/>
      <c r="P36" s="2378"/>
      <c r="Q36" s="2379"/>
      <c r="R36" s="9"/>
      <c r="S36" s="9"/>
      <c r="T36" s="9"/>
      <c r="U36" s="22"/>
      <c r="V36" s="22"/>
      <c r="W36" s="2308"/>
      <c r="X36" s="22"/>
      <c r="Y36" s="22"/>
      <c r="Z36" s="22"/>
      <c r="AA36" s="22"/>
      <c r="AB36" s="2263"/>
      <c r="AC36" s="2366"/>
      <c r="AD36" s="22"/>
      <c r="AE36" s="2235"/>
      <c r="AF36" s="1429"/>
    </row>
    <row r="37" spans="1:32" ht="18" customHeight="1">
      <c r="A37" s="2253" t="s">
        <v>37</v>
      </c>
      <c r="B37" s="2294"/>
      <c r="C37" s="2253"/>
      <c r="D37" s="616">
        <f>+'Exhibit A'!D36</f>
        <v>594.60000000000059</v>
      </c>
      <c r="E37" s="9"/>
      <c r="F37" s="2390">
        <f>+'Exhibit A'!F36</f>
        <v>5709.8</v>
      </c>
      <c r="G37" s="9"/>
      <c r="H37" s="616">
        <f>+'Exhibit G State'!V100</f>
        <v>369.30000000000007</v>
      </c>
      <c r="I37" s="9"/>
      <c r="J37" s="2390">
        <f>+'Exhibit G State'!AD100</f>
        <v>4202.3</v>
      </c>
      <c r="K37" s="9"/>
      <c r="L37" s="619">
        <f>+'Exhibit A'!L36</f>
        <v>0</v>
      </c>
      <c r="M37" s="2380"/>
      <c r="N37" s="10">
        <f>+'Exhibit A'!N36</f>
        <v>0</v>
      </c>
      <c r="O37" s="17"/>
      <c r="P37" s="2381"/>
      <c r="Q37" s="2382"/>
      <c r="R37" s="2380">
        <f>ROUND(SUM(D37+H37+L37),1)</f>
        <v>963.9</v>
      </c>
      <c r="S37" s="10"/>
      <c r="T37" s="9">
        <f>ROUND(SUM(F37+J37+N37),1)</f>
        <v>9912.1</v>
      </c>
      <c r="U37" s="22"/>
      <c r="V37" s="22"/>
      <c r="W37" s="2383"/>
      <c r="X37" s="21"/>
      <c r="Y37" s="22">
        <v>1193.0999999999999</v>
      </c>
      <c r="Z37" s="22" t="s">
        <v>15</v>
      </c>
      <c r="AA37" s="22">
        <f>+'Exhibit F'!AF112+'Exhibit G State'!AG100</f>
        <v>11964.2</v>
      </c>
      <c r="AB37" s="2263"/>
      <c r="AC37" s="2366"/>
      <c r="AD37" s="22">
        <f t="shared" ref="AD37:AD41" si="8">ROUND(SUM(T37-AA37),1)</f>
        <v>-2052.1</v>
      </c>
      <c r="AE37" s="2235"/>
      <c r="AF37" s="1426">
        <f>ROUND(+AD37/AA37,3)</f>
        <v>-0.17199999999999999</v>
      </c>
    </row>
    <row r="38" spans="1:32" ht="18" customHeight="1">
      <c r="A38" s="2302" t="s">
        <v>38</v>
      </c>
      <c r="B38" s="3511"/>
      <c r="C38" s="2302"/>
      <c r="D38" s="621">
        <f>+'Exhibit A'!D37</f>
        <v>219.10000000000019</v>
      </c>
      <c r="E38" s="22"/>
      <c r="F38" s="3512">
        <f>+'Exhibit A'!F37</f>
        <v>1486.3000000000002</v>
      </c>
      <c r="G38" s="22"/>
      <c r="H38" s="621">
        <f>+'Exhibit G State'!V101</f>
        <v>237.29999999999995</v>
      </c>
      <c r="I38" s="22"/>
      <c r="J38" s="3512">
        <f>+'Exhibit G State'!AD101</f>
        <v>2087.6</v>
      </c>
      <c r="K38" s="22"/>
      <c r="L38" s="1419">
        <f>+'Exhibit A'!L37</f>
        <v>0.10000000000000142</v>
      </c>
      <c r="M38" s="3387"/>
      <c r="N38" s="21">
        <f>+'Exhibit A'!N37</f>
        <v>24</v>
      </c>
      <c r="O38" s="1425"/>
      <c r="P38" s="2378"/>
      <c r="Q38" s="2400"/>
      <c r="R38" s="3387">
        <f>ROUND(SUM(D38+H38+L38),1)</f>
        <v>456.5</v>
      </c>
      <c r="S38" s="21"/>
      <c r="T38" s="22">
        <f>ROUND(SUM(F38+J38+N38),1)</f>
        <v>3597.9</v>
      </c>
      <c r="U38" s="22"/>
      <c r="V38" s="22"/>
      <c r="W38" s="2308"/>
      <c r="X38" s="22"/>
      <c r="Y38" s="22">
        <v>540.4</v>
      </c>
      <c r="Z38" s="22" t="s">
        <v>15</v>
      </c>
      <c r="AA38" s="22">
        <f>+'Exhibit F'!AF113+'Exhibit G State'!AG101+'Exhibit H'!AD55</f>
        <v>4526.2</v>
      </c>
      <c r="AB38" s="2263"/>
      <c r="AC38" s="2366"/>
      <c r="AD38" s="22">
        <f t="shared" si="8"/>
        <v>-928.3</v>
      </c>
      <c r="AF38" s="1650">
        <f>ROUND(+AD38/AA38,3)</f>
        <v>-0.20499999999999999</v>
      </c>
    </row>
    <row r="39" spans="1:32" ht="18" customHeight="1">
      <c r="A39" s="2253" t="s">
        <v>39</v>
      </c>
      <c r="B39" s="2276"/>
      <c r="C39" s="2253"/>
      <c r="D39" s="616">
        <f>+'Exhibit A'!D38</f>
        <v>-277.19999999999982</v>
      </c>
      <c r="E39" s="9"/>
      <c r="F39" s="2390">
        <f>+'Exhibit A'!F38</f>
        <v>5100.5</v>
      </c>
      <c r="G39" s="9"/>
      <c r="H39" s="616">
        <f>+'Exhibit G State'!V102</f>
        <v>59.699999999999989</v>
      </c>
      <c r="I39" s="9"/>
      <c r="J39" s="2390">
        <f>+'Exhibit G State'!AD102</f>
        <v>738.4</v>
      </c>
      <c r="K39" s="9"/>
      <c r="L39" s="619">
        <f>+'Exhibit A'!L38</f>
        <v>0</v>
      </c>
      <c r="M39" s="9"/>
      <c r="N39" s="10">
        <f>+'Exhibit A'!N38</f>
        <v>0</v>
      </c>
      <c r="O39" s="17"/>
      <c r="P39" s="2381"/>
      <c r="Q39" s="2382"/>
      <c r="R39" s="2380">
        <f>ROUND(SUM(D39+H39+L39),1)</f>
        <v>-217.5</v>
      </c>
      <c r="S39" s="10"/>
      <c r="T39" s="9">
        <f>ROUND(SUM(F39+J39+N39),1)</f>
        <v>5838.9</v>
      </c>
      <c r="U39" s="22"/>
      <c r="V39" s="22"/>
      <c r="W39" s="2383"/>
      <c r="X39" s="21"/>
      <c r="Y39" s="22">
        <v>529.79999999999995</v>
      </c>
      <c r="Z39" s="22" t="s">
        <v>15</v>
      </c>
      <c r="AA39" s="22">
        <f>+'Exhibit F'!AF114+'Exhibit G State'!AG102</f>
        <v>7402.4000000000005</v>
      </c>
      <c r="AB39" s="2263"/>
      <c r="AC39" s="2366"/>
      <c r="AD39" s="22">
        <f t="shared" si="8"/>
        <v>-1563.5</v>
      </c>
      <c r="AE39" s="2235"/>
      <c r="AF39" s="1426">
        <f>ROUND(+AD39/AA39,3)</f>
        <v>-0.21099999999999999</v>
      </c>
    </row>
    <row r="40" spans="1:32" ht="18" customHeight="1">
      <c r="A40" s="2253" t="s">
        <v>40</v>
      </c>
      <c r="B40" s="2253"/>
      <c r="C40" s="2253"/>
      <c r="D40" s="616"/>
      <c r="E40" s="9"/>
      <c r="F40" s="9"/>
      <c r="G40" s="9"/>
      <c r="H40" s="616"/>
      <c r="I40" s="9"/>
      <c r="J40" s="9"/>
      <c r="K40" s="9"/>
      <c r="L40" s="616"/>
      <c r="M40" s="9"/>
      <c r="N40" s="9"/>
      <c r="O40" s="14"/>
      <c r="P40" s="2378"/>
      <c r="Q40" s="2379"/>
      <c r="R40" s="1421" t="s">
        <v>15</v>
      </c>
      <c r="S40" s="9"/>
      <c r="T40" s="616" t="s">
        <v>15</v>
      </c>
      <c r="U40" s="22"/>
      <c r="V40" s="22"/>
      <c r="W40" s="2308"/>
      <c r="X40" s="22"/>
      <c r="Y40" s="621"/>
      <c r="Z40" s="22"/>
      <c r="AA40" s="621" t="s">
        <v>15</v>
      </c>
      <c r="AB40" s="2263"/>
      <c r="AC40" s="2366"/>
      <c r="AD40" s="22"/>
      <c r="AE40" s="2235"/>
      <c r="AF40" s="1426"/>
    </row>
    <row r="41" spans="1:32" ht="18" customHeight="1">
      <c r="A41" s="2253" t="s">
        <v>41</v>
      </c>
      <c r="B41" s="2399"/>
      <c r="C41" s="2253"/>
      <c r="D41" s="619">
        <v>0</v>
      </c>
      <c r="E41" s="9"/>
      <c r="F41" s="10">
        <v>0</v>
      </c>
      <c r="G41" s="9"/>
      <c r="H41" s="619">
        <v>0</v>
      </c>
      <c r="I41" s="9"/>
      <c r="J41" s="10">
        <v>0</v>
      </c>
      <c r="K41" s="9"/>
      <c r="L41" s="619">
        <f>+'Exhibit A'!L40</f>
        <v>10.599999999999909</v>
      </c>
      <c r="M41" s="2380"/>
      <c r="N41" s="10">
        <f>+'Exhibit A'!N40</f>
        <v>2589.6</v>
      </c>
      <c r="O41" s="14"/>
      <c r="P41" s="2378"/>
      <c r="Q41" s="2379"/>
      <c r="R41" s="2380">
        <f>ROUND(SUM(D41+H41+L41),1)</f>
        <v>10.6</v>
      </c>
      <c r="S41" s="9"/>
      <c r="T41" s="9">
        <f>ROUND(SUM(F41+J41+N41),1)</f>
        <v>2589.6</v>
      </c>
      <c r="U41" s="22"/>
      <c r="V41" s="22"/>
      <c r="W41" s="2308"/>
      <c r="X41" s="22"/>
      <c r="Y41" s="22">
        <v>44.6</v>
      </c>
      <c r="Z41" s="22" t="s">
        <v>15</v>
      </c>
      <c r="AA41" s="22">
        <f>+'Exhibit H'!AD57</f>
        <v>1556.8</v>
      </c>
      <c r="AB41" s="2263"/>
      <c r="AC41" s="2366"/>
      <c r="AD41" s="22">
        <f t="shared" si="8"/>
        <v>1032.8</v>
      </c>
      <c r="AE41" s="2235"/>
      <c r="AF41" s="1426">
        <f>ROUND(+AD41/AA41,3)</f>
        <v>0.66300000000000003</v>
      </c>
    </row>
    <row r="42" spans="1:32" ht="18" customHeight="1">
      <c r="A42" s="2253" t="s">
        <v>42</v>
      </c>
      <c r="B42" s="2294"/>
      <c r="C42" s="2253"/>
      <c r="D42" s="619">
        <v>0</v>
      </c>
      <c r="E42" s="9"/>
      <c r="F42" s="10">
        <v>0</v>
      </c>
      <c r="G42" s="9"/>
      <c r="H42" s="619">
        <f>'Exhibit G State'!J103</f>
        <v>0</v>
      </c>
      <c r="I42" s="9"/>
      <c r="J42" s="619">
        <f>'Exhibit G State'!AD103</f>
        <v>0</v>
      </c>
      <c r="K42" s="9"/>
      <c r="L42" s="619">
        <v>0</v>
      </c>
      <c r="M42" s="2380"/>
      <c r="N42" s="10">
        <v>0</v>
      </c>
      <c r="O42" s="14"/>
      <c r="P42" s="2378"/>
      <c r="Q42" s="3553"/>
      <c r="R42" s="2380">
        <f>ROUND(SUM(D42+H42+L42),1)</f>
        <v>0</v>
      </c>
      <c r="S42" s="9"/>
      <c r="T42" s="9">
        <f>ROUND(SUM(F42+J42+N42),1)</f>
        <v>0</v>
      </c>
      <c r="U42" s="22"/>
      <c r="V42" s="22"/>
      <c r="W42" s="3554"/>
      <c r="X42" s="22"/>
      <c r="Y42" s="22">
        <v>0</v>
      </c>
      <c r="Z42" s="22"/>
      <c r="AA42" s="22">
        <f>'Exhibit G State'!AG103</f>
        <v>0</v>
      </c>
      <c r="AB42" s="2263"/>
      <c r="AC42" s="2366"/>
      <c r="AD42" s="22">
        <f>ROUND(SUM(T42-AA42),1)</f>
        <v>0</v>
      </c>
      <c r="AE42" s="2235"/>
      <c r="AF42" s="1426">
        <f>IF(AA42=0,0,AD42/AA42)</f>
        <v>0</v>
      </c>
    </row>
    <row r="43" spans="1:32" ht="18" customHeight="1">
      <c r="A43" s="2252" t="s">
        <v>57</v>
      </c>
      <c r="B43" s="2253"/>
      <c r="C43" s="2253"/>
      <c r="D43" s="12">
        <f>SUM(D35:D42)</f>
        <v>2431.2000000000012</v>
      </c>
      <c r="E43" s="1364"/>
      <c r="F43" s="12">
        <f>SUM(F35:F42)</f>
        <v>46365.900000000009</v>
      </c>
      <c r="G43" s="1364"/>
      <c r="H43" s="12">
        <f>SUM(H35:H42)</f>
        <v>3472.2</v>
      </c>
      <c r="I43" s="1364"/>
      <c r="J43" s="12">
        <f>SUM(J35:J42)</f>
        <v>20827.400000000001</v>
      </c>
      <c r="K43" s="1364"/>
      <c r="L43" s="12">
        <f>SUM(L35:L42)</f>
        <v>10.69999999999991</v>
      </c>
      <c r="M43" s="1364"/>
      <c r="N43" s="12">
        <f>SUM(N35:N42)</f>
        <v>2613.6</v>
      </c>
      <c r="O43" s="2284"/>
      <c r="P43" s="2385"/>
      <c r="Q43" s="2386"/>
      <c r="R43" s="12">
        <f>ROUND(SUM(R35:R42),1)</f>
        <v>5914.1</v>
      </c>
      <c r="S43" s="2284"/>
      <c r="T43" s="12">
        <f>ROUND(SUM(T35:T42),1)</f>
        <v>69806.899999999994</v>
      </c>
      <c r="U43" s="1478"/>
      <c r="V43" s="1478"/>
      <c r="W43" s="2314"/>
      <c r="X43" s="1478"/>
      <c r="Y43" s="1558">
        <f>ROUND(SUM(Y35:Y42),1)</f>
        <v>8073</v>
      </c>
      <c r="Z43" s="23"/>
      <c r="AA43" s="1558">
        <f>ROUND(SUM(AA35:AA42),1)</f>
        <v>79727.399999999994</v>
      </c>
      <c r="AB43" s="2315"/>
      <c r="AC43" s="2387"/>
      <c r="AD43" s="1558">
        <f>ROUND(SUM(AD35:AD42),1)</f>
        <v>-9920.5</v>
      </c>
      <c r="AE43" s="2287"/>
      <c r="AF43" s="1442">
        <f>ROUND(+AD43/AA43,3)</f>
        <v>-0.124</v>
      </c>
    </row>
    <row r="44" spans="1:32" ht="16.350000000000001" customHeight="1">
      <c r="A44" s="2252"/>
      <c r="B44" s="2253"/>
      <c r="C44" s="2253"/>
      <c r="D44" s="617"/>
      <c r="E44" s="9"/>
      <c r="F44" s="14"/>
      <c r="G44" s="9"/>
      <c r="H44" s="617"/>
      <c r="I44" s="9"/>
      <c r="J44" s="14"/>
      <c r="K44" s="9"/>
      <c r="L44" s="617"/>
      <c r="M44" s="9"/>
      <c r="N44" s="14"/>
      <c r="O44" s="14"/>
      <c r="P44" s="2378"/>
      <c r="Q44" s="2379"/>
      <c r="R44" s="14"/>
      <c r="S44" s="14"/>
      <c r="T44" s="14"/>
      <c r="U44" s="1425"/>
      <c r="V44" s="1425"/>
      <c r="W44" s="2308"/>
      <c r="X44" s="1425"/>
      <c r="Y44" s="1425"/>
      <c r="Z44" s="22"/>
      <c r="AA44" s="1425"/>
      <c r="AB44" s="2263"/>
      <c r="AC44" s="2366"/>
      <c r="AD44" s="1425"/>
      <c r="AE44" s="2235"/>
      <c r="AF44" s="1429"/>
    </row>
    <row r="45" spans="1:32" ht="16.350000000000001" customHeight="1">
      <c r="A45" s="2252" t="s">
        <v>44</v>
      </c>
      <c r="B45" s="2252"/>
      <c r="C45" s="2253"/>
      <c r="D45" s="616"/>
      <c r="E45" s="9"/>
      <c r="F45" s="9"/>
      <c r="G45" s="9"/>
      <c r="H45" s="616"/>
      <c r="I45" s="9"/>
      <c r="J45" s="9"/>
      <c r="K45" s="9"/>
      <c r="L45" s="616"/>
      <c r="M45" s="9"/>
      <c r="N45" s="9"/>
      <c r="O45" s="14"/>
      <c r="P45" s="2378"/>
      <c r="Q45" s="2379"/>
      <c r="R45" s="9"/>
      <c r="S45" s="9"/>
      <c r="T45" s="9"/>
      <c r="U45" s="22"/>
      <c r="V45" s="22"/>
      <c r="W45" s="2308"/>
      <c r="X45" s="22"/>
      <c r="Y45" s="22"/>
      <c r="Z45" s="22"/>
      <c r="AA45" s="22"/>
      <c r="AB45" s="2263"/>
      <c r="AC45" s="2366"/>
      <c r="AD45" s="22"/>
      <c r="AE45" s="2235"/>
      <c r="AF45" s="1429"/>
    </row>
    <row r="46" spans="1:32" ht="16.350000000000001" customHeight="1">
      <c r="A46" s="2252" t="s">
        <v>45</v>
      </c>
      <c r="B46" s="2252"/>
      <c r="C46" s="2253"/>
      <c r="D46" s="19">
        <f>ROUND(SUM(D21-D43),1)</f>
        <v>1378.4</v>
      </c>
      <c r="E46" s="1364"/>
      <c r="F46" s="19">
        <f>ROUND(SUM(F21-F43),1)</f>
        <v>-6785.6</v>
      </c>
      <c r="G46" s="1364"/>
      <c r="H46" s="19">
        <f>ROUND(SUM(H21-H43),1)</f>
        <v>275.89999999999998</v>
      </c>
      <c r="I46" s="1364"/>
      <c r="J46" s="19">
        <f>ROUND(SUM(J21-J43),1)</f>
        <v>-2283.1999999999998</v>
      </c>
      <c r="K46" s="1364"/>
      <c r="L46" s="19">
        <f>ROUND(SUM(L21-L43),1)</f>
        <v>5443.3</v>
      </c>
      <c r="M46" s="1364" t="s">
        <v>15</v>
      </c>
      <c r="N46" s="19">
        <f>ROUND(SUM(N21-N43),1)</f>
        <v>27078.5</v>
      </c>
      <c r="O46" s="2284"/>
      <c r="P46" s="2385"/>
      <c r="Q46" s="2386"/>
      <c r="R46" s="19">
        <f>ROUND(SUM(+R21-R43),1)</f>
        <v>7097.6</v>
      </c>
      <c r="S46" s="2284"/>
      <c r="T46" s="19">
        <f>ROUND(SUM(+T21-T43),1)</f>
        <v>18009.7</v>
      </c>
      <c r="U46" s="1478"/>
      <c r="V46" s="1478"/>
      <c r="W46" s="2314"/>
      <c r="X46" s="1478"/>
      <c r="Y46" s="1652">
        <f>ROUND(SUM(Y21-Y43),1)</f>
        <v>4989.7</v>
      </c>
      <c r="Z46" s="23" t="s">
        <v>15</v>
      </c>
      <c r="AA46" s="1652">
        <f>ROUND(SUM(AA21-AA43),1)</f>
        <v>7894.8</v>
      </c>
      <c r="AB46" s="2315"/>
      <c r="AC46" s="2387"/>
      <c r="AD46" s="1652">
        <f>ROUND(SUM(AD21-AD43),1)</f>
        <v>10114.9</v>
      </c>
      <c r="AE46" s="2301"/>
      <c r="AF46" s="1466">
        <f>ROUND(AD46/AA46,3)</f>
        <v>1.2809999999999999</v>
      </c>
    </row>
    <row r="47" spans="1:32" ht="16.350000000000001" customHeight="1">
      <c r="A47" s="2253"/>
      <c r="B47" s="2253"/>
      <c r="C47" s="2253"/>
      <c r="D47" s="617"/>
      <c r="E47" s="9"/>
      <c r="F47" s="14"/>
      <c r="G47" s="9"/>
      <c r="H47" s="617"/>
      <c r="I47" s="9"/>
      <c r="J47" s="14"/>
      <c r="K47" s="9"/>
      <c r="L47" s="617"/>
      <c r="M47" s="9"/>
      <c r="N47" s="14"/>
      <c r="O47" s="14"/>
      <c r="P47" s="2378"/>
      <c r="Q47" s="2379"/>
      <c r="R47" s="14"/>
      <c r="S47" s="14"/>
      <c r="T47" s="14"/>
      <c r="U47" s="1425"/>
      <c r="V47" s="1425"/>
      <c r="W47" s="2308"/>
      <c r="X47" s="1425"/>
      <c r="Y47" s="1425"/>
      <c r="Z47" s="22"/>
      <c r="AA47" s="1425"/>
      <c r="AB47" s="2263"/>
      <c r="AC47" s="2366"/>
      <c r="AD47" s="1425"/>
      <c r="AE47" s="2235"/>
      <c r="AF47" s="1429"/>
    </row>
    <row r="48" spans="1:32" ht="16.350000000000001" customHeight="1">
      <c r="A48" s="2252" t="s">
        <v>46</v>
      </c>
      <c r="B48" s="2252"/>
      <c r="C48" s="2253"/>
      <c r="D48" s="616"/>
      <c r="E48" s="9"/>
      <c r="F48" s="9"/>
      <c r="G48" s="9"/>
      <c r="H48" s="616"/>
      <c r="I48" s="9"/>
      <c r="J48" s="9"/>
      <c r="K48" s="9"/>
      <c r="L48" s="616"/>
      <c r="M48" s="9"/>
      <c r="N48" s="9"/>
      <c r="O48" s="14"/>
      <c r="P48" s="2378"/>
      <c r="Q48" s="2379"/>
      <c r="R48" s="9"/>
      <c r="S48" s="9"/>
      <c r="T48" s="9"/>
      <c r="U48" s="22"/>
      <c r="V48" s="22"/>
      <c r="W48" s="2308"/>
      <c r="X48" s="22"/>
      <c r="Y48" s="22"/>
      <c r="Z48" s="22"/>
      <c r="AA48" s="22"/>
      <c r="AB48" s="2263"/>
      <c r="AC48" s="2366"/>
      <c r="AD48" s="22"/>
      <c r="AE48" s="2235"/>
      <c r="AF48" s="1429"/>
    </row>
    <row r="49" spans="1:32" ht="18" customHeight="1">
      <c r="A49" s="2302" t="s">
        <v>47</v>
      </c>
      <c r="B49" s="2399" t="s">
        <v>1243</v>
      </c>
      <c r="C49" s="2302"/>
      <c r="D49" s="621">
        <f>+'Exhibit A'!D49</f>
        <v>2103.8000000000006</v>
      </c>
      <c r="E49" s="9"/>
      <c r="F49" s="9">
        <f>+'Exhibit A'!F49</f>
        <v>22066.600000000002</v>
      </c>
      <c r="G49" s="22"/>
      <c r="H49" s="621">
        <f>+'Exhibit G State'!V111</f>
        <v>63.899999999999636</v>
      </c>
      <c r="I49" s="22"/>
      <c r="J49" s="9">
        <f>+'Exhibit G State'!AD111</f>
        <v>2458.6999999999998</v>
      </c>
      <c r="K49" s="1425"/>
      <c r="L49" s="1420">
        <f>+'Exhibit A'!L49</f>
        <v>367.2</v>
      </c>
      <c r="M49" s="1425"/>
      <c r="N49" s="17">
        <f>+'Exhibit A'!N49</f>
        <v>1968.7</v>
      </c>
      <c r="O49" s="14"/>
      <c r="P49" s="2378"/>
      <c r="Q49" s="2379"/>
      <c r="R49" s="10">
        <f>ROUND(SUM(L49+H49+D49),1)</f>
        <v>2534.9</v>
      </c>
      <c r="S49" s="9"/>
      <c r="T49" s="10">
        <f>ROUND(SUM(F49+J49+N49),1)</f>
        <v>26494</v>
      </c>
      <c r="U49" s="22"/>
      <c r="V49" s="22"/>
      <c r="W49" s="2308"/>
      <c r="X49" s="22"/>
      <c r="Y49" s="22">
        <v>4658.8</v>
      </c>
      <c r="Z49" s="22" t="s">
        <v>15</v>
      </c>
      <c r="AA49" s="22">
        <f>'Exhibit F'!AF123+'Exhibit F'!AF124+'Exhibit F'!AF125+'Exhibit F'!AF126+'Exhibit G State'!AG111+'Exhibit H'!AD66</f>
        <v>34398.6</v>
      </c>
      <c r="AB49" s="2263"/>
      <c r="AC49" s="2366"/>
      <c r="AD49" s="22">
        <f>ROUND(SUM(T49-AA49),1)</f>
        <v>-7904.6</v>
      </c>
      <c r="AE49" s="2304"/>
      <c r="AF49" s="1426">
        <f>ROUND(SUM(+AD49/AA49),3)</f>
        <v>-0.23</v>
      </c>
    </row>
    <row r="50" spans="1:32" ht="18" customHeight="1">
      <c r="A50" s="2302" t="s">
        <v>48</v>
      </c>
      <c r="B50" s="2399" t="s">
        <v>1243</v>
      </c>
      <c r="C50" s="2302"/>
      <c r="D50" s="621">
        <f>+'Exhibit A'!D50</f>
        <v>-701.90000000000009</v>
      </c>
      <c r="E50" s="22"/>
      <c r="F50" s="9">
        <f>+'Exhibit A'!F50</f>
        <v>-4892.5</v>
      </c>
      <c r="G50" s="22"/>
      <c r="H50" s="621">
        <f>+'Exhibit G State'!V112</f>
        <v>-38.500000000000057</v>
      </c>
      <c r="I50" s="22"/>
      <c r="J50" s="2380">
        <f>'Exhibit G State'!AD112</f>
        <v>-271.60000000000002</v>
      </c>
      <c r="K50" s="22"/>
      <c r="L50" s="1420">
        <f>+'Exhibit A'!L50</f>
        <v>-2075.1000000000022</v>
      </c>
      <c r="M50" s="1425"/>
      <c r="N50" s="17">
        <f>+'Exhibit A'!N50</f>
        <v>-21901.4</v>
      </c>
      <c r="O50" s="1425"/>
      <c r="P50" s="2378"/>
      <c r="Q50" s="2400"/>
      <c r="R50" s="2380">
        <f>ROUND(SUM(D50+H50+L50),1)</f>
        <v>-2815.5</v>
      </c>
      <c r="S50" s="1425"/>
      <c r="T50" s="9">
        <f>ROUND(SUM(F50+J50+N50),1)</f>
        <v>-27065.5</v>
      </c>
      <c r="U50" s="22"/>
      <c r="V50" s="22"/>
      <c r="W50" s="2308"/>
      <c r="X50" s="1425"/>
      <c r="Y50" s="22">
        <v>-4662.6000000000004</v>
      </c>
      <c r="Z50" s="22" t="s">
        <v>15</v>
      </c>
      <c r="AA50" s="22">
        <f>'Exhibit F'!AF127+'Exhibit F'!AF128+'Exhibit F'!AF129+'Exhibit F'!AF130+'Exhibit G State'!AG112+'Exhibit H'!AD67</f>
        <v>-35645.599999999999</v>
      </c>
      <c r="AB50" s="2263"/>
      <c r="AC50" s="2366"/>
      <c r="AD50" s="22">
        <f>-ROUND(SUM(T50-AA50),1)</f>
        <v>-8580.1</v>
      </c>
      <c r="AE50" s="2235"/>
      <c r="AF50" s="2401">
        <f>ROUND(SUM(-AD50/AA50),3)</f>
        <v>-0.24099999999999999</v>
      </c>
    </row>
    <row r="51" spans="1:32" ht="18" customHeight="1">
      <c r="A51" s="2252" t="s">
        <v>49</v>
      </c>
      <c r="B51" s="2252"/>
      <c r="C51" s="2253"/>
      <c r="D51" s="12">
        <f>ROUND(SUM(D49:D50),1)</f>
        <v>1401.9</v>
      </c>
      <c r="E51" s="1364"/>
      <c r="F51" s="12">
        <f>ROUND(SUM(F49:F50),1)</f>
        <v>17174.099999999999</v>
      </c>
      <c r="G51" s="1364"/>
      <c r="H51" s="12">
        <f>ROUND(SUM(H49:H50),1)</f>
        <v>25.4</v>
      </c>
      <c r="I51" s="1364"/>
      <c r="J51" s="12">
        <f>ROUND(SUM(J49:J50),1)</f>
        <v>2187.1</v>
      </c>
      <c r="K51" s="1364"/>
      <c r="L51" s="12">
        <f>ROUND(SUM(L49:L50),1)</f>
        <v>-1707.9</v>
      </c>
      <c r="M51" s="1364"/>
      <c r="N51" s="12">
        <f>ROUND(SUM(N49:N50),1)</f>
        <v>-19932.7</v>
      </c>
      <c r="O51" s="2284"/>
      <c r="P51" s="2385"/>
      <c r="Q51" s="2386"/>
      <c r="R51" s="12">
        <f>ROUND(SUM(R49:R50),1)</f>
        <v>-280.60000000000002</v>
      </c>
      <c r="S51" s="2284"/>
      <c r="T51" s="12">
        <f>ROUND(SUM(T49:T50),1)</f>
        <v>-571.5</v>
      </c>
      <c r="U51" s="1478"/>
      <c r="V51" s="1478"/>
      <c r="W51" s="2314"/>
      <c r="X51" s="1478"/>
      <c r="Y51" s="3425">
        <f>ROUND(SUM(+Y49+Y50),1)</f>
        <v>-3.8</v>
      </c>
      <c r="Z51" s="23"/>
      <c r="AA51" s="2311">
        <f>ROUND(SUM(+AA49+AA50),1)</f>
        <v>-1247</v>
      </c>
      <c r="AB51" s="2315"/>
      <c r="AC51" s="2387"/>
      <c r="AD51" s="2311">
        <f>ROUND(SUM(+AD49-AD50),1)</f>
        <v>675.5</v>
      </c>
      <c r="AE51" s="2287"/>
      <c r="AF51" s="1428">
        <f>-ROUND(SUM(AD51/AA51),3)</f>
        <v>0.54200000000000004</v>
      </c>
    </row>
    <row r="52" spans="1:32" ht="16.350000000000001" customHeight="1">
      <c r="A52" s="2253"/>
      <c r="B52" s="2253"/>
      <c r="C52" s="2253"/>
      <c r="D52" s="617"/>
      <c r="E52" s="9"/>
      <c r="F52" s="14"/>
      <c r="G52" s="9"/>
      <c r="H52" s="617"/>
      <c r="I52" s="9"/>
      <c r="J52" s="14"/>
      <c r="K52" s="9"/>
      <c r="L52" s="617"/>
      <c r="M52" s="9"/>
      <c r="N52" s="14"/>
      <c r="O52" s="14"/>
      <c r="P52" s="2378"/>
      <c r="Q52" s="2379"/>
      <c r="R52" s="14"/>
      <c r="S52" s="14"/>
      <c r="T52" s="14"/>
      <c r="U52" s="1425"/>
      <c r="V52" s="1425"/>
      <c r="W52" s="2308"/>
      <c r="X52" s="1425"/>
      <c r="Y52" s="1425"/>
      <c r="Z52" s="22"/>
      <c r="AA52" s="1425"/>
      <c r="AB52" s="2263"/>
      <c r="AC52" s="2366"/>
      <c r="AD52" s="1425"/>
      <c r="AE52" s="2235"/>
      <c r="AF52" s="1429"/>
    </row>
    <row r="53" spans="1:32" ht="18" customHeight="1">
      <c r="A53" s="2251" t="s">
        <v>44</v>
      </c>
      <c r="B53" s="2252"/>
      <c r="C53" s="2253"/>
      <c r="D53" s="616"/>
      <c r="E53" s="9"/>
      <c r="F53" s="9"/>
      <c r="G53" s="9"/>
      <c r="H53" s="616"/>
      <c r="I53" s="9"/>
      <c r="J53" s="9"/>
      <c r="K53" s="9"/>
      <c r="L53" s="616"/>
      <c r="M53" s="9"/>
      <c r="N53" s="9"/>
      <c r="O53" s="14"/>
      <c r="P53" s="2378"/>
      <c r="Q53" s="2379"/>
      <c r="R53" s="9"/>
      <c r="S53" s="9"/>
      <c r="T53" s="9"/>
      <c r="U53" s="22"/>
      <c r="V53" s="22"/>
      <c r="W53" s="2308"/>
      <c r="X53" s="22"/>
      <c r="Y53" s="22"/>
      <c r="Z53" s="22"/>
      <c r="AA53" s="22"/>
      <c r="AB53" s="2263"/>
      <c r="AC53" s="2366"/>
      <c r="AD53" s="22"/>
      <c r="AE53" s="2235"/>
      <c r="AF53" s="1430"/>
    </row>
    <row r="54" spans="1:32" ht="18" customHeight="1">
      <c r="A54" s="2251" t="s">
        <v>58</v>
      </c>
      <c r="B54" s="2251"/>
      <c r="C54" s="2302"/>
      <c r="D54" s="621"/>
      <c r="E54" s="9"/>
      <c r="F54" s="9"/>
      <c r="G54" s="9"/>
      <c r="H54" s="616"/>
      <c r="I54" s="9"/>
      <c r="J54" s="9"/>
      <c r="K54" s="9"/>
      <c r="L54" s="616"/>
      <c r="M54" s="9"/>
      <c r="N54" s="9"/>
      <c r="O54" s="14"/>
      <c r="P54" s="2378"/>
      <c r="Q54" s="2379"/>
      <c r="R54" s="9"/>
      <c r="S54" s="9"/>
      <c r="T54" s="9"/>
      <c r="U54" s="22"/>
      <c r="V54" s="22"/>
      <c r="W54" s="2308"/>
      <c r="X54" s="22"/>
      <c r="Y54" s="22" t="s">
        <v>15</v>
      </c>
      <c r="Z54" s="22"/>
      <c r="AA54" s="22"/>
      <c r="AB54" s="2263"/>
      <c r="AC54" s="2366"/>
      <c r="AD54" s="22"/>
      <c r="AE54" s="2235"/>
      <c r="AF54" s="1429"/>
    </row>
    <row r="55" spans="1:32" ht="18" customHeight="1">
      <c r="A55" s="2251" t="s">
        <v>59</v>
      </c>
      <c r="B55" s="2251"/>
      <c r="C55" s="2302"/>
      <c r="D55" s="23">
        <f>ROUND(SUM(D46+D51),1)</f>
        <v>2780.3</v>
      </c>
      <c r="E55" s="23"/>
      <c r="F55" s="23">
        <f>ROUND(SUM(F46)+SUM(F51),1)</f>
        <v>10388.5</v>
      </c>
      <c r="G55" s="23"/>
      <c r="H55" s="23">
        <f>ROUND(SUM(H46+H51),1)</f>
        <v>301.3</v>
      </c>
      <c r="I55" s="23"/>
      <c r="J55" s="23">
        <f>ROUND(SUM(J46)+SUM(J51),1)</f>
        <v>-96.1</v>
      </c>
      <c r="K55" s="23"/>
      <c r="L55" s="23">
        <f>ROUND(SUM(L46+L51),1)</f>
        <v>3735.4</v>
      </c>
      <c r="M55" s="2402"/>
      <c r="N55" s="2402">
        <f>ROUND(SUM(N46+N51),1)</f>
        <v>7145.8</v>
      </c>
      <c r="O55" s="2385"/>
      <c r="P55" s="2385"/>
      <c r="Q55" s="2403"/>
      <c r="R55" s="2402">
        <f>ROUND(SUM(+R46+R51),1)</f>
        <v>6817</v>
      </c>
      <c r="S55" s="2402"/>
      <c r="T55" s="2402">
        <f>ROUND(SUM(T46+T51),1)</f>
        <v>17438.2</v>
      </c>
      <c r="U55" s="2402"/>
      <c r="V55" s="2402"/>
      <c r="W55" s="2404"/>
      <c r="X55" s="2402"/>
      <c r="Y55" s="23">
        <f>ROUND(SUM(Y46)+SUM(Y51),1)</f>
        <v>4985.8999999999996</v>
      </c>
      <c r="Z55" s="23"/>
      <c r="AA55" s="23">
        <f>ROUND(SUM(AA46)+SUM(AA51),1)</f>
        <v>6647.8</v>
      </c>
      <c r="AB55" s="2315"/>
      <c r="AC55" s="2387"/>
      <c r="AD55" s="1478">
        <f>ROUND(SUM(+AD46+AD51),1)</f>
        <v>10790.4</v>
      </c>
      <c r="AE55" s="2287"/>
      <c r="AF55" s="1490">
        <f>ROUND(SUM(AD55/AA55),3)</f>
        <v>1.623</v>
      </c>
    </row>
    <row r="56" spans="1:32" ht="16.350000000000001" customHeight="1">
      <c r="A56" s="2252"/>
      <c r="B56" s="2252"/>
      <c r="C56" s="2253"/>
      <c r="D56" s="616"/>
      <c r="E56" s="9"/>
      <c r="F56" s="14"/>
      <c r="G56" s="9"/>
      <c r="H56" s="616"/>
      <c r="I56" s="9"/>
      <c r="J56" s="9"/>
      <c r="K56" s="9"/>
      <c r="L56" s="621"/>
      <c r="M56" s="22"/>
      <c r="N56" s="22"/>
      <c r="O56" s="1425"/>
      <c r="P56" s="2378"/>
      <c r="Q56" s="2400"/>
      <c r="R56" s="22"/>
      <c r="S56" s="22"/>
      <c r="T56" s="22"/>
      <c r="U56" s="22"/>
      <c r="V56" s="22"/>
      <c r="W56" s="2308"/>
      <c r="X56" s="22"/>
      <c r="Y56" s="22"/>
      <c r="Z56" s="22"/>
      <c r="AA56" s="22"/>
      <c r="AB56" s="2263"/>
      <c r="AC56" s="2366"/>
      <c r="AD56" s="22"/>
      <c r="AE56" s="2235"/>
      <c r="AF56" s="1429"/>
    </row>
    <row r="57" spans="1:32" ht="18" customHeight="1">
      <c r="A57" s="2405" t="s">
        <v>52</v>
      </c>
      <c r="B57" s="2296"/>
      <c r="C57" s="2253"/>
      <c r="D57" s="19">
        <f>+'Exhibit A'!D57</f>
        <v>16552.400000000001</v>
      </c>
      <c r="E57" s="1364"/>
      <c r="F57" s="19">
        <f>'Exhibit A'!F57</f>
        <v>8944.2000000000007</v>
      </c>
      <c r="G57" s="1364"/>
      <c r="H57" s="19">
        <f>+'Exhibit G State'!V13</f>
        <v>5003.3</v>
      </c>
      <c r="I57" s="1364"/>
      <c r="J57" s="19">
        <f>'Exhibit G State'!D13</f>
        <v>5400.7</v>
      </c>
      <c r="K57" s="1364"/>
      <c r="L57" s="1652">
        <f>+'Exhibit A'!L57</f>
        <v>3473.8</v>
      </c>
      <c r="M57" s="1478"/>
      <c r="N57" s="3797">
        <f>+'Exhibit A'!N57</f>
        <v>63.4</v>
      </c>
      <c r="O57" s="1478"/>
      <c r="P57" s="2385"/>
      <c r="Q57" s="3798"/>
      <c r="R57" s="1652">
        <f>ROUND(SUM(D57+H57+L57),1)</f>
        <v>25029.5</v>
      </c>
      <c r="S57" s="2284"/>
      <c r="T57" s="19">
        <f>ROUND(SUM(F57+J57+N57),1)</f>
        <v>14408.3</v>
      </c>
      <c r="U57" s="1478"/>
      <c r="V57" s="1478"/>
      <c r="W57" s="2314"/>
      <c r="X57" s="1478"/>
      <c r="Y57" s="1652">
        <v>14023.199999999999</v>
      </c>
      <c r="Z57" s="23" t="s">
        <v>15</v>
      </c>
      <c r="AA57" s="1652">
        <f>'Exhibit F'!AF12+'Exhibit G State'!AG13+'Exhibit H'!AD12</f>
        <v>12361.3</v>
      </c>
      <c r="AB57" s="2315"/>
      <c r="AC57" s="2387"/>
      <c r="AD57" s="1652">
        <f>ROUND(SUM(T57-AA57),1)</f>
        <v>2047</v>
      </c>
      <c r="AE57" s="2287"/>
      <c r="AF57" s="2317">
        <f>ROUND(+AD57/AA57,3)</f>
        <v>0.16600000000000001</v>
      </c>
    </row>
    <row r="58" spans="1:32" ht="16.350000000000001" customHeight="1">
      <c r="A58" s="2302"/>
      <c r="B58" s="2253"/>
      <c r="C58" s="2253"/>
      <c r="D58" s="2406"/>
      <c r="E58" s="2253"/>
      <c r="F58" s="7"/>
      <c r="G58" s="2253"/>
      <c r="H58" s="614"/>
      <c r="I58" s="2253"/>
      <c r="J58" s="7"/>
      <c r="K58" s="2253"/>
      <c r="L58" s="2406"/>
      <c r="M58" s="2253"/>
      <c r="N58" s="7"/>
      <c r="O58" s="7"/>
      <c r="P58" s="2363"/>
      <c r="Q58" s="2364"/>
      <c r="R58" s="7"/>
      <c r="S58" s="7"/>
      <c r="T58" s="7"/>
      <c r="U58" s="2263"/>
      <c r="V58" s="2263"/>
      <c r="W58" s="2365"/>
      <c r="X58" s="2263"/>
      <c r="Y58" s="2263"/>
      <c r="Z58" s="2302"/>
      <c r="AA58" s="2263"/>
      <c r="AB58" s="2263"/>
      <c r="AC58" s="2366"/>
      <c r="AD58" s="1425"/>
      <c r="AE58" s="2235"/>
      <c r="AF58" s="1429"/>
    </row>
    <row r="59" spans="1:32" ht="18" customHeight="1" thickBot="1">
      <c r="A59" s="2407" t="s">
        <v>60</v>
      </c>
      <c r="B59" s="2408" t="s">
        <v>15</v>
      </c>
      <c r="C59" s="2253"/>
      <c r="D59" s="25">
        <f>ROUND(SUM(D55+D57),1)</f>
        <v>19332.7</v>
      </c>
      <c r="E59" s="2320"/>
      <c r="F59" s="25">
        <f>ROUND(SUM(F55+F57),1)</f>
        <v>19332.7</v>
      </c>
      <c r="G59" s="2320"/>
      <c r="H59" s="25">
        <f>ROUND(SUM(H55+H57),1)</f>
        <v>5304.6</v>
      </c>
      <c r="I59" s="2320"/>
      <c r="J59" s="25">
        <f>ROUND(SUM(J55)+SUM(J57),1)</f>
        <v>5304.6</v>
      </c>
      <c r="K59" s="2320"/>
      <c r="L59" s="25">
        <f>ROUND(SUM(L55+L57),1)</f>
        <v>7209.2</v>
      </c>
      <c r="M59" s="2409"/>
      <c r="N59" s="2410">
        <f>ROUND(SUM(N55+N57),1)</f>
        <v>7209.2</v>
      </c>
      <c r="O59" s="2411"/>
      <c r="P59" s="2411"/>
      <c r="Q59" s="2412"/>
      <c r="R59" s="2410">
        <f>ROUND(SUM(R55+R57),1)</f>
        <v>31846.5</v>
      </c>
      <c r="S59" s="2411"/>
      <c r="T59" s="2410">
        <f>ROUND(SUM(T55+T57),1)</f>
        <v>31846.5</v>
      </c>
      <c r="U59" s="2411"/>
      <c r="V59" s="2411"/>
      <c r="W59" s="2413"/>
      <c r="X59" s="2411"/>
      <c r="Y59" s="25">
        <f>ROUND(SUM(Y55+Y57),1)</f>
        <v>19009.099999999999</v>
      </c>
      <c r="Z59" s="2320"/>
      <c r="AA59" s="25">
        <f>ROUND(SUM(AA55+AA57),1)</f>
        <v>19009.099999999999</v>
      </c>
      <c r="AB59" s="2325"/>
      <c r="AC59" s="2414"/>
      <c r="AD59" s="25">
        <f>ROUND(SUM(AD55+AD57),1)</f>
        <v>12837.4</v>
      </c>
      <c r="AE59" s="2287"/>
      <c r="AF59" s="2324">
        <f>ROUND(+AD59/AA59,3)</f>
        <v>0.67500000000000004</v>
      </c>
    </row>
    <row r="60" spans="1:32" ht="15.75" thickTop="1">
      <c r="A60" s="2326"/>
      <c r="B60" s="2326"/>
      <c r="C60" s="2326"/>
      <c r="D60" s="2328"/>
      <c r="E60" s="2328"/>
      <c r="F60" s="2328"/>
      <c r="G60" s="2328"/>
      <c r="H60" s="2327"/>
      <c r="I60" s="2328"/>
      <c r="J60" s="2328"/>
      <c r="K60" s="2328"/>
      <c r="L60" s="2328"/>
      <c r="M60" s="2328"/>
      <c r="N60" s="2328"/>
      <c r="O60" s="2328"/>
      <c r="P60" s="2415"/>
      <c r="Q60" s="2328"/>
      <c r="R60" s="2328"/>
      <c r="S60" s="2328"/>
      <c r="T60" s="2328"/>
      <c r="U60" s="2330"/>
      <c r="V60" s="2330"/>
      <c r="W60" s="2330"/>
      <c r="X60" s="2330"/>
      <c r="Y60" s="2330"/>
      <c r="Z60" s="2330"/>
      <c r="AA60" s="2330"/>
      <c r="AB60" s="2330"/>
      <c r="AC60" s="2330"/>
      <c r="AD60" s="2330"/>
      <c r="AE60" s="2235"/>
      <c r="AF60" s="2331"/>
    </row>
    <row r="61" spans="1:32">
      <c r="A61" s="2304"/>
      <c r="B61" s="2304"/>
      <c r="C61" s="2304"/>
      <c r="D61" s="2304"/>
      <c r="E61" s="2304"/>
      <c r="F61" s="2304"/>
      <c r="G61" s="2304"/>
      <c r="H61" s="2333"/>
      <c r="I61" s="2304"/>
      <c r="J61" s="2304"/>
      <c r="K61" s="2304"/>
      <c r="L61" s="2304"/>
      <c r="M61" s="2304"/>
      <c r="N61" s="2304"/>
      <c r="O61" s="2304"/>
      <c r="P61" s="2304"/>
      <c r="Q61" s="2304"/>
      <c r="R61" s="2304"/>
      <c r="S61" s="2304"/>
      <c r="T61" s="2304"/>
      <c r="U61" s="2343"/>
      <c r="V61" s="2343"/>
      <c r="W61" s="2343"/>
      <c r="X61" s="2343"/>
      <c r="Y61" s="2343"/>
      <c r="Z61" s="2343"/>
      <c r="AA61" s="2343"/>
      <c r="AB61" s="2343"/>
    </row>
    <row r="62" spans="1:32" ht="18" customHeight="1">
      <c r="A62" s="2257" t="s">
        <v>1190</v>
      </c>
      <c r="B62" s="2304"/>
      <c r="C62" s="2304"/>
      <c r="D62" s="2304"/>
      <c r="E62" s="2304"/>
      <c r="F62" s="2304"/>
      <c r="G62" s="2304"/>
      <c r="H62" s="2333"/>
      <c r="I62" s="2304"/>
      <c r="J62" s="2304"/>
      <c r="K62" s="2304"/>
      <c r="L62" s="2304"/>
      <c r="M62" s="2304"/>
      <c r="N62" s="2304"/>
      <c r="O62" s="2304"/>
      <c r="P62" s="2304"/>
      <c r="Q62" s="2304"/>
      <c r="R62" s="2304"/>
      <c r="S62" s="2304"/>
      <c r="T62" s="2304"/>
      <c r="U62" s="2343"/>
      <c r="V62" s="2343"/>
      <c r="W62" s="2343"/>
      <c r="X62" s="2343"/>
      <c r="Y62" s="2343"/>
      <c r="Z62" s="2343"/>
      <c r="AA62" s="2343"/>
      <c r="AB62" s="2343"/>
    </row>
    <row r="63" spans="1:32" ht="18" customHeight="1">
      <c r="A63" s="2416" t="s">
        <v>1189</v>
      </c>
      <c r="B63" s="2304"/>
      <c r="C63" s="2304"/>
      <c r="D63" s="2304"/>
      <c r="E63" s="2304"/>
      <c r="F63" s="2304"/>
      <c r="G63" s="2304"/>
      <c r="H63" s="2333"/>
      <c r="I63" s="2304"/>
      <c r="J63" s="2304"/>
      <c r="K63" s="2304"/>
      <c r="L63" s="2304"/>
      <c r="M63" s="2304"/>
      <c r="N63" s="2304"/>
      <c r="O63" s="2304"/>
      <c r="P63" s="2304"/>
      <c r="Q63" s="2304"/>
      <c r="R63" s="2304"/>
      <c r="S63" s="2304"/>
      <c r="T63" s="2304"/>
      <c r="U63" s="2343"/>
      <c r="V63" s="2343"/>
      <c r="W63" s="2343"/>
      <c r="X63" s="2343"/>
      <c r="Y63" s="2343"/>
      <c r="Z63" s="2343"/>
      <c r="AA63" s="2343"/>
      <c r="AB63" s="2343"/>
    </row>
    <row r="64" spans="1:32" ht="15">
      <c r="A64" s="2362"/>
      <c r="B64" s="2304"/>
      <c r="C64" s="2304"/>
      <c r="D64" s="2304"/>
      <c r="E64" s="2304"/>
      <c r="F64" s="2304"/>
      <c r="G64" s="2304"/>
      <c r="H64" s="2333"/>
      <c r="I64" s="2304"/>
      <c r="J64" s="2304"/>
      <c r="K64" s="2304"/>
      <c r="L64" s="2304"/>
      <c r="M64" s="2304"/>
      <c r="N64" s="2304"/>
      <c r="O64" s="2304"/>
      <c r="P64" s="2304"/>
      <c r="Q64" s="2304"/>
      <c r="R64" s="2304"/>
      <c r="S64" s="2304"/>
      <c r="T64" s="2304"/>
      <c r="U64" s="2343"/>
      <c r="V64" s="2343"/>
      <c r="W64" s="2343"/>
      <c r="X64" s="2343"/>
      <c r="Y64" s="621" t="s">
        <v>15</v>
      </c>
      <c r="Z64" s="2343"/>
      <c r="AA64" s="2343"/>
      <c r="AB64" s="2343"/>
    </row>
    <row r="65" spans="1:28" ht="15.75">
      <c r="A65" s="2338"/>
      <c r="B65" s="2339"/>
      <c r="C65" s="2332"/>
      <c r="D65" s="2341"/>
      <c r="E65" s="2341"/>
      <c r="F65" s="2341"/>
      <c r="G65" s="2341"/>
      <c r="H65" s="2340"/>
      <c r="I65" s="2341"/>
      <c r="J65" s="2341"/>
      <c r="K65" s="2341"/>
      <c r="L65" s="2341"/>
      <c r="M65" s="2304"/>
      <c r="N65" s="2304"/>
      <c r="O65" s="2304"/>
      <c r="P65" s="2304"/>
      <c r="Q65" s="2304"/>
      <c r="R65" s="2304"/>
      <c r="S65" s="2304"/>
      <c r="T65" s="2304"/>
      <c r="U65" s="2343"/>
      <c r="V65" s="2343"/>
      <c r="W65" s="2343"/>
      <c r="X65" s="2343"/>
      <c r="Y65" s="621" t="s">
        <v>15</v>
      </c>
      <c r="Z65" s="2343"/>
      <c r="AA65" s="2343"/>
      <c r="AB65" s="2343"/>
    </row>
    <row r="66" spans="1:28" ht="15">
      <c r="A66" s="1429"/>
      <c r="B66" s="1429"/>
      <c r="C66" s="1429"/>
      <c r="D66" s="2257"/>
      <c r="E66" s="1429"/>
      <c r="F66" s="1429"/>
      <c r="G66" s="1429"/>
      <c r="H66" s="2342"/>
      <c r="I66" s="1429"/>
      <c r="J66" s="1429"/>
      <c r="K66" s="1429"/>
      <c r="L66" s="2257"/>
      <c r="M66" s="2304"/>
      <c r="N66" s="2304"/>
      <c r="O66" s="2304"/>
      <c r="P66" s="2304"/>
      <c r="Q66" s="2304"/>
      <c r="R66" s="2304"/>
      <c r="S66" s="2304"/>
      <c r="T66" s="2304"/>
      <c r="U66" s="2343"/>
      <c r="V66" s="2343"/>
      <c r="W66" s="2343"/>
      <c r="X66" s="2343"/>
      <c r="Y66" s="2343"/>
      <c r="Z66" s="2343"/>
      <c r="AA66" s="2343"/>
      <c r="AB66" s="2343"/>
    </row>
    <row r="67" spans="1:28" ht="15">
      <c r="A67" s="1429"/>
      <c r="B67" s="1429"/>
      <c r="C67" s="1429"/>
      <c r="D67" s="2257"/>
      <c r="E67" s="1429"/>
      <c r="F67" s="1429"/>
      <c r="G67" s="1429"/>
      <c r="H67" s="2342"/>
      <c r="I67" s="1429"/>
      <c r="J67" s="1429"/>
      <c r="K67" s="1429"/>
      <c r="L67" s="2257"/>
      <c r="M67" s="2304"/>
      <c r="N67" s="2304"/>
      <c r="O67" s="2304"/>
      <c r="P67" s="2304"/>
      <c r="Q67" s="2304"/>
      <c r="R67" s="2304"/>
      <c r="S67" s="2304"/>
      <c r="T67" s="2304"/>
      <c r="U67" s="2343"/>
      <c r="V67" s="2343"/>
      <c r="W67" s="2343"/>
      <c r="X67" s="2343"/>
      <c r="Y67" s="2343"/>
      <c r="Z67" s="2343"/>
      <c r="AA67" s="2343"/>
      <c r="AB67" s="2343"/>
    </row>
    <row r="68" spans="1:28" ht="15">
      <c r="A68" s="1429"/>
      <c r="B68" s="1429"/>
      <c r="C68" s="1429"/>
      <c r="D68" s="2257"/>
      <c r="E68" s="1429"/>
      <c r="F68" s="1429"/>
      <c r="G68" s="1429"/>
      <c r="H68" s="2342"/>
      <c r="I68" s="1429"/>
      <c r="J68" s="1429"/>
      <c r="K68" s="1429"/>
      <c r="L68" s="2257"/>
      <c r="M68" s="2304"/>
      <c r="N68" s="2304"/>
      <c r="O68" s="2304"/>
      <c r="P68" s="2304"/>
      <c r="Q68" s="2304"/>
      <c r="R68" s="2304"/>
      <c r="S68" s="2304"/>
      <c r="T68" s="2304"/>
      <c r="U68" s="2343"/>
      <c r="V68" s="2343"/>
      <c r="W68" s="2343"/>
      <c r="X68" s="2343"/>
      <c r="Y68" s="2343"/>
      <c r="Z68" s="2343"/>
      <c r="AA68" s="2343"/>
      <c r="AB68" s="2343"/>
    </row>
    <row r="69" spans="1:28" ht="19.5" customHeight="1">
      <c r="A69" s="2242"/>
    </row>
  </sheetData>
  <mergeCells count="7">
    <mergeCell ref="R10:AB10"/>
    <mergeCell ref="D10:N10"/>
    <mergeCell ref="L11:N11"/>
    <mergeCell ref="A3:AB3"/>
    <mergeCell ref="A4:AB4"/>
    <mergeCell ref="A5:AB5"/>
    <mergeCell ref="A7:AB7"/>
  </mergeCells>
  <pageMargins left="0.25" right="0.25" top="0.5" bottom="0.25" header="0" footer="0.25"/>
  <pageSetup scale="48" firstPageNumber="3" orientation="landscape" useFirstPageNumber="1" r:id="rId1"/>
  <headerFooter scaleWithDoc="0" alignWithMargins="0">
    <oddFooter>&amp;C&amp;8&amp;P</oddFooter>
  </headerFooter>
  <ignoredErrors>
    <ignoredError sqref="AE15:AF15 AD52:AF54 AG22:AG24 AE16:AE17 AD36:AG36 AE32:AE34 AD15:AD17 AD32:AD34 AD44:AG45 AE37:AE41 AD37:AD41 AE49:AF50 AD49 AD58:AF58 AD48:AG48 AE46 AG15 AG16:AG20 AF16:AF17 AG21 AG25 AG26:AG27 AG29:AG34 AG28 AF32:AF35 AD35:AE35 AG35 AG37:AG41 AF37:AF41 AE43 AG43 AG46 AD57:AF57 AD59:AF59 AE51 AD56:AF56 AE55 AE47:AG47" unlockedFormula="1"/>
    <ignoredError sqref="B49:B50" numberStoredAsText="1"/>
    <ignoredError sqref="AF42 AF26 AF20"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autoPageBreaks="0"/>
  </sheetPr>
  <dimension ref="A1:O171"/>
  <sheetViews>
    <sheetView showGridLines="0" zoomScale="90" zoomScaleNormal="100" workbookViewId="0"/>
  </sheetViews>
  <sheetFormatPr defaultColWidth="8.6640625" defaultRowHeight="15.75"/>
  <cols>
    <col min="1" max="1" width="56.6640625" style="731" customWidth="1"/>
    <col min="2" max="2" width="2.109375" style="731" customWidth="1"/>
    <col min="3" max="3" width="19" style="730" customWidth="1"/>
    <col min="4" max="4" width="1.6640625" style="731" customWidth="1"/>
    <col min="5" max="5" width="16.44140625" style="731" customWidth="1"/>
    <col min="6" max="6" width="1.5546875" style="731" customWidth="1"/>
    <col min="7" max="7" width="16.5546875" style="731" customWidth="1"/>
    <col min="8" max="8" width="1.5546875" style="731" customWidth="1"/>
    <col min="9" max="9" width="17.6640625" style="731" customWidth="1"/>
    <col min="10" max="10" width="1.5546875" style="731" customWidth="1"/>
    <col min="11" max="11" width="20.109375" style="731" customWidth="1"/>
    <col min="12" max="12" width="6.109375" style="2216" customWidth="1"/>
    <col min="13" max="13" width="2.5546875" style="2216" customWidth="1"/>
    <col min="14" max="14" width="9" style="2216" bestFit="1" customWidth="1"/>
    <col min="15" max="15" width="20.6640625" style="731" customWidth="1"/>
    <col min="16" max="16384" width="8.6640625" style="731"/>
  </cols>
  <sheetData>
    <row r="1" spans="1:14">
      <c r="A1" s="1501" t="s">
        <v>963</v>
      </c>
    </row>
    <row r="2" spans="1:14">
      <c r="A2" s="3011"/>
    </row>
    <row r="3" spans="1:14" ht="18">
      <c r="A3" s="3012" t="s">
        <v>0</v>
      </c>
      <c r="B3" s="773"/>
      <c r="C3" s="773"/>
      <c r="D3" s="773"/>
      <c r="E3" s="773"/>
      <c r="F3" s="773"/>
      <c r="G3" s="773"/>
      <c r="H3" s="773"/>
      <c r="I3" s="773"/>
      <c r="J3" s="773"/>
      <c r="K3" s="3013" t="s">
        <v>230</v>
      </c>
      <c r="L3" s="3014"/>
    </row>
    <row r="4" spans="1:14" ht="18">
      <c r="A4" s="3012" t="s">
        <v>229</v>
      </c>
      <c r="B4" s="773"/>
      <c r="C4" s="773" t="s">
        <v>15</v>
      </c>
      <c r="D4" s="773"/>
      <c r="E4" s="773"/>
      <c r="F4" s="773"/>
      <c r="G4" s="773"/>
      <c r="H4" s="773"/>
      <c r="I4" s="773"/>
      <c r="J4" s="773"/>
      <c r="L4" s="3015"/>
    </row>
    <row r="5" spans="1:14" ht="18">
      <c r="A5" s="3012" t="s">
        <v>1271</v>
      </c>
      <c r="B5" s="773"/>
      <c r="C5" s="773"/>
      <c r="D5" s="773"/>
      <c r="E5" s="773"/>
      <c r="F5" s="773"/>
      <c r="G5" s="773"/>
      <c r="H5" s="773"/>
      <c r="I5" s="773"/>
      <c r="J5" s="773"/>
      <c r="K5" s="3016"/>
      <c r="L5" s="3017"/>
    </row>
    <row r="6" spans="1:14" ht="18">
      <c r="A6" s="3018" t="s">
        <v>231</v>
      </c>
      <c r="B6" s="773"/>
      <c r="C6" s="773"/>
      <c r="D6" s="773"/>
      <c r="E6" s="773"/>
      <c r="F6" s="773"/>
      <c r="G6" s="773"/>
      <c r="H6" s="773"/>
      <c r="I6" s="773"/>
      <c r="J6" s="773"/>
      <c r="K6" s="434"/>
      <c r="L6" s="3019"/>
    </row>
    <row r="7" spans="1:14" ht="18">
      <c r="A7" s="3018" t="s">
        <v>1464</v>
      </c>
      <c r="B7" s="773"/>
      <c r="C7" s="773"/>
      <c r="D7" s="773"/>
      <c r="E7" s="773"/>
      <c r="F7" s="773"/>
      <c r="G7" s="773"/>
      <c r="H7" s="773"/>
      <c r="I7" s="773"/>
      <c r="J7" s="773"/>
      <c r="K7" s="434"/>
      <c r="L7" s="3019"/>
    </row>
    <row r="8" spans="1:14" ht="18">
      <c r="A8" s="3018" t="s">
        <v>1564</v>
      </c>
      <c r="B8" s="773"/>
      <c r="C8" s="773"/>
      <c r="D8" s="773"/>
      <c r="E8" s="773" t="s">
        <v>15</v>
      </c>
      <c r="F8" s="773"/>
      <c r="G8" s="773"/>
      <c r="H8" s="773"/>
      <c r="I8" s="773"/>
      <c r="J8" s="773"/>
      <c r="K8" s="773"/>
      <c r="L8" s="3014"/>
    </row>
    <row r="9" spans="1:14" ht="18">
      <c r="A9" s="3012" t="s">
        <v>1367</v>
      </c>
      <c r="B9" s="3020" t="s">
        <v>232</v>
      </c>
      <c r="C9" s="726"/>
      <c r="D9" s="726"/>
      <c r="E9" s="726"/>
      <c r="F9" s="726"/>
      <c r="G9" s="726"/>
      <c r="H9" s="726"/>
      <c r="I9" s="726"/>
      <c r="J9" s="726"/>
      <c r="K9" s="726"/>
      <c r="L9" s="728"/>
    </row>
    <row r="10" spans="1:14">
      <c r="A10" s="726"/>
      <c r="B10" s="726"/>
      <c r="C10" s="431" t="s">
        <v>233</v>
      </c>
      <c r="D10" s="435"/>
      <c r="E10" s="435"/>
      <c r="F10" s="435"/>
      <c r="G10" s="437"/>
      <c r="H10" s="435"/>
      <c r="I10" s="2211" t="s">
        <v>234</v>
      </c>
      <c r="J10" s="435"/>
      <c r="K10" s="2211" t="s">
        <v>233</v>
      </c>
      <c r="L10" s="2211"/>
    </row>
    <row r="11" spans="1:14">
      <c r="A11" s="726"/>
      <c r="B11" s="726"/>
      <c r="C11" s="3444" t="s">
        <v>1559</v>
      </c>
      <c r="D11" s="435"/>
      <c r="E11" s="2212" t="s">
        <v>235</v>
      </c>
      <c r="F11" s="437"/>
      <c r="G11" s="2213" t="s">
        <v>236</v>
      </c>
      <c r="H11" s="437"/>
      <c r="I11" s="2213" t="s">
        <v>237</v>
      </c>
      <c r="J11" s="437"/>
      <c r="K11" s="3021" t="s">
        <v>1560</v>
      </c>
      <c r="L11" s="2214"/>
    </row>
    <row r="12" spans="1:14">
      <c r="A12" s="726"/>
      <c r="B12" s="726"/>
      <c r="C12" s="2214"/>
      <c r="D12" s="435"/>
      <c r="E12" s="2211"/>
      <c r="F12" s="437"/>
      <c r="G12" s="2211"/>
      <c r="H12" s="437"/>
      <c r="I12" s="2211"/>
      <c r="J12" s="437"/>
      <c r="K12" s="3022"/>
      <c r="L12" s="2214"/>
    </row>
    <row r="13" spans="1:14">
      <c r="A13" s="432" t="s">
        <v>146</v>
      </c>
      <c r="B13" s="726"/>
      <c r="C13" s="728"/>
      <c r="D13" s="726"/>
      <c r="E13" s="1719"/>
      <c r="F13" s="726"/>
      <c r="G13" s="725"/>
      <c r="H13" s="726"/>
      <c r="I13" s="725"/>
      <c r="J13" s="726"/>
      <c r="K13" s="728"/>
      <c r="L13" s="728"/>
    </row>
    <row r="14" spans="1:14">
      <c r="A14" s="726" t="s">
        <v>238</v>
      </c>
      <c r="B14" s="1719"/>
      <c r="C14" s="1686">
        <v>0</v>
      </c>
      <c r="D14" s="1687"/>
      <c r="E14" s="1686">
        <v>6.0999999999999999E-2</v>
      </c>
      <c r="F14" s="1687"/>
      <c r="G14" s="1686">
        <v>1894.7070000000001</v>
      </c>
      <c r="H14" s="1687"/>
      <c r="I14" s="1686">
        <v>1894.646</v>
      </c>
      <c r="J14" s="1719"/>
      <c r="K14" s="789">
        <f t="shared" ref="K14:K23" si="0">ROUND(SUM(C14)+SUM(E14)-SUM(G14)+SUM(I14),3)</f>
        <v>0</v>
      </c>
      <c r="L14" s="2128"/>
    </row>
    <row r="15" spans="1:14">
      <c r="A15" s="726" t="s">
        <v>239</v>
      </c>
      <c r="B15" s="726"/>
      <c r="C15" s="1690">
        <v>16522.621999999999</v>
      </c>
      <c r="D15" s="1687"/>
      <c r="E15" s="1690">
        <v>3809.4830000000002</v>
      </c>
      <c r="F15" s="1687"/>
      <c r="G15" s="1690">
        <v>536.54099999999994</v>
      </c>
      <c r="H15" s="1687"/>
      <c r="I15" s="1690">
        <v>-492.65300000000002</v>
      </c>
      <c r="J15" s="1719"/>
      <c r="K15" s="642">
        <f t="shared" si="0"/>
        <v>19302.911</v>
      </c>
      <c r="L15" s="2134"/>
      <c r="M15" s="2131"/>
      <c r="N15" s="2131"/>
    </row>
    <row r="16" spans="1:14">
      <c r="A16" s="727" t="s">
        <v>240</v>
      </c>
      <c r="B16" s="726"/>
      <c r="C16" s="1690">
        <v>0</v>
      </c>
      <c r="D16" s="1687"/>
      <c r="E16" s="1690">
        <v>0</v>
      </c>
      <c r="F16" s="1687"/>
      <c r="G16" s="1690">
        <v>0</v>
      </c>
      <c r="H16" s="1687"/>
      <c r="I16" s="1690">
        <v>0</v>
      </c>
      <c r="J16" s="1719"/>
      <c r="K16" s="642">
        <f t="shared" si="0"/>
        <v>0</v>
      </c>
      <c r="L16" s="2134"/>
      <c r="M16" s="2131"/>
      <c r="N16" s="2131"/>
    </row>
    <row r="17" spans="1:14">
      <c r="A17" s="726" t="s">
        <v>241</v>
      </c>
      <c r="B17" s="726"/>
      <c r="C17" s="1690">
        <v>0</v>
      </c>
      <c r="D17" s="1687"/>
      <c r="E17" s="1690">
        <v>0</v>
      </c>
      <c r="F17" s="1687"/>
      <c r="G17" s="1690">
        <v>0</v>
      </c>
      <c r="H17" s="1687"/>
      <c r="I17" s="1690">
        <v>0</v>
      </c>
      <c r="J17" s="1719"/>
      <c r="K17" s="642">
        <f t="shared" si="0"/>
        <v>0</v>
      </c>
      <c r="L17" s="2134"/>
      <c r="M17" s="2131"/>
      <c r="N17" s="2131"/>
    </row>
    <row r="18" spans="1:14">
      <c r="A18" s="726" t="s">
        <v>242</v>
      </c>
      <c r="B18" s="726"/>
      <c r="C18" s="1690">
        <v>0</v>
      </c>
      <c r="D18" s="1687"/>
      <c r="E18" s="1690">
        <v>0</v>
      </c>
      <c r="F18" s="1687"/>
      <c r="G18" s="1690">
        <v>0</v>
      </c>
      <c r="H18" s="1687"/>
      <c r="I18" s="1690">
        <v>0</v>
      </c>
      <c r="J18" s="1719"/>
      <c r="K18" s="642">
        <f t="shared" si="0"/>
        <v>0</v>
      </c>
      <c r="L18" s="2134"/>
      <c r="M18" s="2131"/>
      <c r="N18" s="2131"/>
    </row>
    <row r="19" spans="1:14">
      <c r="A19" s="726" t="s">
        <v>243</v>
      </c>
      <c r="B19" s="726"/>
      <c r="C19" s="1690">
        <v>29.774000000000001</v>
      </c>
      <c r="D19" s="1687"/>
      <c r="E19" s="1690">
        <v>0</v>
      </c>
      <c r="F19" s="1687"/>
      <c r="G19" s="1690">
        <v>1.3999999999999999E-2</v>
      </c>
      <c r="H19" s="1687"/>
      <c r="I19" s="1690">
        <v>0</v>
      </c>
      <c r="J19" s="1719"/>
      <c r="K19" s="642">
        <f t="shared" si="0"/>
        <v>29.76</v>
      </c>
      <c r="L19" s="729"/>
      <c r="M19" s="2131"/>
      <c r="N19" s="2131"/>
    </row>
    <row r="20" spans="1:14">
      <c r="A20" s="726" t="s">
        <v>244</v>
      </c>
      <c r="B20" s="726"/>
      <c r="C20" s="1690">
        <v>0</v>
      </c>
      <c r="D20" s="1687"/>
      <c r="E20" s="1690">
        <v>0</v>
      </c>
      <c r="F20" s="1687"/>
      <c r="G20" s="1690">
        <v>0</v>
      </c>
      <c r="H20" s="1687"/>
      <c r="I20" s="1690">
        <v>0</v>
      </c>
      <c r="J20" s="1719"/>
      <c r="K20" s="642">
        <f t="shared" si="0"/>
        <v>0</v>
      </c>
      <c r="L20" s="2134"/>
      <c r="M20" s="2131"/>
      <c r="N20" s="2131"/>
    </row>
    <row r="21" spans="1:14">
      <c r="A21" s="727" t="s">
        <v>245</v>
      </c>
      <c r="B21" s="728"/>
      <c r="C21" s="1690">
        <v>0</v>
      </c>
      <c r="D21" s="1687"/>
      <c r="E21" s="1690">
        <v>0</v>
      </c>
      <c r="F21" s="1687"/>
      <c r="G21" s="1690">
        <v>0</v>
      </c>
      <c r="H21" s="1687"/>
      <c r="I21" s="1690">
        <v>0</v>
      </c>
      <c r="J21" s="1719"/>
      <c r="K21" s="642">
        <f t="shared" si="0"/>
        <v>0</v>
      </c>
      <c r="L21" s="2134"/>
      <c r="M21" s="2131"/>
      <c r="N21" s="2131"/>
    </row>
    <row r="22" spans="1:14">
      <c r="A22" s="727" t="s">
        <v>246</v>
      </c>
      <c r="B22" s="726"/>
      <c r="C22" s="1690">
        <v>0</v>
      </c>
      <c r="D22" s="1687"/>
      <c r="E22" s="1690">
        <v>0</v>
      </c>
      <c r="F22" s="1687"/>
      <c r="G22" s="1690">
        <v>0</v>
      </c>
      <c r="H22" s="1687"/>
      <c r="I22" s="1690">
        <v>0</v>
      </c>
      <c r="J22" s="1719"/>
      <c r="K22" s="642">
        <f t="shared" si="0"/>
        <v>0</v>
      </c>
      <c r="L22" s="2134"/>
      <c r="M22" s="2131"/>
      <c r="N22" s="2131"/>
    </row>
    <row r="23" spans="1:14">
      <c r="A23" s="727" t="s">
        <v>247</v>
      </c>
      <c r="B23" s="726"/>
      <c r="C23" s="1690">
        <v>0</v>
      </c>
      <c r="D23" s="1687"/>
      <c r="E23" s="1690">
        <v>0</v>
      </c>
      <c r="F23" s="1687"/>
      <c r="G23" s="1690">
        <v>0</v>
      </c>
      <c r="H23" s="1687"/>
      <c r="I23" s="1690">
        <v>0</v>
      </c>
      <c r="J23" s="1719"/>
      <c r="K23" s="642">
        <f t="shared" si="0"/>
        <v>0</v>
      </c>
      <c r="L23" s="2134"/>
      <c r="M23" s="2131"/>
    </row>
    <row r="24" spans="1:14" ht="22.5" customHeight="1">
      <c r="A24" s="429" t="s">
        <v>248</v>
      </c>
      <c r="B24" s="726"/>
      <c r="C24" s="430">
        <f>ROUND(SUM(C14:C23),3)</f>
        <v>16552.396000000001</v>
      </c>
      <c r="D24" s="431"/>
      <c r="E24" s="430">
        <f>ROUND(SUM(E14:E23),3)</f>
        <v>3809.5439999999999</v>
      </c>
      <c r="F24" s="431"/>
      <c r="G24" s="430">
        <f>ROUND(SUM(G14:G23),3)</f>
        <v>2431.2620000000002</v>
      </c>
      <c r="H24" s="431"/>
      <c r="I24" s="430">
        <f>ROUND(SUM(I14:I23),3)</f>
        <v>1401.9929999999999</v>
      </c>
      <c r="J24" s="431"/>
      <c r="K24" s="430">
        <f>ROUND(SUM(K14:K23),3)</f>
        <v>19332.670999999998</v>
      </c>
      <c r="L24" s="3023"/>
      <c r="M24" s="2131"/>
      <c r="N24" s="2131"/>
    </row>
    <row r="25" spans="1:14" ht="8.25" customHeight="1">
      <c r="A25" s="429"/>
      <c r="B25" s="726"/>
      <c r="C25" s="725"/>
      <c r="D25" s="642"/>
      <c r="E25" s="725"/>
      <c r="F25" s="642"/>
      <c r="G25" s="725"/>
      <c r="H25" s="642"/>
      <c r="I25" s="725"/>
      <c r="J25" s="642"/>
      <c r="K25" s="725"/>
      <c r="L25" s="725"/>
      <c r="M25" s="2131"/>
      <c r="N25" s="2131"/>
    </row>
    <row r="26" spans="1:14" ht="17.25">
      <c r="A26" s="727"/>
      <c r="B26" s="726"/>
      <c r="C26" s="728"/>
      <c r="D26" s="726"/>
      <c r="E26" s="728"/>
      <c r="F26" s="682"/>
      <c r="G26" s="728"/>
      <c r="H26" s="682"/>
      <c r="I26" s="728"/>
      <c r="J26" s="726"/>
      <c r="K26" s="729"/>
      <c r="L26" s="729"/>
      <c r="M26" s="2131"/>
      <c r="N26" s="2131"/>
    </row>
    <row r="27" spans="1:14" ht="17.25">
      <c r="A27" s="432" t="s">
        <v>875</v>
      </c>
      <c r="B27" s="726"/>
      <c r="C27" s="726"/>
      <c r="D27" s="726"/>
      <c r="E27" s="726"/>
      <c r="F27" s="682"/>
      <c r="G27" s="726"/>
      <c r="H27" s="682"/>
      <c r="I27" s="726"/>
      <c r="J27" s="726"/>
      <c r="K27" s="726"/>
      <c r="L27" s="728"/>
      <c r="M27" s="2131"/>
      <c r="N27" s="2131"/>
    </row>
    <row r="28" spans="1:14">
      <c r="A28" s="727" t="s">
        <v>249</v>
      </c>
      <c r="B28" s="726"/>
      <c r="C28" s="1690">
        <v>0.83099999999999996</v>
      </c>
      <c r="D28" s="1687"/>
      <c r="E28" s="1690">
        <v>0</v>
      </c>
      <c r="F28" s="1687"/>
      <c r="G28" s="1690">
        <v>1.0999999999999999E-2</v>
      </c>
      <c r="H28" s="1687"/>
      <c r="I28" s="1690">
        <v>0</v>
      </c>
      <c r="J28" s="1719"/>
      <c r="K28" s="642">
        <f t="shared" ref="K28:K33" si="1">ROUND(SUM(C28)+SUM(E28)-SUM(G28)+SUM(I28),3)</f>
        <v>0.82</v>
      </c>
      <c r="L28" s="3102"/>
      <c r="M28" s="2131"/>
    </row>
    <row r="29" spans="1:14">
      <c r="A29" s="727" t="s">
        <v>250</v>
      </c>
      <c r="B29" s="726"/>
      <c r="C29" s="1690">
        <v>69.850999999999999</v>
      </c>
      <c r="D29" s="1687"/>
      <c r="E29" s="1690">
        <v>0.21099999999999999</v>
      </c>
      <c r="F29" s="1687"/>
      <c r="G29" s="1690">
        <v>0.26800000000000002</v>
      </c>
      <c r="H29" s="1687"/>
      <c r="I29" s="1690">
        <v>0</v>
      </c>
      <c r="J29" s="1719"/>
      <c r="K29" s="642">
        <f t="shared" si="1"/>
        <v>69.793999999999997</v>
      </c>
      <c r="L29" s="3102"/>
      <c r="M29" s="2131"/>
      <c r="N29" s="2131"/>
    </row>
    <row r="30" spans="1:14">
      <c r="A30" s="726" t="s">
        <v>251</v>
      </c>
      <c r="B30" s="3020" t="s">
        <v>232</v>
      </c>
      <c r="C30" s="1690">
        <v>109.087</v>
      </c>
      <c r="D30" s="1687"/>
      <c r="E30" s="1690">
        <v>2.2229999999999999</v>
      </c>
      <c r="F30" s="1687"/>
      <c r="G30" s="1690">
        <v>2.698</v>
      </c>
      <c r="H30" s="1687"/>
      <c r="I30" s="1690">
        <v>0</v>
      </c>
      <c r="J30" s="1719"/>
      <c r="K30" s="642">
        <f t="shared" si="1"/>
        <v>108.61199999999999</v>
      </c>
      <c r="L30" s="3102"/>
      <c r="M30" s="2131"/>
      <c r="N30" s="2131"/>
    </row>
    <row r="31" spans="1:14">
      <c r="A31" s="727" t="s">
        <v>252</v>
      </c>
      <c r="B31" s="3020"/>
      <c r="C31" s="1690">
        <v>0.03</v>
      </c>
      <c r="D31" s="1687"/>
      <c r="E31" s="1690">
        <v>0</v>
      </c>
      <c r="F31" s="1687"/>
      <c r="G31" s="1690">
        <v>3.2000000000000001E-2</v>
      </c>
      <c r="H31" s="1687"/>
      <c r="I31" s="1690">
        <v>0</v>
      </c>
      <c r="J31" s="1719"/>
      <c r="K31" s="642">
        <f t="shared" si="1"/>
        <v>-2E-3</v>
      </c>
      <c r="L31" s="3102"/>
      <c r="M31" s="2131"/>
      <c r="N31" s="2131"/>
    </row>
    <row r="32" spans="1:14">
      <c r="A32" s="727" t="s">
        <v>253</v>
      </c>
      <c r="B32" s="3020"/>
      <c r="C32" s="1690">
        <v>0.34399999999999997</v>
      </c>
      <c r="D32" s="1687"/>
      <c r="E32" s="1690">
        <v>0</v>
      </c>
      <c r="F32" s="1687"/>
      <c r="G32" s="1690">
        <v>3.9E-2</v>
      </c>
      <c r="H32" s="1687"/>
      <c r="I32" s="1690">
        <v>0</v>
      </c>
      <c r="J32" s="1719"/>
      <c r="K32" s="642">
        <f t="shared" si="1"/>
        <v>0.30499999999999999</v>
      </c>
      <c r="L32" s="3102"/>
      <c r="M32" s="2131"/>
      <c r="N32" s="2131"/>
    </row>
    <row r="33" spans="1:14">
      <c r="A33" s="726" t="s">
        <v>254</v>
      </c>
      <c r="B33" s="726"/>
      <c r="C33" s="1690">
        <v>8.5459999999999994</v>
      </c>
      <c r="D33" s="1687"/>
      <c r="E33" s="1690">
        <v>6.7000000000000004E-2</v>
      </c>
      <c r="F33" s="1687"/>
      <c r="G33" s="1690">
        <v>0.216</v>
      </c>
      <c r="H33" s="1687"/>
      <c r="I33" s="1690">
        <v>0</v>
      </c>
      <c r="J33" s="1719"/>
      <c r="K33" s="642">
        <f t="shared" si="1"/>
        <v>8.3970000000000002</v>
      </c>
      <c r="L33" s="3102"/>
      <c r="M33" s="2131"/>
      <c r="N33" s="2131"/>
    </row>
    <row r="34" spans="1:14">
      <c r="A34" s="726" t="s">
        <v>255</v>
      </c>
      <c r="B34" s="726"/>
      <c r="C34" s="3445"/>
      <c r="D34" s="1717"/>
      <c r="E34" s="1718"/>
      <c r="F34" s="1718"/>
      <c r="G34" s="1718"/>
      <c r="H34" s="1718"/>
      <c r="I34" s="1718"/>
      <c r="J34" s="433"/>
      <c r="K34" s="1500"/>
      <c r="L34" s="2130"/>
      <c r="M34" s="2131"/>
      <c r="N34" s="2131"/>
    </row>
    <row r="35" spans="1:14">
      <c r="A35" s="726" t="s">
        <v>256</v>
      </c>
      <c r="B35" s="726"/>
      <c r="C35" s="1690">
        <v>5.9850000000000003</v>
      </c>
      <c r="D35" s="1687"/>
      <c r="E35" s="1690">
        <v>0.94</v>
      </c>
      <c r="F35" s="1687"/>
      <c r="G35" s="1690">
        <v>0.26400000000000001</v>
      </c>
      <c r="H35" s="1687"/>
      <c r="I35" s="1690">
        <v>0</v>
      </c>
      <c r="J35" s="1719"/>
      <c r="K35" s="642">
        <f t="shared" ref="K35:K60" si="2">ROUND(SUM(C35)+SUM(E35)-SUM(G35)+SUM(I35),3)</f>
        <v>6.6609999999999996</v>
      </c>
      <c r="L35" s="2129"/>
      <c r="M35" s="2131"/>
      <c r="N35" s="2131"/>
    </row>
    <row r="36" spans="1:14">
      <c r="A36" s="726" t="s">
        <v>257</v>
      </c>
      <c r="B36" s="726"/>
      <c r="C36" s="1690">
        <v>12.573</v>
      </c>
      <c r="D36" s="1687"/>
      <c r="E36" s="1690">
        <v>1972</v>
      </c>
      <c r="F36" s="1687"/>
      <c r="G36" s="1690">
        <v>1981.693</v>
      </c>
      <c r="H36" s="1687"/>
      <c r="I36" s="1690">
        <v>0</v>
      </c>
      <c r="J36" s="1719"/>
      <c r="K36" s="642">
        <f t="shared" si="2"/>
        <v>2.88</v>
      </c>
      <c r="L36" s="3102"/>
      <c r="M36" s="2131"/>
      <c r="N36" s="2131"/>
    </row>
    <row r="37" spans="1:14">
      <c r="A37" s="726" t="s">
        <v>258</v>
      </c>
      <c r="B37" s="726"/>
      <c r="C37" s="1690">
        <v>0.57799999999999996</v>
      </c>
      <c r="D37" s="1687"/>
      <c r="E37" s="1690">
        <v>0</v>
      </c>
      <c r="F37" s="1687"/>
      <c r="G37" s="1690">
        <v>0</v>
      </c>
      <c r="H37" s="1687"/>
      <c r="I37" s="1690">
        <v>0</v>
      </c>
      <c r="J37" s="1719"/>
      <c r="K37" s="642">
        <f t="shared" si="2"/>
        <v>0.57799999999999996</v>
      </c>
      <c r="L37" s="3102"/>
      <c r="M37" s="2131"/>
      <c r="N37" s="2131"/>
    </row>
    <row r="38" spans="1:14">
      <c r="A38" s="2056" t="s">
        <v>259</v>
      </c>
      <c r="B38" s="3024"/>
      <c r="C38" s="1690">
        <v>0</v>
      </c>
      <c r="D38" s="1687"/>
      <c r="E38" s="1690">
        <v>0</v>
      </c>
      <c r="F38" s="1687"/>
      <c r="G38" s="1690">
        <v>0</v>
      </c>
      <c r="H38" s="1687"/>
      <c r="I38" s="1690">
        <v>0</v>
      </c>
      <c r="J38" s="1719"/>
      <c r="K38" s="642">
        <f t="shared" si="2"/>
        <v>0</v>
      </c>
      <c r="L38" s="3102"/>
      <c r="M38" s="2131"/>
      <c r="N38" s="2131"/>
    </row>
    <row r="39" spans="1:14">
      <c r="A39" s="727" t="s">
        <v>260</v>
      </c>
      <c r="B39" s="726"/>
      <c r="C39" s="1690">
        <v>204.85499999999999</v>
      </c>
      <c r="D39" s="1687"/>
      <c r="E39" s="1690">
        <v>444.11</v>
      </c>
      <c r="F39" s="1687"/>
      <c r="G39" s="1690">
        <v>505.13799999999998</v>
      </c>
      <c r="H39" s="1687"/>
      <c r="I39" s="1690">
        <v>-0.68</v>
      </c>
      <c r="J39" s="1719"/>
      <c r="K39" s="642">
        <f t="shared" si="2"/>
        <v>143.14699999999999</v>
      </c>
      <c r="L39" s="2129"/>
      <c r="M39" s="2131"/>
      <c r="N39" s="2131"/>
    </row>
    <row r="40" spans="1:14">
      <c r="A40" s="726" t="s">
        <v>261</v>
      </c>
      <c r="B40" s="726"/>
      <c r="C40" s="1690">
        <v>84.168999999999997</v>
      </c>
      <c r="D40" s="1687"/>
      <c r="E40" s="1720">
        <v>42.881</v>
      </c>
      <c r="F40" s="1687"/>
      <c r="G40" s="1690">
        <v>58.9</v>
      </c>
      <c r="H40" s="1687"/>
      <c r="I40" s="1690">
        <v>0</v>
      </c>
      <c r="J40" s="1719"/>
      <c r="K40" s="642">
        <f t="shared" si="2"/>
        <v>68.150000000000006</v>
      </c>
      <c r="L40" s="3102"/>
      <c r="M40" s="2131"/>
    </row>
    <row r="41" spans="1:14">
      <c r="A41" s="727" t="s">
        <v>262</v>
      </c>
      <c r="B41" s="726"/>
      <c r="C41" s="1690">
        <v>-1141.056</v>
      </c>
      <c r="D41" s="1687"/>
      <c r="E41" s="1690">
        <v>315.33199999999999</v>
      </c>
      <c r="F41" s="1687"/>
      <c r="G41" s="1690">
        <v>149.00399999999999</v>
      </c>
      <c r="H41" s="1687"/>
      <c r="I41" s="1690">
        <v>0</v>
      </c>
      <c r="J41" s="1719"/>
      <c r="K41" s="642">
        <f t="shared" si="2"/>
        <v>-974.72799999999995</v>
      </c>
      <c r="L41" s="3102"/>
      <c r="M41" s="2131"/>
      <c r="N41" s="2131"/>
    </row>
    <row r="42" spans="1:14">
      <c r="A42" s="727" t="s">
        <v>263</v>
      </c>
      <c r="B42" s="726"/>
      <c r="C42" s="1690">
        <v>32.369</v>
      </c>
      <c r="D42" s="1687"/>
      <c r="E42" s="1690">
        <v>1.788</v>
      </c>
      <c r="F42" s="1687"/>
      <c r="G42" s="1690">
        <v>0.86499999999999999</v>
      </c>
      <c r="H42" s="1687"/>
      <c r="I42" s="1690">
        <v>0</v>
      </c>
      <c r="J42" s="1719"/>
      <c r="K42" s="642">
        <f t="shared" si="2"/>
        <v>33.292000000000002</v>
      </c>
      <c r="L42" s="3102"/>
      <c r="M42" s="2131"/>
      <c r="N42" s="2131"/>
    </row>
    <row r="43" spans="1:14">
      <c r="A43" s="726" t="s">
        <v>264</v>
      </c>
      <c r="B43" s="726"/>
      <c r="C43" s="1690">
        <v>-3.9129999999999998</v>
      </c>
      <c r="D43" s="1687"/>
      <c r="E43" s="1690">
        <v>0</v>
      </c>
      <c r="F43" s="1687"/>
      <c r="G43" s="1690">
        <v>5.1999999999999998E-2</v>
      </c>
      <c r="H43" s="1687"/>
      <c r="I43" s="1690">
        <v>0</v>
      </c>
      <c r="J43" s="1719"/>
      <c r="K43" s="642">
        <f t="shared" si="2"/>
        <v>-3.9649999999999999</v>
      </c>
      <c r="L43" s="3102"/>
      <c r="M43" s="2131"/>
      <c r="N43" s="2131"/>
    </row>
    <row r="44" spans="1:14">
      <c r="A44" s="726" t="s">
        <v>1195</v>
      </c>
      <c r="B44" s="726"/>
      <c r="C44" s="1690">
        <v>5.56</v>
      </c>
      <c r="D44" s="1687"/>
      <c r="E44" s="1690">
        <v>6.2080000000000002</v>
      </c>
      <c r="F44" s="1687"/>
      <c r="G44" s="1690">
        <v>8.2089999999999996</v>
      </c>
      <c r="H44" s="1687"/>
      <c r="I44" s="1690">
        <v>0</v>
      </c>
      <c r="J44" s="1719"/>
      <c r="K44" s="642">
        <f t="shared" si="2"/>
        <v>3.5590000000000002</v>
      </c>
      <c r="L44" s="2129"/>
      <c r="M44" s="2131"/>
      <c r="N44" s="2131"/>
    </row>
    <row r="45" spans="1:14">
      <c r="A45" s="726" t="s">
        <v>265</v>
      </c>
      <c r="B45" s="726"/>
      <c r="C45" s="1690">
        <v>104.758</v>
      </c>
      <c r="D45" s="1687"/>
      <c r="E45" s="1690">
        <v>1.0760000000000001</v>
      </c>
      <c r="F45" s="1687"/>
      <c r="G45" s="1690">
        <v>3.0459999999999998</v>
      </c>
      <c r="H45" s="1687"/>
      <c r="I45" s="1690">
        <v>0</v>
      </c>
      <c r="J45" s="1719"/>
      <c r="K45" s="642">
        <f t="shared" si="2"/>
        <v>102.788</v>
      </c>
      <c r="L45" s="3102"/>
      <c r="M45" s="2131"/>
      <c r="N45" s="2131"/>
    </row>
    <row r="46" spans="1:14">
      <c r="A46" s="726" t="s">
        <v>266</v>
      </c>
      <c r="B46" s="726"/>
      <c r="C46" s="1690">
        <v>15.468</v>
      </c>
      <c r="D46" s="1687"/>
      <c r="E46" s="1690">
        <v>1.8480000000000001</v>
      </c>
      <c r="F46" s="1687"/>
      <c r="G46" s="1690">
        <v>1.546</v>
      </c>
      <c r="H46" s="1687"/>
      <c r="I46" s="1690">
        <v>-1.9370000000000001</v>
      </c>
      <c r="J46" s="1719"/>
      <c r="K46" s="642">
        <f t="shared" si="2"/>
        <v>13.833</v>
      </c>
      <c r="L46" s="3102" t="s">
        <v>15</v>
      </c>
      <c r="M46" s="2131"/>
      <c r="N46" s="2131"/>
    </row>
    <row r="47" spans="1:14">
      <c r="A47" s="726" t="s">
        <v>267</v>
      </c>
      <c r="B47" s="726"/>
      <c r="C47" s="1690">
        <v>3.2120000000000002</v>
      </c>
      <c r="D47" s="1687"/>
      <c r="E47" s="1690">
        <v>7.0010000000000003</v>
      </c>
      <c r="F47" s="1687"/>
      <c r="G47" s="1690">
        <v>1.7589999999999999</v>
      </c>
      <c r="H47" s="1687"/>
      <c r="I47" s="1690">
        <v>0</v>
      </c>
      <c r="J47" s="1719"/>
      <c r="K47" s="642">
        <f t="shared" si="2"/>
        <v>8.4540000000000006</v>
      </c>
      <c r="L47" s="3102"/>
      <c r="M47" s="2131"/>
      <c r="N47" s="2131"/>
    </row>
    <row r="48" spans="1:14">
      <c r="A48" s="726" t="s">
        <v>268</v>
      </c>
      <c r="B48" s="726"/>
      <c r="C48" s="1690">
        <v>10.128</v>
      </c>
      <c r="D48" s="1687"/>
      <c r="E48" s="1690">
        <v>0.66300000000000003</v>
      </c>
      <c r="F48" s="1687"/>
      <c r="G48" s="1690">
        <v>2.0720000000000001</v>
      </c>
      <c r="H48" s="1687"/>
      <c r="I48" s="1690">
        <v>0</v>
      </c>
      <c r="J48" s="1719"/>
      <c r="K48" s="642">
        <f t="shared" si="2"/>
        <v>8.7189999999999994</v>
      </c>
      <c r="L48" s="3102"/>
      <c r="M48" s="2131"/>
      <c r="N48" s="2131"/>
    </row>
    <row r="49" spans="1:14">
      <c r="A49" s="727" t="s">
        <v>269</v>
      </c>
      <c r="B49" s="726"/>
      <c r="C49" s="1690">
        <v>0.53500000000000003</v>
      </c>
      <c r="D49" s="1687"/>
      <c r="E49" s="1690">
        <v>2E-3</v>
      </c>
      <c r="F49" s="1687"/>
      <c r="G49" s="1690">
        <v>0</v>
      </c>
      <c r="H49" s="1687"/>
      <c r="I49" s="1690">
        <v>0</v>
      </c>
      <c r="J49" s="1719"/>
      <c r="K49" s="642">
        <f t="shared" si="2"/>
        <v>0.53700000000000003</v>
      </c>
      <c r="L49" s="3102"/>
      <c r="M49" s="2131"/>
      <c r="N49" s="2131"/>
    </row>
    <row r="50" spans="1:14">
      <c r="A50" s="726" t="s">
        <v>270</v>
      </c>
      <c r="B50" s="726"/>
      <c r="C50" s="1690">
        <v>27.431999999999999</v>
      </c>
      <c r="D50" s="1687"/>
      <c r="E50" s="1690">
        <v>164.19300000000001</v>
      </c>
      <c r="F50" s="1687"/>
      <c r="G50" s="1690">
        <v>1.831</v>
      </c>
      <c r="H50" s="1687"/>
      <c r="I50" s="1690">
        <v>-0.107</v>
      </c>
      <c r="J50" s="1719"/>
      <c r="K50" s="642">
        <f t="shared" si="2"/>
        <v>189.68700000000001</v>
      </c>
      <c r="L50" s="3102"/>
      <c r="M50" s="2131"/>
      <c r="N50" s="2131"/>
    </row>
    <row r="51" spans="1:14">
      <c r="A51" s="726" t="s">
        <v>271</v>
      </c>
      <c r="B51" s="726"/>
      <c r="C51" s="1690">
        <v>-32.524000000000001</v>
      </c>
      <c r="D51" s="1687"/>
      <c r="E51" s="1690">
        <v>3.2639999999999998</v>
      </c>
      <c r="F51" s="1687"/>
      <c r="G51" s="1690">
        <v>2.5009999999999999</v>
      </c>
      <c r="H51" s="1687"/>
      <c r="I51" s="1690">
        <v>0</v>
      </c>
      <c r="J51" s="1719"/>
      <c r="K51" s="642">
        <f t="shared" si="2"/>
        <v>-31.760999999999999</v>
      </c>
      <c r="L51" s="3102"/>
      <c r="M51" s="2131"/>
      <c r="N51" s="2131"/>
    </row>
    <row r="52" spans="1:14">
      <c r="A52" s="726" t="s">
        <v>272</v>
      </c>
      <c r="B52" s="726"/>
      <c r="C52" s="1690">
        <v>7.0999999999999994E-2</v>
      </c>
      <c r="D52" s="1687"/>
      <c r="E52" s="1690">
        <v>0</v>
      </c>
      <c r="F52" s="1687"/>
      <c r="G52" s="1690">
        <v>0</v>
      </c>
      <c r="H52" s="1687"/>
      <c r="I52" s="1690">
        <v>0</v>
      </c>
      <c r="J52" s="1719"/>
      <c r="K52" s="642">
        <f t="shared" si="2"/>
        <v>7.0999999999999994E-2</v>
      </c>
      <c r="L52" s="3102"/>
      <c r="M52" s="2131"/>
      <c r="N52" s="2131"/>
    </row>
    <row r="53" spans="1:14">
      <c r="A53" s="726" t="s">
        <v>983</v>
      </c>
      <c r="B53" s="726"/>
      <c r="C53" s="1690">
        <v>12.273999999999999</v>
      </c>
      <c r="D53" s="1687"/>
      <c r="E53" s="1690">
        <v>0.20499999999999999</v>
      </c>
      <c r="F53" s="1687"/>
      <c r="G53" s="1690">
        <v>0.13900000000000001</v>
      </c>
      <c r="H53" s="1687"/>
      <c r="I53" s="1690">
        <v>0</v>
      </c>
      <c r="J53" s="1719"/>
      <c r="K53" s="642">
        <f t="shared" si="2"/>
        <v>12.34</v>
      </c>
      <c r="L53" s="3102"/>
      <c r="M53" s="2131"/>
      <c r="N53" s="2131"/>
    </row>
    <row r="54" spans="1:14">
      <c r="A54" s="726" t="s">
        <v>273</v>
      </c>
      <c r="B54" s="726"/>
      <c r="C54" s="1690">
        <v>0</v>
      </c>
      <c r="D54" s="1687"/>
      <c r="E54" s="1690">
        <v>0</v>
      </c>
      <c r="F54" s="1687"/>
      <c r="G54" s="1690">
        <v>0</v>
      </c>
      <c r="H54" s="1687"/>
      <c r="I54" s="1690">
        <v>0</v>
      </c>
      <c r="J54" s="1719"/>
      <c r="K54" s="642">
        <f t="shared" si="2"/>
        <v>0</v>
      </c>
      <c r="L54" s="3102"/>
      <c r="M54" s="2131"/>
    </row>
    <row r="55" spans="1:14">
      <c r="A55" s="727" t="s">
        <v>274</v>
      </c>
      <c r="B55" s="726"/>
      <c r="C55" s="1690">
        <v>0.46899999999999997</v>
      </c>
      <c r="D55" s="1687"/>
      <c r="E55" s="1690">
        <v>0</v>
      </c>
      <c r="F55" s="1687"/>
      <c r="G55" s="1690">
        <v>0</v>
      </c>
      <c r="H55" s="1687"/>
      <c r="I55" s="1690">
        <v>0</v>
      </c>
      <c r="J55" s="1719"/>
      <c r="K55" s="642">
        <f t="shared" si="2"/>
        <v>0.46899999999999997</v>
      </c>
      <c r="L55" s="2129"/>
      <c r="M55" s="2131"/>
      <c r="N55" s="2131"/>
    </row>
    <row r="56" spans="1:14">
      <c r="A56" s="727" t="s">
        <v>275</v>
      </c>
      <c r="B56" s="726"/>
      <c r="C56" s="1690">
        <v>0</v>
      </c>
      <c r="D56" s="1687"/>
      <c r="E56" s="1690">
        <v>0</v>
      </c>
      <c r="F56" s="1687"/>
      <c r="G56" s="1690">
        <v>0</v>
      </c>
      <c r="H56" s="1687"/>
      <c r="I56" s="1690">
        <v>0</v>
      </c>
      <c r="J56" s="1719"/>
      <c r="K56" s="642">
        <f t="shared" si="2"/>
        <v>0</v>
      </c>
      <c r="L56" s="3102"/>
      <c r="M56" s="2131"/>
      <c r="N56" s="2131"/>
    </row>
    <row r="57" spans="1:14">
      <c r="A57" s="727" t="s">
        <v>276</v>
      </c>
      <c r="B57" s="726"/>
      <c r="C57" s="1690">
        <v>0</v>
      </c>
      <c r="D57" s="1687"/>
      <c r="E57" s="1690">
        <v>0</v>
      </c>
      <c r="F57" s="1687"/>
      <c r="G57" s="1690">
        <v>0</v>
      </c>
      <c r="H57" s="1687"/>
      <c r="I57" s="1690">
        <v>0</v>
      </c>
      <c r="J57" s="1719"/>
      <c r="K57" s="642">
        <f t="shared" si="2"/>
        <v>0</v>
      </c>
      <c r="L57" s="3102"/>
      <c r="M57" s="2131"/>
      <c r="N57" s="2131"/>
    </row>
    <row r="58" spans="1:14">
      <c r="A58" s="727" t="s">
        <v>1360</v>
      </c>
      <c r="B58" s="726"/>
      <c r="C58" s="1690">
        <v>0.83599999999999997</v>
      </c>
      <c r="D58" s="1687"/>
      <c r="E58" s="1690">
        <v>1E-3</v>
      </c>
      <c r="F58" s="1687"/>
      <c r="G58" s="1690">
        <v>0</v>
      </c>
      <c r="H58" s="1687"/>
      <c r="I58" s="1690">
        <v>0</v>
      </c>
      <c r="J58" s="1719"/>
      <c r="K58" s="642">
        <f t="shared" si="2"/>
        <v>0.83699999999999997</v>
      </c>
      <c r="L58" s="3102"/>
      <c r="M58" s="2131"/>
      <c r="N58" s="2131"/>
    </row>
    <row r="59" spans="1:14">
      <c r="A59" s="727" t="s">
        <v>277</v>
      </c>
      <c r="B59" s="726"/>
      <c r="C59" s="1690">
        <v>1743.461</v>
      </c>
      <c r="D59" s="1687"/>
      <c r="E59" s="1690">
        <v>222.36099999999999</v>
      </c>
      <c r="F59" s="1687"/>
      <c r="G59" s="1690">
        <v>212.08699999999999</v>
      </c>
      <c r="H59" s="1687"/>
      <c r="I59" s="1690">
        <v>22.608000000000001</v>
      </c>
      <c r="J59" s="1719"/>
      <c r="K59" s="642">
        <f t="shared" si="2"/>
        <v>1776.3430000000001</v>
      </c>
      <c r="L59" s="3102"/>
      <c r="M59" s="3025"/>
      <c r="N59" s="2131"/>
    </row>
    <row r="60" spans="1:14">
      <c r="A60" s="726" t="s">
        <v>278</v>
      </c>
      <c r="B60" s="726"/>
      <c r="C60" s="1690">
        <v>31.338000000000001</v>
      </c>
      <c r="D60" s="1687"/>
      <c r="E60" s="1690">
        <v>2E-3</v>
      </c>
      <c r="F60" s="1687"/>
      <c r="G60" s="1690">
        <v>15.291</v>
      </c>
      <c r="H60" s="1687"/>
      <c r="I60" s="1690">
        <v>0</v>
      </c>
      <c r="J60" s="1719"/>
      <c r="K60" s="642">
        <f t="shared" si="2"/>
        <v>16.048999999999999</v>
      </c>
      <c r="L60" s="3102"/>
      <c r="M60" s="731"/>
      <c r="N60" s="2131"/>
    </row>
    <row r="61" spans="1:14">
      <c r="A61" s="726"/>
      <c r="B61" s="726"/>
      <c r="C61" s="1690"/>
      <c r="D61" s="1687"/>
      <c r="E61" s="1690"/>
      <c r="F61" s="1687"/>
      <c r="G61" s="1690"/>
      <c r="H61" s="1687"/>
      <c r="I61" s="1690"/>
      <c r="J61" s="1719"/>
      <c r="K61" s="642"/>
      <c r="L61" s="2129"/>
      <c r="M61" s="432"/>
      <c r="N61" s="2131"/>
    </row>
    <row r="62" spans="1:14">
      <c r="A62" s="432" t="s">
        <v>920</v>
      </c>
      <c r="B62" s="726"/>
      <c r="C62" s="1690"/>
      <c r="D62" s="1687"/>
      <c r="E62" s="1690"/>
      <c r="F62" s="1687"/>
      <c r="G62" s="1690"/>
      <c r="H62" s="1687"/>
      <c r="I62" s="1690"/>
      <c r="J62" s="1719"/>
      <c r="K62" s="642"/>
      <c r="L62" s="2129"/>
      <c r="M62" s="432"/>
      <c r="N62" s="2131"/>
    </row>
    <row r="63" spans="1:14">
      <c r="A63" s="726" t="s">
        <v>279</v>
      </c>
      <c r="B63" s="1719"/>
      <c r="C63" s="1690">
        <v>5.2999999999999999E-2</v>
      </c>
      <c r="D63" s="1687"/>
      <c r="E63" s="1690">
        <v>0</v>
      </c>
      <c r="F63" s="1687"/>
      <c r="G63" s="1690">
        <v>0</v>
      </c>
      <c r="H63" s="1687"/>
      <c r="I63" s="1690">
        <v>0</v>
      </c>
      <c r="J63" s="1719"/>
      <c r="K63" s="642">
        <f>ROUND(SUM(C63)+SUM(E63)-SUM(G63)+SUM(I63),3)</f>
        <v>5.2999999999999999E-2</v>
      </c>
      <c r="L63" s="2129"/>
      <c r="M63" s="2131"/>
      <c r="N63" s="2131"/>
    </row>
    <row r="64" spans="1:14">
      <c r="A64" s="726" t="s">
        <v>280</v>
      </c>
      <c r="B64" s="726"/>
      <c r="C64" s="1690">
        <v>1933.607</v>
      </c>
      <c r="D64" s="1687"/>
      <c r="E64" s="1690">
        <v>434.94900000000001</v>
      </c>
      <c r="F64" s="1687"/>
      <c r="G64" s="1690">
        <v>493.58499999999998</v>
      </c>
      <c r="H64" s="1687"/>
      <c r="I64" s="1690">
        <v>39.909999999999997</v>
      </c>
      <c r="J64" s="1719"/>
      <c r="K64" s="642">
        <f>ROUND(SUM(C64)+SUM(E64)-SUM(G64)+SUM(I64),3)</f>
        <v>1914.8810000000001</v>
      </c>
      <c r="L64" s="3102"/>
      <c r="M64" s="2131"/>
      <c r="N64" s="2131"/>
    </row>
    <row r="65" spans="1:14">
      <c r="A65" s="727" t="s">
        <v>281</v>
      </c>
      <c r="B65" s="726"/>
      <c r="C65" s="1690">
        <v>11.176</v>
      </c>
      <c r="D65" s="1687"/>
      <c r="E65" s="1690">
        <v>0.20399999999999999</v>
      </c>
      <c r="F65" s="1687"/>
      <c r="G65" s="1690">
        <v>0.70799999999999996</v>
      </c>
      <c r="H65" s="1687"/>
      <c r="I65" s="1690">
        <v>0</v>
      </c>
      <c r="J65" s="1719"/>
      <c r="K65" s="642">
        <f>ROUND(SUM(C65)+SUM(E65)-SUM(G65)+SUM(I65),3)</f>
        <v>10.672000000000001</v>
      </c>
      <c r="L65" s="3102"/>
      <c r="M65" s="2131"/>
      <c r="N65" s="2131"/>
    </row>
    <row r="66" spans="1:14">
      <c r="A66" s="726" t="s">
        <v>282</v>
      </c>
      <c r="B66" s="726"/>
      <c r="C66" s="1690">
        <v>5.8000000000000003E-2</v>
      </c>
      <c r="D66" s="1687"/>
      <c r="E66" s="1690">
        <v>0</v>
      </c>
      <c r="F66" s="1687"/>
      <c r="G66" s="1690">
        <v>8.1000000000000003E-2</v>
      </c>
      <c r="H66" s="1687"/>
      <c r="I66" s="1690">
        <v>0</v>
      </c>
      <c r="J66" s="1719"/>
      <c r="K66" s="642">
        <f>ROUND(SUM(C66)+SUM(E66)-SUM(G66)+SUM(I66),3)</f>
        <v>-2.3E-2</v>
      </c>
      <c r="L66" s="3102"/>
      <c r="M66" s="2131"/>
      <c r="N66" s="2131"/>
    </row>
    <row r="67" spans="1:14">
      <c r="A67" s="726" t="s">
        <v>283</v>
      </c>
      <c r="B67" s="726"/>
      <c r="C67" s="3445"/>
      <c r="D67" s="1717"/>
      <c r="E67" s="1720"/>
      <c r="F67" s="1721"/>
      <c r="G67" s="1720"/>
      <c r="H67" s="1721"/>
      <c r="I67" s="1722"/>
      <c r="J67" s="726"/>
      <c r="K67" s="642" t="s">
        <v>15</v>
      </c>
      <c r="L67" s="3102"/>
      <c r="M67" s="2131"/>
      <c r="N67" s="2131"/>
    </row>
    <row r="68" spans="1:14">
      <c r="A68" s="726" t="s">
        <v>284</v>
      </c>
      <c r="B68" s="726"/>
      <c r="C68" s="1690">
        <v>93.664000000000001</v>
      </c>
      <c r="D68" s="1687"/>
      <c r="E68" s="1690">
        <v>15.425000000000001</v>
      </c>
      <c r="F68" s="1687"/>
      <c r="G68" s="1690">
        <v>0.48</v>
      </c>
      <c r="H68" s="1687"/>
      <c r="I68" s="1690">
        <v>-37.472999999999999</v>
      </c>
      <c r="J68" s="1719"/>
      <c r="K68" s="642">
        <f t="shared" ref="K68:K73" si="3">ROUND(SUM(C68)+SUM(E68)-SUM(G68)+SUM(I68),3)</f>
        <v>71.135999999999996</v>
      </c>
      <c r="L68" s="3102"/>
      <c r="M68" s="2131"/>
      <c r="N68" s="731"/>
    </row>
    <row r="69" spans="1:14">
      <c r="A69" s="726" t="s">
        <v>285</v>
      </c>
      <c r="B69" s="434"/>
      <c r="C69" s="1690">
        <v>0.44700000000000001</v>
      </c>
      <c r="D69" s="1687"/>
      <c r="E69" s="1690">
        <v>0</v>
      </c>
      <c r="F69" s="1687"/>
      <c r="G69" s="1690">
        <v>1.0999999999999999E-2</v>
      </c>
      <c r="H69" s="1687"/>
      <c r="I69" s="1690">
        <v>0</v>
      </c>
      <c r="J69" s="1719"/>
      <c r="K69" s="642">
        <f t="shared" si="3"/>
        <v>0.436</v>
      </c>
      <c r="L69" s="3102"/>
      <c r="M69" s="2131"/>
      <c r="N69" s="2131"/>
    </row>
    <row r="70" spans="1:14">
      <c r="A70" s="726" t="s">
        <v>286</v>
      </c>
      <c r="B70" s="726"/>
      <c r="C70" s="1690">
        <v>2.4E-2</v>
      </c>
      <c r="D70" s="1687"/>
      <c r="E70" s="1690">
        <v>0</v>
      </c>
      <c r="F70" s="1687"/>
      <c r="G70" s="1690">
        <v>0</v>
      </c>
      <c r="H70" s="1687"/>
      <c r="I70" s="1690">
        <v>0</v>
      </c>
      <c r="J70" s="1719"/>
      <c r="K70" s="642">
        <f t="shared" si="3"/>
        <v>2.4E-2</v>
      </c>
      <c r="L70" s="3102"/>
      <c r="M70" s="2131"/>
      <c r="N70" s="2131"/>
    </row>
    <row r="71" spans="1:14">
      <c r="A71" s="727" t="s">
        <v>287</v>
      </c>
      <c r="B71" s="726"/>
      <c r="C71" s="1690">
        <v>9.8989999999999991</v>
      </c>
      <c r="D71" s="1687"/>
      <c r="E71" s="1690">
        <v>2E-3</v>
      </c>
      <c r="F71" s="1687"/>
      <c r="G71" s="1690">
        <v>-1.3779999999999999</v>
      </c>
      <c r="H71" s="1687"/>
      <c r="I71" s="1690">
        <v>0</v>
      </c>
      <c r="J71" s="1719"/>
      <c r="K71" s="642">
        <f t="shared" si="3"/>
        <v>11.279</v>
      </c>
      <c r="L71" s="3102"/>
      <c r="M71" s="2131"/>
      <c r="N71" s="2131"/>
    </row>
    <row r="72" spans="1:14">
      <c r="A72" s="726" t="s">
        <v>288</v>
      </c>
      <c r="B72" s="726"/>
      <c r="C72" s="1690">
        <v>-16.693000000000001</v>
      </c>
      <c r="D72" s="1687"/>
      <c r="E72" s="1690">
        <v>0.109</v>
      </c>
      <c r="F72" s="1687"/>
      <c r="G72" s="1690">
        <v>0.25600000000000001</v>
      </c>
      <c r="H72" s="1687"/>
      <c r="I72" s="1690">
        <v>0</v>
      </c>
      <c r="J72" s="1719"/>
      <c r="K72" s="642">
        <f t="shared" si="3"/>
        <v>-16.84</v>
      </c>
      <c r="L72" s="3102"/>
      <c r="M72" s="2131"/>
      <c r="N72" s="2131"/>
    </row>
    <row r="73" spans="1:14">
      <c r="A73" s="726" t="s">
        <v>289</v>
      </c>
      <c r="B73" s="726"/>
      <c r="C73" s="1690">
        <v>7.0999999999999994E-2</v>
      </c>
      <c r="D73" s="1687"/>
      <c r="E73" s="1690">
        <v>0</v>
      </c>
      <c r="F73" s="1687"/>
      <c r="G73" s="1690">
        <v>0</v>
      </c>
      <c r="H73" s="1687"/>
      <c r="I73" s="1690">
        <v>0</v>
      </c>
      <c r="J73" s="1719"/>
      <c r="K73" s="642">
        <f t="shared" si="3"/>
        <v>7.0999999999999994E-2</v>
      </c>
      <c r="L73" s="2129"/>
      <c r="M73" s="2131"/>
      <c r="N73" s="2131"/>
    </row>
    <row r="74" spans="1:14">
      <c r="A74" s="726" t="s">
        <v>290</v>
      </c>
      <c r="B74" s="726"/>
      <c r="C74" s="3445"/>
      <c r="D74" s="1717"/>
      <c r="E74" s="1720"/>
      <c r="F74" s="1721"/>
      <c r="G74" s="1720"/>
      <c r="H74" s="1721"/>
      <c r="I74" s="1720"/>
      <c r="J74" s="726"/>
      <c r="K74" s="642"/>
      <c r="L74" s="2132"/>
      <c r="M74" s="2131"/>
      <c r="N74" s="2131"/>
    </row>
    <row r="75" spans="1:14">
      <c r="A75" s="726" t="s">
        <v>291</v>
      </c>
      <c r="B75" s="726"/>
      <c r="C75" s="1690">
        <v>-5.351</v>
      </c>
      <c r="D75" s="1687"/>
      <c r="E75" s="1690">
        <v>0</v>
      </c>
      <c r="F75" s="1687"/>
      <c r="G75" s="1690">
        <v>0</v>
      </c>
      <c r="H75" s="1687"/>
      <c r="I75" s="1690">
        <v>0</v>
      </c>
      <c r="J75" s="1719"/>
      <c r="K75" s="642">
        <f t="shared" ref="K75:K89" si="4">ROUND(SUM(C75)+SUM(E75)-SUM(G75)+SUM(I75),3)</f>
        <v>-5.351</v>
      </c>
      <c r="L75" s="3102"/>
      <c r="M75" s="2131"/>
      <c r="N75" s="2131"/>
    </row>
    <row r="76" spans="1:14">
      <c r="A76" s="726" t="s">
        <v>292</v>
      </c>
      <c r="B76" s="726"/>
      <c r="C76" s="1690">
        <v>-50.731000000000002</v>
      </c>
      <c r="D76" s="1687"/>
      <c r="E76" s="1690">
        <v>0</v>
      </c>
      <c r="F76" s="1687"/>
      <c r="G76" s="1720">
        <v>2.3610000000000002</v>
      </c>
      <c r="H76" s="1687"/>
      <c r="I76" s="1690">
        <v>0</v>
      </c>
      <c r="J76" s="1719"/>
      <c r="K76" s="642">
        <f t="shared" si="4"/>
        <v>-53.091999999999999</v>
      </c>
      <c r="L76" s="3102"/>
      <c r="M76" s="2131"/>
      <c r="N76" s="2131"/>
    </row>
    <row r="77" spans="1:14">
      <c r="A77" s="726" t="s">
        <v>293</v>
      </c>
      <c r="B77" s="726"/>
      <c r="C77" s="1690">
        <v>59.295000000000002</v>
      </c>
      <c r="D77" s="1687"/>
      <c r="E77" s="1690">
        <v>4.6550000000000002</v>
      </c>
      <c r="F77" s="1687"/>
      <c r="G77" s="1690">
        <v>2.722</v>
      </c>
      <c r="H77" s="1687"/>
      <c r="I77" s="1690">
        <v>0</v>
      </c>
      <c r="J77" s="1719"/>
      <c r="K77" s="642">
        <f t="shared" si="4"/>
        <v>61.228000000000002</v>
      </c>
      <c r="L77" s="2129"/>
      <c r="M77" s="2131"/>
      <c r="N77" s="2131"/>
    </row>
    <row r="78" spans="1:14">
      <c r="A78" s="726" t="s">
        <v>951</v>
      </c>
      <c r="B78" s="726"/>
      <c r="C78" s="1690">
        <v>166.90600000000001</v>
      </c>
      <c r="D78" s="1687"/>
      <c r="E78" s="1690">
        <v>1.6619999999999999</v>
      </c>
      <c r="F78" s="1687"/>
      <c r="G78" s="1690">
        <v>5</v>
      </c>
      <c r="H78" s="1687"/>
      <c r="I78" s="1690">
        <v>0</v>
      </c>
      <c r="J78" s="1719"/>
      <c r="K78" s="642">
        <f t="shared" si="4"/>
        <v>163.56800000000001</v>
      </c>
      <c r="L78" s="2129"/>
      <c r="M78" s="2131"/>
      <c r="N78" s="2131"/>
    </row>
    <row r="79" spans="1:14">
      <c r="A79" s="726" t="s">
        <v>294</v>
      </c>
      <c r="B79" s="726"/>
      <c r="C79" s="1690">
        <v>0.23599999999999999</v>
      </c>
      <c r="D79" s="1687"/>
      <c r="E79" s="1690">
        <v>1E-3</v>
      </c>
      <c r="F79" s="1687"/>
      <c r="G79" s="1690">
        <v>0</v>
      </c>
      <c r="H79" s="1687"/>
      <c r="I79" s="1690">
        <v>0</v>
      </c>
      <c r="J79" s="1719"/>
      <c r="K79" s="642">
        <f t="shared" si="4"/>
        <v>0.23699999999999999</v>
      </c>
      <c r="L79" s="2129"/>
      <c r="M79" s="2131"/>
      <c r="N79" s="2131"/>
    </row>
    <row r="80" spans="1:14">
      <c r="A80" s="727" t="s">
        <v>295</v>
      </c>
      <c r="B80" s="726"/>
      <c r="C80" s="1690">
        <v>524.73699999999997</v>
      </c>
      <c r="D80" s="1687"/>
      <c r="E80" s="1690">
        <v>20.951000000000001</v>
      </c>
      <c r="F80" s="1687"/>
      <c r="G80" s="1690">
        <v>2.5049999999999999</v>
      </c>
      <c r="H80" s="1687"/>
      <c r="I80" s="1690">
        <v>1.19</v>
      </c>
      <c r="J80" s="1719"/>
      <c r="K80" s="642">
        <f t="shared" si="4"/>
        <v>544.37300000000005</v>
      </c>
      <c r="L80" s="3102"/>
      <c r="M80" s="2131"/>
      <c r="N80" s="2131"/>
    </row>
    <row r="81" spans="1:15">
      <c r="A81" s="726" t="s">
        <v>296</v>
      </c>
      <c r="B81" s="726"/>
      <c r="C81" s="1690">
        <v>22.247</v>
      </c>
      <c r="D81" s="1687"/>
      <c r="E81" s="1690">
        <v>0.93700000000000006</v>
      </c>
      <c r="F81" s="1687"/>
      <c r="G81" s="1690">
        <v>0.09</v>
      </c>
      <c r="H81" s="1687"/>
      <c r="I81" s="1690">
        <v>0</v>
      </c>
      <c r="J81" s="1719"/>
      <c r="K81" s="642">
        <f t="shared" si="4"/>
        <v>23.094000000000001</v>
      </c>
      <c r="L81" s="2129"/>
      <c r="M81" s="2131"/>
      <c r="N81" s="2131"/>
    </row>
    <row r="82" spans="1:15">
      <c r="A82" s="727" t="s">
        <v>297</v>
      </c>
      <c r="B82" s="726"/>
      <c r="C82" s="1690">
        <v>186.602</v>
      </c>
      <c r="D82" s="1687"/>
      <c r="E82" s="1690">
        <v>3.5000000000000003E-2</v>
      </c>
      <c r="F82" s="1687"/>
      <c r="G82" s="1690">
        <v>10</v>
      </c>
      <c r="H82" s="1687"/>
      <c r="I82" s="1690">
        <v>12.5</v>
      </c>
      <c r="J82" s="1719"/>
      <c r="K82" s="642">
        <f t="shared" si="4"/>
        <v>189.137</v>
      </c>
      <c r="L82" s="3102"/>
      <c r="M82" s="2131"/>
      <c r="N82" s="2131"/>
    </row>
    <row r="83" spans="1:15">
      <c r="A83" s="727" t="s">
        <v>1194</v>
      </c>
      <c r="B83" s="726"/>
      <c r="C83" s="1690">
        <v>43.151000000000003</v>
      </c>
      <c r="D83" s="1687"/>
      <c r="E83" s="1690">
        <v>11.007</v>
      </c>
      <c r="F83" s="1687"/>
      <c r="G83" s="1690">
        <v>7.6440000000000001</v>
      </c>
      <c r="H83" s="1687"/>
      <c r="I83" s="1690">
        <v>0</v>
      </c>
      <c r="J83" s="1719"/>
      <c r="K83" s="642">
        <f t="shared" si="4"/>
        <v>46.514000000000003</v>
      </c>
      <c r="L83" s="3102"/>
      <c r="M83" s="2131"/>
      <c r="N83" s="2131"/>
    </row>
    <row r="84" spans="1:15">
      <c r="A84" s="727" t="s">
        <v>1272</v>
      </c>
      <c r="B84" s="726"/>
      <c r="C84" s="1690">
        <v>12.933999999999999</v>
      </c>
      <c r="D84" s="1687"/>
      <c r="E84" s="1690">
        <v>0.97399999999999998</v>
      </c>
      <c r="F84" s="1687"/>
      <c r="G84" s="1690">
        <v>0.4</v>
      </c>
      <c r="H84" s="1687"/>
      <c r="I84" s="1690">
        <v>0</v>
      </c>
      <c r="J84" s="1719"/>
      <c r="K84" s="642">
        <f t="shared" si="4"/>
        <v>13.507999999999999</v>
      </c>
      <c r="L84" s="2129"/>
      <c r="M84" s="2131"/>
      <c r="N84" s="2131"/>
    </row>
    <row r="85" spans="1:15">
      <c r="A85" s="727" t="s">
        <v>1252</v>
      </c>
      <c r="B85" s="726"/>
      <c r="C85" s="1690">
        <v>4.266</v>
      </c>
      <c r="D85" s="1687"/>
      <c r="E85" s="1690">
        <v>0.15</v>
      </c>
      <c r="F85" s="1687"/>
      <c r="G85" s="1690">
        <v>3.2000000000000001E-2</v>
      </c>
      <c r="H85" s="1687"/>
      <c r="I85" s="1690">
        <v>0</v>
      </c>
      <c r="J85" s="1719"/>
      <c r="K85" s="642">
        <f t="shared" si="4"/>
        <v>4.3840000000000003</v>
      </c>
      <c r="L85" s="3102"/>
      <c r="M85" s="2131"/>
      <c r="N85" s="2131"/>
    </row>
    <row r="86" spans="1:15">
      <c r="A86" s="727" t="s">
        <v>1309</v>
      </c>
      <c r="B86" s="726"/>
      <c r="C86" s="1690">
        <v>397.85199999999998</v>
      </c>
      <c r="D86" s="1687"/>
      <c r="E86" s="1690">
        <v>50.036999999999999</v>
      </c>
      <c r="F86" s="1687"/>
      <c r="G86" s="1690">
        <v>0</v>
      </c>
      <c r="H86" s="1687"/>
      <c r="I86" s="1690">
        <v>0</v>
      </c>
      <c r="J86" s="1719"/>
      <c r="K86" s="642">
        <f t="shared" si="4"/>
        <v>447.88900000000001</v>
      </c>
      <c r="L86" s="3102"/>
      <c r="M86" s="2131"/>
      <c r="N86" s="2131"/>
    </row>
    <row r="87" spans="1:15">
      <c r="A87" s="727" t="s">
        <v>1349</v>
      </c>
      <c r="B87" s="726"/>
      <c r="C87" s="1690">
        <v>95.93</v>
      </c>
      <c r="D87" s="1687"/>
      <c r="E87" s="1690">
        <v>1.0999999999999999E-2</v>
      </c>
      <c r="F87" s="1687"/>
      <c r="G87" s="1690">
        <v>0</v>
      </c>
      <c r="H87" s="1687"/>
      <c r="I87" s="1690">
        <v>0</v>
      </c>
      <c r="J87" s="1719"/>
      <c r="K87" s="642">
        <f t="shared" si="4"/>
        <v>95.941000000000003</v>
      </c>
      <c r="L87" s="3102"/>
      <c r="M87" s="2131"/>
      <c r="N87" s="2131"/>
    </row>
    <row r="88" spans="1:15">
      <c r="A88" s="727" t="s">
        <v>1264</v>
      </c>
      <c r="B88" s="726"/>
      <c r="C88" s="1690">
        <v>22.998000000000001</v>
      </c>
      <c r="D88" s="1687"/>
      <c r="E88" s="1690">
        <v>0.73799999999999999</v>
      </c>
      <c r="F88" s="1687"/>
      <c r="G88" s="1690">
        <v>0</v>
      </c>
      <c r="H88" s="1687"/>
      <c r="I88" s="1690">
        <v>0</v>
      </c>
      <c r="J88" s="1719"/>
      <c r="K88" s="642">
        <f t="shared" si="4"/>
        <v>23.736000000000001</v>
      </c>
      <c r="L88" s="3102"/>
      <c r="M88" s="2131"/>
      <c r="N88" s="2131"/>
    </row>
    <row r="89" spans="1:15">
      <c r="A89" s="1721" t="s">
        <v>889</v>
      </c>
      <c r="B89" s="726"/>
      <c r="C89" s="1690">
        <v>182.637</v>
      </c>
      <c r="D89" s="1687"/>
      <c r="E89" s="1690">
        <v>19.925000000000001</v>
      </c>
      <c r="F89" s="1687"/>
      <c r="G89" s="1690">
        <v>0</v>
      </c>
      <c r="H89" s="1687"/>
      <c r="I89" s="1690">
        <v>-10.659000000000001</v>
      </c>
      <c r="J89" s="1719"/>
      <c r="K89" s="642">
        <f t="shared" si="4"/>
        <v>191.90299999999999</v>
      </c>
      <c r="L89" s="3102"/>
      <c r="M89" s="2131"/>
      <c r="N89" s="2131"/>
    </row>
    <row r="90" spans="1:15">
      <c r="A90" s="431" t="s">
        <v>298</v>
      </c>
      <c r="B90" s="726"/>
      <c r="C90" s="436">
        <f>ROUND(SUM(C28:C89),3)</f>
        <v>5003.2820000000002</v>
      </c>
      <c r="D90" s="435"/>
      <c r="E90" s="436">
        <f>ROUND(SUM(E28:E89),3)</f>
        <v>3748.1480000000001</v>
      </c>
      <c r="F90" s="435"/>
      <c r="G90" s="436">
        <f>ROUND(SUM(G28:G89),3)</f>
        <v>3472.1579999999999</v>
      </c>
      <c r="H90" s="435"/>
      <c r="I90" s="436">
        <f>ROUND(SUM(I28:I89),3)</f>
        <v>25.352</v>
      </c>
      <c r="J90" s="435"/>
      <c r="K90" s="436">
        <f>ROUND(SUM(K28:K89),3)</f>
        <v>5304.6239999999998</v>
      </c>
      <c r="L90" s="2133"/>
      <c r="M90" s="3026"/>
      <c r="N90" s="2131"/>
      <c r="O90" s="3027"/>
    </row>
    <row r="91" spans="1:15" ht="11.25" customHeight="1">
      <c r="A91" s="726"/>
      <c r="B91" s="726"/>
      <c r="C91" s="728"/>
      <c r="D91" s="726"/>
      <c r="E91" s="728"/>
      <c r="F91" s="726"/>
      <c r="G91" s="728"/>
      <c r="H91" s="726"/>
      <c r="I91" s="728"/>
      <c r="J91" s="726"/>
      <c r="K91" s="728"/>
      <c r="L91" s="728"/>
      <c r="M91" s="2131"/>
      <c r="N91" s="2131"/>
    </row>
    <row r="92" spans="1:15">
      <c r="A92" s="432" t="s">
        <v>299</v>
      </c>
      <c r="B92" s="726"/>
      <c r="C92" s="726"/>
      <c r="D92" s="726"/>
      <c r="E92" s="726"/>
      <c r="F92" s="726"/>
      <c r="G92" s="726"/>
      <c r="H92" s="726"/>
      <c r="I92" s="726"/>
      <c r="J92" s="726"/>
      <c r="K92" s="726"/>
      <c r="L92" s="728"/>
      <c r="M92" s="2131"/>
      <c r="N92" s="2131"/>
    </row>
    <row r="93" spans="1:15">
      <c r="A93" s="726" t="s">
        <v>952</v>
      </c>
      <c r="B93" s="726"/>
      <c r="C93" s="1690">
        <v>-9.7230000000000008</v>
      </c>
      <c r="D93" s="1687"/>
      <c r="E93" s="1690">
        <v>422.166</v>
      </c>
      <c r="F93" s="1687"/>
      <c r="G93" s="1690">
        <v>402.51400000000001</v>
      </c>
      <c r="H93" s="1687"/>
      <c r="I93" s="1690">
        <v>-0.998</v>
      </c>
      <c r="J93" s="1719"/>
      <c r="K93" s="642">
        <f t="shared" ref="K93:K99" si="5">ROUND(SUM(C93)+SUM(E93)-SUM(G93)+SUM(I93),3)</f>
        <v>8.9309999999999992</v>
      </c>
      <c r="L93" s="729"/>
      <c r="M93" s="2131"/>
      <c r="N93" s="2131"/>
      <c r="O93" s="730"/>
    </row>
    <row r="94" spans="1:15">
      <c r="A94" s="726" t="s">
        <v>300</v>
      </c>
      <c r="B94" s="726"/>
      <c r="C94" s="1690">
        <v>3832.6170000000002</v>
      </c>
      <c r="D94" s="1687"/>
      <c r="E94" s="1690">
        <v>4300.9210000000003</v>
      </c>
      <c r="F94" s="1687"/>
      <c r="G94" s="1690">
        <v>4742.9920000000002</v>
      </c>
      <c r="H94" s="1687"/>
      <c r="I94" s="1690">
        <v>-189.70099999999999</v>
      </c>
      <c r="J94" s="1719"/>
      <c r="K94" s="642">
        <f t="shared" si="5"/>
        <v>3200.8449999999998</v>
      </c>
      <c r="L94" s="729"/>
      <c r="M94" s="2131"/>
      <c r="N94" s="2131"/>
    </row>
    <row r="95" spans="1:15">
      <c r="A95" s="726" t="s">
        <v>301</v>
      </c>
      <c r="B95" s="433"/>
      <c r="C95" s="1690">
        <v>-11.86</v>
      </c>
      <c r="D95" s="1687"/>
      <c r="E95" s="1690">
        <v>149.589</v>
      </c>
      <c r="F95" s="1687"/>
      <c r="G95" s="1690">
        <v>164.29399999999998</v>
      </c>
      <c r="H95" s="1687"/>
      <c r="I95" s="1690">
        <v>-0.32400000000000001</v>
      </c>
      <c r="J95" s="1719"/>
      <c r="K95" s="642">
        <f t="shared" si="5"/>
        <v>-26.888999999999999</v>
      </c>
      <c r="L95" s="729"/>
      <c r="M95" s="2131"/>
      <c r="N95" s="2131"/>
    </row>
    <row r="96" spans="1:15">
      <c r="A96" s="726" t="s">
        <v>302</v>
      </c>
      <c r="B96" s="726"/>
      <c r="C96" s="1690">
        <v>1966.6949999999999</v>
      </c>
      <c r="D96" s="1687"/>
      <c r="E96" s="1690">
        <v>906.08500000000004</v>
      </c>
      <c r="F96" s="1687"/>
      <c r="G96" s="1690">
        <v>973.24</v>
      </c>
      <c r="H96" s="1687"/>
      <c r="I96" s="1690">
        <v>0</v>
      </c>
      <c r="J96" s="1719"/>
      <c r="K96" s="642">
        <f t="shared" si="5"/>
        <v>1899.54</v>
      </c>
      <c r="L96" s="729"/>
      <c r="M96" s="731"/>
    </row>
    <row r="97" spans="1:15">
      <c r="A97" s="726" t="s">
        <v>303</v>
      </c>
      <c r="B97" s="726"/>
      <c r="C97" s="1690">
        <v>2.194</v>
      </c>
      <c r="D97" s="1687"/>
      <c r="E97" s="1690">
        <v>5.399</v>
      </c>
      <c r="F97" s="1687"/>
      <c r="G97" s="1690">
        <v>87.346999999999994</v>
      </c>
      <c r="H97" s="1687"/>
      <c r="I97" s="1690">
        <v>0</v>
      </c>
      <c r="J97" s="1719"/>
      <c r="K97" s="642">
        <f t="shared" si="5"/>
        <v>-79.754000000000005</v>
      </c>
      <c r="L97" s="729"/>
      <c r="M97" s="2131"/>
      <c r="N97" s="2131"/>
    </row>
    <row r="98" spans="1:15">
      <c r="A98" s="726" t="s">
        <v>304</v>
      </c>
      <c r="B98" s="726"/>
      <c r="C98" s="1690">
        <v>-0.52300000000000002</v>
      </c>
      <c r="D98" s="1687"/>
      <c r="E98" s="1690">
        <v>0.11700000000000001</v>
      </c>
      <c r="F98" s="1687"/>
      <c r="G98" s="1690">
        <v>5.8000000000000003E-2</v>
      </c>
      <c r="H98" s="1687"/>
      <c r="I98" s="1690">
        <v>0</v>
      </c>
      <c r="J98" s="1719"/>
      <c r="K98" s="642">
        <f t="shared" si="5"/>
        <v>-0.46400000000000002</v>
      </c>
      <c r="L98" s="729"/>
      <c r="M98" s="2131"/>
      <c r="N98" s="2131"/>
    </row>
    <row r="99" spans="1:15">
      <c r="A99" s="727" t="s">
        <v>305</v>
      </c>
      <c r="B99" s="726"/>
      <c r="C99" s="1690">
        <v>-4.109</v>
      </c>
      <c r="D99" s="1687"/>
      <c r="E99" s="1690">
        <v>8.1910000000000007</v>
      </c>
      <c r="F99" s="1687"/>
      <c r="G99" s="1690">
        <v>17.004000000000001</v>
      </c>
      <c r="H99" s="1687"/>
      <c r="I99" s="1690">
        <v>0</v>
      </c>
      <c r="J99" s="1719"/>
      <c r="K99" s="642">
        <f t="shared" si="5"/>
        <v>-12.922000000000001</v>
      </c>
      <c r="L99" s="729"/>
      <c r="M99" s="2131"/>
      <c r="N99" s="2131"/>
    </row>
    <row r="100" spans="1:15">
      <c r="A100" s="431" t="s">
        <v>306</v>
      </c>
      <c r="B100" s="726"/>
      <c r="C100" s="436">
        <f>ROUND(SUM(C93:C99),3)</f>
        <v>5775.2910000000002</v>
      </c>
      <c r="D100" s="435"/>
      <c r="E100" s="436">
        <f>ROUND(SUM(E93:E99),3)</f>
        <v>5792.4679999999998</v>
      </c>
      <c r="F100" s="435"/>
      <c r="G100" s="436">
        <f>ROUND(SUM(G93:G99),3)</f>
        <v>6387.4489999999996</v>
      </c>
      <c r="H100" s="435"/>
      <c r="I100" s="436">
        <f>ROUND(SUM(I93:I99),3)</f>
        <v>-191.023</v>
      </c>
      <c r="J100" s="435"/>
      <c r="K100" s="436">
        <f>ROUND(SUM(K93:K99),3)</f>
        <v>4989.2870000000003</v>
      </c>
      <c r="L100" s="437"/>
      <c r="M100" s="2131"/>
      <c r="N100" s="2131"/>
    </row>
    <row r="101" spans="1:15" ht="12" customHeight="1">
      <c r="A101" s="435"/>
      <c r="B101" s="726"/>
      <c r="C101" s="728"/>
      <c r="D101" s="726"/>
      <c r="E101" s="728"/>
      <c r="F101" s="726"/>
      <c r="G101" s="728"/>
      <c r="H101" s="726"/>
      <c r="I101" s="728"/>
      <c r="J101" s="726"/>
      <c r="K101" s="728"/>
      <c r="L101" s="728"/>
      <c r="M101" s="2131"/>
      <c r="N101" s="2131"/>
    </row>
    <row r="102" spans="1:15">
      <c r="A102" s="3028" t="s">
        <v>307</v>
      </c>
      <c r="B102" s="726"/>
      <c r="C102" s="2215">
        <f>C90+C100</f>
        <v>10778.573</v>
      </c>
      <c r="D102" s="435"/>
      <c r="E102" s="2215">
        <f>E90+E100</f>
        <v>9540.616</v>
      </c>
      <c r="F102" s="435"/>
      <c r="G102" s="2215">
        <f>G90+G100</f>
        <v>9859.607</v>
      </c>
      <c r="H102" s="435"/>
      <c r="I102" s="2215">
        <f>I90+I100</f>
        <v>-165.67099999999999</v>
      </c>
      <c r="J102" s="435"/>
      <c r="K102" s="2215">
        <f>K90+K100</f>
        <v>10293.911</v>
      </c>
      <c r="L102" s="437"/>
      <c r="M102" s="3026"/>
      <c r="N102" s="3026"/>
      <c r="O102" s="730"/>
    </row>
    <row r="103" spans="1:15" ht="10.5" customHeight="1">
      <c r="A103" s="3029"/>
      <c r="B103" s="726"/>
      <c r="C103" s="728"/>
      <c r="D103" s="726"/>
      <c r="E103" s="728"/>
      <c r="F103" s="726"/>
      <c r="G103" s="728"/>
      <c r="H103" s="726"/>
      <c r="I103" s="728"/>
      <c r="J103" s="726"/>
      <c r="K103" s="728"/>
      <c r="L103" s="728"/>
      <c r="M103" s="2131"/>
      <c r="N103" s="2131"/>
    </row>
    <row r="104" spans="1:15" ht="17.25">
      <c r="A104" s="432" t="s">
        <v>184</v>
      </c>
      <c r="B104" s="726"/>
      <c r="C104" s="726"/>
      <c r="D104" s="726"/>
      <c r="E104" s="682"/>
      <c r="F104" s="682"/>
      <c r="G104" s="682"/>
      <c r="H104" s="682"/>
      <c r="I104" s="682"/>
      <c r="J104" s="433"/>
      <c r="K104" s="682"/>
      <c r="L104" s="728"/>
      <c r="M104" s="2131"/>
      <c r="N104" s="2131"/>
    </row>
    <row r="105" spans="1:15">
      <c r="A105" s="726" t="s">
        <v>308</v>
      </c>
      <c r="B105" s="726"/>
      <c r="C105" s="1690">
        <v>0</v>
      </c>
      <c r="D105" s="1687"/>
      <c r="E105" s="1690">
        <v>0</v>
      </c>
      <c r="F105" s="1687"/>
      <c r="G105" s="1690">
        <v>0</v>
      </c>
      <c r="H105" s="1687"/>
      <c r="I105" s="1690">
        <v>0</v>
      </c>
      <c r="J105" s="1719"/>
      <c r="K105" s="642">
        <f t="shared" ref="K105:K111" si="6">ROUND(SUM(C105)+SUM(E105)-SUM(G105)+SUM(I105),3)</f>
        <v>0</v>
      </c>
      <c r="L105" s="2134"/>
    </row>
    <row r="106" spans="1:15">
      <c r="A106" s="726" t="s">
        <v>309</v>
      </c>
      <c r="B106" s="726"/>
      <c r="C106" s="1690">
        <v>280.375</v>
      </c>
      <c r="D106" s="1687"/>
      <c r="E106" s="1690">
        <v>20.58</v>
      </c>
      <c r="F106" s="1687"/>
      <c r="G106" s="1690">
        <v>0</v>
      </c>
      <c r="H106" s="1687"/>
      <c r="I106" s="1690">
        <v>73.694999999999993</v>
      </c>
      <c r="J106" s="1719"/>
      <c r="K106" s="642">
        <f t="shared" si="6"/>
        <v>374.65</v>
      </c>
      <c r="L106" s="729"/>
      <c r="M106" s="2131"/>
      <c r="N106" s="2131"/>
    </row>
    <row r="107" spans="1:15">
      <c r="A107" s="726" t="s">
        <v>310</v>
      </c>
      <c r="B107" s="726"/>
      <c r="C107" s="1690">
        <v>3144.6950000000002</v>
      </c>
      <c r="D107" s="1687"/>
      <c r="E107" s="1690">
        <v>5025.7449999999999</v>
      </c>
      <c r="F107" s="1687"/>
      <c r="G107" s="1690">
        <v>10.66</v>
      </c>
      <c r="H107" s="1687"/>
      <c r="I107" s="1690">
        <v>-1367.0170000000001</v>
      </c>
      <c r="J107" s="1719"/>
      <c r="K107" s="642">
        <f t="shared" si="6"/>
        <v>6792.7629999999999</v>
      </c>
      <c r="L107" s="729"/>
      <c r="M107" s="2131"/>
      <c r="N107" s="2131"/>
    </row>
    <row r="108" spans="1:15">
      <c r="A108" s="726" t="s">
        <v>311</v>
      </c>
      <c r="B108" s="726"/>
      <c r="C108" s="1690">
        <v>0</v>
      </c>
      <c r="D108" s="1687"/>
      <c r="E108" s="1690">
        <v>0.63100000000000001</v>
      </c>
      <c r="F108" s="1687"/>
      <c r="G108" s="1690">
        <v>0</v>
      </c>
      <c r="H108" s="1687"/>
      <c r="I108" s="1690">
        <v>-0.63100000000000001</v>
      </c>
      <c r="J108" s="1719"/>
      <c r="K108" s="642">
        <f t="shared" si="6"/>
        <v>0</v>
      </c>
      <c r="L108" s="2134"/>
      <c r="M108" s="2131"/>
      <c r="N108" s="2131"/>
    </row>
    <row r="109" spans="1:15">
      <c r="A109" s="726" t="s">
        <v>312</v>
      </c>
      <c r="B109" s="726"/>
      <c r="C109" s="1690">
        <v>31.643000000000001</v>
      </c>
      <c r="D109" s="1687"/>
      <c r="E109" s="1690">
        <v>-2.7429999999999999</v>
      </c>
      <c r="F109" s="1687"/>
      <c r="G109" s="1690">
        <v>0</v>
      </c>
      <c r="H109" s="1687"/>
      <c r="I109" s="1690">
        <v>-8.2700000000000014</v>
      </c>
      <c r="J109" s="1719"/>
      <c r="K109" s="642">
        <f t="shared" si="6"/>
        <v>20.63</v>
      </c>
      <c r="L109" s="729"/>
      <c r="M109" s="2131"/>
      <c r="N109" s="2131"/>
    </row>
    <row r="110" spans="1:15">
      <c r="A110" s="726" t="s">
        <v>313</v>
      </c>
      <c r="B110" s="726"/>
      <c r="C110" s="1690">
        <v>17.126999999999999</v>
      </c>
      <c r="D110" s="1687"/>
      <c r="E110" s="1690">
        <v>110.922</v>
      </c>
      <c r="F110" s="1687"/>
      <c r="G110" s="1690">
        <v>0</v>
      </c>
      <c r="H110" s="1687"/>
      <c r="I110" s="1690">
        <v>-106.92700000000001</v>
      </c>
      <c r="J110" s="1719"/>
      <c r="K110" s="642">
        <f t="shared" si="6"/>
        <v>21.122</v>
      </c>
      <c r="L110" s="729"/>
      <c r="M110" s="2131"/>
      <c r="N110" s="2131"/>
    </row>
    <row r="111" spans="1:15">
      <c r="A111" s="727" t="s">
        <v>314</v>
      </c>
      <c r="B111" s="726"/>
      <c r="C111" s="1690">
        <v>0</v>
      </c>
      <c r="D111" s="1687"/>
      <c r="E111" s="1690">
        <v>298.87</v>
      </c>
      <c r="F111" s="1687"/>
      <c r="G111" s="1690">
        <v>0</v>
      </c>
      <c r="H111" s="1687"/>
      <c r="I111" s="1690">
        <v>-298.87</v>
      </c>
      <c r="J111" s="1719"/>
      <c r="K111" s="642">
        <f t="shared" si="6"/>
        <v>0</v>
      </c>
      <c r="L111" s="729"/>
      <c r="M111" s="2131"/>
      <c r="N111" s="2131"/>
    </row>
    <row r="112" spans="1:15">
      <c r="A112" s="3030" t="s">
        <v>315</v>
      </c>
      <c r="B112" s="3031"/>
      <c r="C112" s="436">
        <f>ROUND(SUM(C105:C111),3)</f>
        <v>3473.84</v>
      </c>
      <c r="D112" s="438"/>
      <c r="E112" s="436">
        <f>ROUND(SUM(E105:E111),3)</f>
        <v>5454.0050000000001</v>
      </c>
      <c r="F112" s="438"/>
      <c r="G112" s="436">
        <f>ROUND(SUM(G105:G111),3)</f>
        <v>10.66</v>
      </c>
      <c r="H112" s="438"/>
      <c r="I112" s="436">
        <f>ROUND(SUM(I105:I111),3)</f>
        <v>-1708.02</v>
      </c>
      <c r="J112" s="438"/>
      <c r="K112" s="436">
        <f>ROUND(SUM(K105:K111),3)</f>
        <v>7209.165</v>
      </c>
      <c r="L112" s="437"/>
      <c r="M112" s="3026"/>
      <c r="N112" s="2131"/>
    </row>
    <row r="113" spans="1:14">
      <c r="A113" s="726"/>
      <c r="B113" s="726"/>
      <c r="C113" s="728"/>
      <c r="D113" s="726"/>
      <c r="E113" s="728"/>
      <c r="F113" s="726"/>
      <c r="G113" s="728"/>
      <c r="H113" s="726"/>
      <c r="I113" s="728"/>
      <c r="J113" s="726"/>
      <c r="K113" s="728" t="s">
        <v>15</v>
      </c>
      <c r="L113" s="728"/>
      <c r="M113" s="2131"/>
      <c r="N113" s="2131"/>
    </row>
    <row r="114" spans="1:14">
      <c r="A114" s="3032" t="s">
        <v>921</v>
      </c>
      <c r="B114" s="726"/>
      <c r="K114" s="730"/>
      <c r="L114" s="729"/>
      <c r="M114" s="2131"/>
      <c r="N114" s="2131"/>
    </row>
    <row r="115" spans="1:14">
      <c r="A115" s="726" t="s">
        <v>316</v>
      </c>
      <c r="B115" s="1719"/>
      <c r="C115" s="1690">
        <v>0</v>
      </c>
      <c r="D115" s="1687"/>
      <c r="E115" s="1690">
        <v>5.6150000000000002</v>
      </c>
      <c r="F115" s="1687"/>
      <c r="G115" s="3918">
        <v>436.69600000000003</v>
      </c>
      <c r="H115" s="1687"/>
      <c r="I115" s="1690">
        <v>431.08100000000002</v>
      </c>
      <c r="J115" s="1719"/>
      <c r="K115" s="642">
        <f>ROUND(SUM(C115)+SUM(E115)-SUM(G115)+SUM(I115),3)</f>
        <v>0</v>
      </c>
      <c r="L115" s="2134"/>
      <c r="M115" s="2131"/>
      <c r="N115" s="731"/>
    </row>
    <row r="116" spans="1:14">
      <c r="A116" s="726" t="s">
        <v>317</v>
      </c>
      <c r="B116" s="727"/>
      <c r="C116" s="1690">
        <v>-308.83800000000002</v>
      </c>
      <c r="D116" s="1687"/>
      <c r="E116" s="1690">
        <v>146.749</v>
      </c>
      <c r="F116" s="1687"/>
      <c r="G116" s="1690">
        <v>140.78200000000001</v>
      </c>
      <c r="H116" s="1687"/>
      <c r="I116" s="1690">
        <v>-10.648999999999999</v>
      </c>
      <c r="J116" s="1719"/>
      <c r="K116" s="642">
        <f t="shared" ref="K116:K130" si="7">ROUND(SUM(C116)+SUM(E116)-SUM(G116)+SUM(I116),3)</f>
        <v>-313.52</v>
      </c>
      <c r="L116" s="729"/>
      <c r="M116" s="2131"/>
      <c r="N116" s="2131"/>
    </row>
    <row r="117" spans="1:14">
      <c r="A117" s="726" t="s">
        <v>318</v>
      </c>
      <c r="B117" s="726"/>
      <c r="C117" s="1690">
        <v>108.923</v>
      </c>
      <c r="D117" s="1687"/>
      <c r="E117" s="1690">
        <v>1.2E-2</v>
      </c>
      <c r="F117" s="1687"/>
      <c r="G117" s="1690">
        <v>0.52700000000000002</v>
      </c>
      <c r="H117" s="1687"/>
      <c r="I117" s="1690">
        <v>0</v>
      </c>
      <c r="J117" s="1719"/>
      <c r="K117" s="642">
        <f t="shared" si="7"/>
        <v>108.408</v>
      </c>
      <c r="L117" s="729"/>
      <c r="M117" s="2131"/>
      <c r="N117" s="2131"/>
    </row>
    <row r="118" spans="1:14">
      <c r="A118" s="726" t="s">
        <v>319</v>
      </c>
      <c r="B118" s="726"/>
      <c r="C118" s="1690">
        <v>14.1</v>
      </c>
      <c r="D118" s="1687"/>
      <c r="E118" s="1690">
        <v>1E-3</v>
      </c>
      <c r="F118" s="1687"/>
      <c r="G118" s="1690">
        <v>0</v>
      </c>
      <c r="H118" s="1687"/>
      <c r="I118" s="1690">
        <v>0</v>
      </c>
      <c r="J118" s="1719"/>
      <c r="K118" s="642">
        <f t="shared" si="7"/>
        <v>14.101000000000001</v>
      </c>
      <c r="L118" s="729"/>
      <c r="M118" s="2131"/>
      <c r="N118" s="2131"/>
    </row>
    <row r="119" spans="1:14">
      <c r="A119" s="726" t="s">
        <v>320</v>
      </c>
      <c r="B119" s="726"/>
      <c r="C119" s="1690">
        <v>-55.768000000000001</v>
      </c>
      <c r="D119" s="1687"/>
      <c r="E119" s="1690">
        <v>1.9590000000000001</v>
      </c>
      <c r="F119" s="1687"/>
      <c r="G119" s="1690">
        <v>-0.67900000000000005</v>
      </c>
      <c r="H119" s="1687"/>
      <c r="I119" s="1690">
        <v>0</v>
      </c>
      <c r="J119" s="1719"/>
      <c r="K119" s="642">
        <f t="shared" si="7"/>
        <v>-53.13</v>
      </c>
      <c r="L119" s="729"/>
      <c r="M119" s="2131"/>
      <c r="N119" s="2131"/>
    </row>
    <row r="120" spans="1:14">
      <c r="A120" s="726" t="s">
        <v>321</v>
      </c>
      <c r="B120" s="726"/>
      <c r="C120" s="1690">
        <v>1.4999999999999999E-2</v>
      </c>
      <c r="D120" s="1687"/>
      <c r="E120" s="1690">
        <v>0</v>
      </c>
      <c r="F120" s="1687"/>
      <c r="G120" s="1690">
        <v>0</v>
      </c>
      <c r="H120" s="1687"/>
      <c r="I120" s="1690">
        <v>0</v>
      </c>
      <c r="J120" s="1719"/>
      <c r="K120" s="642">
        <f t="shared" si="7"/>
        <v>1.4999999999999999E-2</v>
      </c>
      <c r="L120" s="729"/>
      <c r="M120" s="2131"/>
      <c r="N120" s="2131"/>
    </row>
    <row r="121" spans="1:14">
      <c r="A121" s="726" t="s">
        <v>322</v>
      </c>
      <c r="B121" s="726"/>
      <c r="C121" s="1690">
        <v>102.3</v>
      </c>
      <c r="D121" s="1687"/>
      <c r="E121" s="1690">
        <v>12.277000000000001</v>
      </c>
      <c r="F121" s="1687"/>
      <c r="G121" s="1690">
        <v>27.248999999999999</v>
      </c>
      <c r="H121" s="1687"/>
      <c r="I121" s="1690">
        <v>0</v>
      </c>
      <c r="J121" s="1719"/>
      <c r="K121" s="642">
        <f t="shared" si="7"/>
        <v>87.328000000000003</v>
      </c>
      <c r="L121" s="729"/>
      <c r="M121" s="2131"/>
      <c r="N121" s="2131"/>
    </row>
    <row r="122" spans="1:14">
      <c r="A122" s="726" t="s">
        <v>323</v>
      </c>
      <c r="B122" s="726"/>
      <c r="C122" s="1690">
        <v>0</v>
      </c>
      <c r="D122" s="1687"/>
      <c r="E122" s="1690">
        <v>0</v>
      </c>
      <c r="F122" s="1687"/>
      <c r="G122" s="1690">
        <v>0</v>
      </c>
      <c r="H122" s="1687"/>
      <c r="I122" s="1690">
        <v>0</v>
      </c>
      <c r="J122" s="1719"/>
      <c r="K122" s="642">
        <f t="shared" si="7"/>
        <v>0</v>
      </c>
      <c r="L122" s="729"/>
      <c r="M122" s="2131"/>
      <c r="N122" s="2131"/>
    </row>
    <row r="123" spans="1:14">
      <c r="A123" s="726" t="s">
        <v>324</v>
      </c>
      <c r="B123" s="726"/>
      <c r="C123" s="1690">
        <v>0.16400000000000001</v>
      </c>
      <c r="D123" s="1687"/>
      <c r="E123" s="1690">
        <v>0</v>
      </c>
      <c r="F123" s="1687"/>
      <c r="G123" s="1690">
        <v>0</v>
      </c>
      <c r="H123" s="1687"/>
      <c r="I123" s="1690">
        <v>0</v>
      </c>
      <c r="J123" s="1719"/>
      <c r="K123" s="642">
        <f t="shared" si="7"/>
        <v>0.16400000000000001</v>
      </c>
      <c r="L123" s="729"/>
      <c r="M123" s="2131"/>
      <c r="N123" s="2131"/>
    </row>
    <row r="124" spans="1:14">
      <c r="A124" s="726" t="s">
        <v>950</v>
      </c>
      <c r="B124" s="726"/>
      <c r="C124" s="1690">
        <v>0</v>
      </c>
      <c r="D124" s="1687"/>
      <c r="E124" s="1690">
        <v>0</v>
      </c>
      <c r="F124" s="1687"/>
      <c r="G124" s="1690">
        <v>0</v>
      </c>
      <c r="H124" s="1687"/>
      <c r="I124" s="1690">
        <v>0</v>
      </c>
      <c r="J124" s="1719"/>
      <c r="K124" s="642">
        <f t="shared" si="7"/>
        <v>0</v>
      </c>
      <c r="L124" s="729"/>
      <c r="M124" s="2131"/>
      <c r="N124" s="2131"/>
    </row>
    <row r="125" spans="1:14">
      <c r="A125" s="726" t="s">
        <v>325</v>
      </c>
      <c r="B125" s="726"/>
      <c r="C125" s="1690">
        <v>0.66800000000000004</v>
      </c>
      <c r="D125" s="1687"/>
      <c r="E125" s="1690">
        <v>0</v>
      </c>
      <c r="F125" s="1687"/>
      <c r="G125" s="1690">
        <v>0</v>
      </c>
      <c r="H125" s="1687"/>
      <c r="I125" s="1690">
        <v>0</v>
      </c>
      <c r="J125" s="1719"/>
      <c r="K125" s="642">
        <f t="shared" si="7"/>
        <v>0.66800000000000004</v>
      </c>
      <c r="L125" s="729"/>
      <c r="M125" s="2131"/>
      <c r="N125" s="2131"/>
    </row>
    <row r="126" spans="1:14">
      <c r="A126" s="726" t="s">
        <v>326</v>
      </c>
      <c r="B126" s="726"/>
      <c r="C126" s="1690">
        <v>3.3279999999999998</v>
      </c>
      <c r="D126" s="1687"/>
      <c r="E126" s="1690">
        <v>0</v>
      </c>
      <c r="F126" s="1687"/>
      <c r="G126" s="1690">
        <v>0</v>
      </c>
      <c r="H126" s="1687"/>
      <c r="I126" s="1690">
        <v>0</v>
      </c>
      <c r="J126" s="1719"/>
      <c r="K126" s="642">
        <f t="shared" si="7"/>
        <v>3.3279999999999998</v>
      </c>
      <c r="L126" s="729"/>
      <c r="M126" s="2131"/>
      <c r="N126" s="2131"/>
    </row>
    <row r="127" spans="1:14">
      <c r="A127" s="726" t="s">
        <v>327</v>
      </c>
      <c r="B127" s="726"/>
      <c r="C127" s="1690">
        <v>1.419</v>
      </c>
      <c r="D127" s="1687"/>
      <c r="E127" s="1690">
        <v>0</v>
      </c>
      <c r="F127" s="1687"/>
      <c r="G127" s="1690">
        <v>0</v>
      </c>
      <c r="H127" s="1687"/>
      <c r="I127" s="1690">
        <v>0</v>
      </c>
      <c r="J127" s="1719"/>
      <c r="K127" s="642">
        <f t="shared" si="7"/>
        <v>1.419</v>
      </c>
      <c r="L127" s="729"/>
      <c r="M127" s="2131"/>
      <c r="N127" s="2131"/>
    </row>
    <row r="128" spans="1:14">
      <c r="A128" s="726" t="s">
        <v>328</v>
      </c>
      <c r="B128" s="726"/>
      <c r="C128" s="1690">
        <v>17.2</v>
      </c>
      <c r="D128" s="1687"/>
      <c r="E128" s="1690">
        <v>0</v>
      </c>
      <c r="F128" s="1687"/>
      <c r="G128" s="1690">
        <v>0</v>
      </c>
      <c r="H128" s="1687"/>
      <c r="I128" s="1690">
        <v>0</v>
      </c>
      <c r="J128" s="1719"/>
      <c r="K128" s="642">
        <f t="shared" si="7"/>
        <v>17.2</v>
      </c>
      <c r="L128" s="729"/>
      <c r="M128" s="2131"/>
      <c r="N128" s="2131"/>
    </row>
    <row r="129" spans="1:14">
      <c r="A129" s="726" t="s">
        <v>329</v>
      </c>
      <c r="B129" s="726"/>
      <c r="C129" s="1690">
        <v>4.2549999999999999</v>
      </c>
      <c r="D129" s="1687"/>
      <c r="E129" s="1690">
        <v>0</v>
      </c>
      <c r="F129" s="1687"/>
      <c r="G129" s="1690">
        <v>0</v>
      </c>
      <c r="H129" s="1687"/>
      <c r="I129" s="1690">
        <v>0</v>
      </c>
      <c r="J129" s="1719"/>
      <c r="K129" s="642">
        <f t="shared" si="7"/>
        <v>4.2549999999999999</v>
      </c>
      <c r="L129" s="729"/>
      <c r="M129" s="2131"/>
      <c r="N129" s="731"/>
    </row>
    <row r="130" spans="1:14">
      <c r="A130" s="726" t="s">
        <v>330</v>
      </c>
      <c r="B130" s="726"/>
      <c r="C130" s="1690">
        <v>5.5510000000000002</v>
      </c>
      <c r="D130" s="1687"/>
      <c r="E130" s="1690">
        <v>0</v>
      </c>
      <c r="F130" s="1687"/>
      <c r="G130" s="1690">
        <v>0</v>
      </c>
      <c r="H130" s="1687"/>
      <c r="I130" s="1690">
        <v>0</v>
      </c>
      <c r="J130" s="1719"/>
      <c r="K130" s="642">
        <f t="shared" si="7"/>
        <v>5.5510000000000002</v>
      </c>
      <c r="L130" s="729"/>
      <c r="M130" s="2131"/>
      <c r="N130" s="2131"/>
    </row>
    <row r="131" spans="1:14">
      <c r="A131" s="726" t="s">
        <v>331</v>
      </c>
      <c r="B131" s="726"/>
      <c r="C131" s="3446"/>
      <c r="D131" s="1717"/>
      <c r="E131" s="1720"/>
      <c r="F131" s="1687"/>
      <c r="G131" s="1720" t="s">
        <v>15</v>
      </c>
      <c r="H131" s="1687"/>
      <c r="I131" s="1720"/>
      <c r="J131" s="726"/>
      <c r="K131" s="2229"/>
      <c r="L131" s="729"/>
      <c r="M131" s="2131"/>
      <c r="N131" s="2131"/>
    </row>
    <row r="132" spans="1:14">
      <c r="A132" s="726" t="s">
        <v>332</v>
      </c>
      <c r="B132" s="726"/>
      <c r="C132" s="1690">
        <v>2.778</v>
      </c>
      <c r="D132" s="1687"/>
      <c r="E132" s="1690">
        <v>0</v>
      </c>
      <c r="F132" s="1687"/>
      <c r="G132" s="1690">
        <v>0</v>
      </c>
      <c r="H132" s="1687"/>
      <c r="I132" s="1690">
        <v>0</v>
      </c>
      <c r="J132" s="1719"/>
      <c r="K132" s="642">
        <f t="shared" ref="K132:K153" si="8">ROUND(SUM(C132)+SUM(E132)-SUM(G132)+SUM(I132),3)</f>
        <v>2.778</v>
      </c>
      <c r="L132" s="729"/>
      <c r="M132" s="2131"/>
      <c r="N132" s="2131"/>
    </row>
    <row r="133" spans="1:14">
      <c r="A133" s="726" t="s">
        <v>333</v>
      </c>
      <c r="B133" s="726"/>
      <c r="C133" s="1690">
        <v>1.4279999999999999</v>
      </c>
      <c r="D133" s="1687"/>
      <c r="E133" s="1690">
        <v>0</v>
      </c>
      <c r="F133" s="1687"/>
      <c r="G133" s="1690">
        <v>0</v>
      </c>
      <c r="H133" s="1687"/>
      <c r="I133" s="1690">
        <v>0</v>
      </c>
      <c r="J133" s="1719"/>
      <c r="K133" s="642">
        <f t="shared" si="8"/>
        <v>1.4279999999999999</v>
      </c>
      <c r="L133" s="729"/>
      <c r="M133" s="2131"/>
      <c r="N133" s="2131"/>
    </row>
    <row r="134" spans="1:14">
      <c r="A134" s="726" t="s">
        <v>1197</v>
      </c>
      <c r="B134" s="726"/>
      <c r="C134" s="1690">
        <v>0</v>
      </c>
      <c r="D134" s="1687"/>
      <c r="E134" s="1690">
        <v>0</v>
      </c>
      <c r="F134" s="1687"/>
      <c r="G134" s="1690">
        <v>0</v>
      </c>
      <c r="H134" s="1687"/>
      <c r="I134" s="1690">
        <v>0</v>
      </c>
      <c r="J134" s="1719"/>
      <c r="K134" s="642">
        <f t="shared" si="8"/>
        <v>0</v>
      </c>
      <c r="L134" s="729"/>
      <c r="M134" s="2131"/>
      <c r="N134" s="2131"/>
    </row>
    <row r="135" spans="1:14">
      <c r="A135" s="726" t="s">
        <v>1273</v>
      </c>
      <c r="B135" s="726"/>
      <c r="C135" s="1690">
        <v>0</v>
      </c>
      <c r="D135" s="1687"/>
      <c r="E135" s="1690">
        <v>0</v>
      </c>
      <c r="F135" s="1687"/>
      <c r="G135" s="1690">
        <v>0</v>
      </c>
      <c r="H135" s="1687"/>
      <c r="I135" s="1690">
        <v>0</v>
      </c>
      <c r="J135" s="1719"/>
      <c r="K135" s="642">
        <f t="shared" si="8"/>
        <v>0</v>
      </c>
      <c r="L135" s="729"/>
      <c r="M135" s="2131"/>
      <c r="N135" s="2131"/>
    </row>
    <row r="136" spans="1:14">
      <c r="A136" s="726" t="s">
        <v>334</v>
      </c>
      <c r="B136" s="726"/>
      <c r="C136" s="1690">
        <v>0</v>
      </c>
      <c r="D136" s="1687"/>
      <c r="E136" s="1690">
        <v>0</v>
      </c>
      <c r="F136" s="1687"/>
      <c r="G136" s="1690">
        <v>0</v>
      </c>
      <c r="H136" s="1687"/>
      <c r="I136" s="1690">
        <v>0</v>
      </c>
      <c r="J136" s="1719"/>
      <c r="K136" s="642">
        <f t="shared" si="8"/>
        <v>0</v>
      </c>
      <c r="L136" s="729"/>
      <c r="M136" s="2131"/>
      <c r="N136" s="2131"/>
    </row>
    <row r="137" spans="1:14">
      <c r="A137" s="726" t="s">
        <v>335</v>
      </c>
      <c r="B137" s="726"/>
      <c r="C137" s="1690">
        <v>0</v>
      </c>
      <c r="D137" s="1687"/>
      <c r="E137" s="1690">
        <v>0</v>
      </c>
      <c r="F137" s="1687"/>
      <c r="G137" s="1690">
        <v>0</v>
      </c>
      <c r="H137" s="1687"/>
      <c r="I137" s="1690">
        <v>0</v>
      </c>
      <c r="J137" s="1719"/>
      <c r="K137" s="642">
        <f t="shared" si="8"/>
        <v>0</v>
      </c>
      <c r="L137" s="729"/>
      <c r="M137" s="2131"/>
      <c r="N137" s="2131"/>
    </row>
    <row r="138" spans="1:14">
      <c r="A138" s="726" t="s">
        <v>336</v>
      </c>
      <c r="B138" s="726"/>
      <c r="C138" s="1690">
        <v>-351.726</v>
      </c>
      <c r="D138" s="1687"/>
      <c r="E138" s="1690">
        <v>125.928</v>
      </c>
      <c r="F138" s="1687"/>
      <c r="G138" s="1690">
        <v>113.41</v>
      </c>
      <c r="H138" s="1687"/>
      <c r="I138" s="1690">
        <v>0</v>
      </c>
      <c r="J138" s="1719"/>
      <c r="K138" s="642">
        <f t="shared" si="8"/>
        <v>-339.20800000000003</v>
      </c>
      <c r="L138" s="729"/>
      <c r="M138" s="2131"/>
      <c r="N138" s="2131"/>
    </row>
    <row r="139" spans="1:14">
      <c r="A139" s="726" t="s">
        <v>337</v>
      </c>
      <c r="B139" s="726"/>
      <c r="C139" s="1690">
        <v>1.0820000000000001</v>
      </c>
      <c r="D139" s="1687"/>
      <c r="E139" s="1690">
        <v>0</v>
      </c>
      <c r="F139" s="1687"/>
      <c r="G139" s="1690">
        <v>0</v>
      </c>
      <c r="H139" s="1687"/>
      <c r="I139" s="1690">
        <v>0</v>
      </c>
      <c r="J139" s="1719"/>
      <c r="K139" s="642">
        <f t="shared" si="8"/>
        <v>1.0820000000000001</v>
      </c>
      <c r="L139" s="2134"/>
      <c r="M139" s="2131"/>
      <c r="N139" s="731"/>
    </row>
    <row r="140" spans="1:14">
      <c r="A140" s="727" t="s">
        <v>338</v>
      </c>
      <c r="B140" s="726"/>
      <c r="C140" s="1690">
        <v>-66.087999999999994</v>
      </c>
      <c r="D140" s="1687"/>
      <c r="E140" s="1690">
        <v>-6.42</v>
      </c>
      <c r="F140" s="1687"/>
      <c r="G140" s="1690">
        <v>8.8079999999999998</v>
      </c>
      <c r="H140" s="1687"/>
      <c r="I140" s="1690">
        <v>-0.36799999999999999</v>
      </c>
      <c r="J140" s="1719"/>
      <c r="K140" s="642">
        <f t="shared" si="8"/>
        <v>-81.683999999999997</v>
      </c>
      <c r="L140" s="729"/>
      <c r="M140" s="2131"/>
      <c r="N140" s="2131"/>
    </row>
    <row r="141" spans="1:14">
      <c r="A141" s="726" t="s">
        <v>339</v>
      </c>
      <c r="B141" s="726"/>
      <c r="C141" s="1690">
        <v>0.54</v>
      </c>
      <c r="D141" s="1687"/>
      <c r="E141" s="1690">
        <v>0</v>
      </c>
      <c r="F141" s="1687"/>
      <c r="G141" s="1690">
        <v>0</v>
      </c>
      <c r="H141" s="1687"/>
      <c r="I141" s="1690">
        <v>0</v>
      </c>
      <c r="J141" s="1719"/>
      <c r="K141" s="642">
        <f t="shared" si="8"/>
        <v>0.54</v>
      </c>
      <c r="L141" s="729"/>
      <c r="M141" s="2131"/>
      <c r="N141" s="731"/>
    </row>
    <row r="142" spans="1:14">
      <c r="A142" s="726" t="s">
        <v>340</v>
      </c>
      <c r="B142" s="726"/>
      <c r="C142" s="1690">
        <v>-12.388</v>
      </c>
      <c r="D142" s="1687"/>
      <c r="E142" s="1690">
        <v>0.51700000000000002</v>
      </c>
      <c r="F142" s="1687"/>
      <c r="G142" s="1690">
        <v>1.1399999999999999</v>
      </c>
      <c r="H142" s="1687"/>
      <c r="I142" s="1690">
        <v>0</v>
      </c>
      <c r="J142" s="1719"/>
      <c r="K142" s="642">
        <f t="shared" si="8"/>
        <v>-13.010999999999999</v>
      </c>
      <c r="L142" s="729"/>
      <c r="M142" s="2131"/>
      <c r="N142" s="2131"/>
    </row>
    <row r="143" spans="1:14">
      <c r="A143" s="726" t="s">
        <v>341</v>
      </c>
      <c r="B143" s="726"/>
      <c r="C143" s="1690">
        <v>-12.942</v>
      </c>
      <c r="D143" s="1687"/>
      <c r="E143" s="1690">
        <v>0</v>
      </c>
      <c r="F143" s="1687"/>
      <c r="G143" s="1690">
        <v>0</v>
      </c>
      <c r="H143" s="1687"/>
      <c r="I143" s="1690">
        <v>0</v>
      </c>
      <c r="J143" s="1719"/>
      <c r="K143" s="642">
        <f t="shared" si="8"/>
        <v>-12.942</v>
      </c>
      <c r="L143" s="729"/>
      <c r="M143" s="2131"/>
      <c r="N143" s="2131"/>
    </row>
    <row r="144" spans="1:14">
      <c r="A144" s="726" t="s">
        <v>342</v>
      </c>
      <c r="B144" s="726"/>
      <c r="C144" s="1690">
        <v>-254.60400000000001</v>
      </c>
      <c r="D144" s="1687"/>
      <c r="E144" s="1690">
        <v>0</v>
      </c>
      <c r="F144" s="1687"/>
      <c r="G144" s="1690">
        <v>15.512</v>
      </c>
      <c r="H144" s="1687"/>
      <c r="I144" s="1690">
        <v>0</v>
      </c>
      <c r="J144" s="1719"/>
      <c r="K144" s="642">
        <f t="shared" si="8"/>
        <v>-270.11599999999999</v>
      </c>
      <c r="L144" s="729"/>
      <c r="M144" s="2131"/>
      <c r="N144" s="2131"/>
    </row>
    <row r="145" spans="1:15">
      <c r="A145" s="726" t="s">
        <v>343</v>
      </c>
      <c r="B145" s="726"/>
      <c r="C145" s="1690">
        <v>16.873999999999999</v>
      </c>
      <c r="D145" s="1687"/>
      <c r="E145" s="1690">
        <v>1.4279999999999999</v>
      </c>
      <c r="F145" s="1687"/>
      <c r="G145" s="2163">
        <v>8.5000000000000006E-2</v>
      </c>
      <c r="H145" s="1687"/>
      <c r="I145" s="1690">
        <v>0</v>
      </c>
      <c r="J145" s="1719"/>
      <c r="K145" s="642">
        <f t="shared" si="8"/>
        <v>18.216999999999999</v>
      </c>
      <c r="L145" s="729"/>
      <c r="M145" s="2131"/>
      <c r="N145" s="2131"/>
    </row>
    <row r="146" spans="1:15">
      <c r="A146" s="726" t="s">
        <v>958</v>
      </c>
      <c r="B146" s="726"/>
      <c r="C146" s="1690">
        <v>-11.956</v>
      </c>
      <c r="D146" s="1687"/>
      <c r="E146" s="1690">
        <v>0</v>
      </c>
      <c r="F146" s="1687"/>
      <c r="G146" s="1690">
        <v>0</v>
      </c>
      <c r="H146" s="1687"/>
      <c r="I146" s="1690">
        <v>0</v>
      </c>
      <c r="J146" s="1719"/>
      <c r="K146" s="642">
        <f t="shared" si="8"/>
        <v>-11.956</v>
      </c>
      <c r="L146" s="729"/>
      <c r="M146" s="2131"/>
      <c r="N146" s="2131"/>
    </row>
    <row r="147" spans="1:15">
      <c r="A147" s="726" t="s">
        <v>344</v>
      </c>
      <c r="B147" s="726"/>
      <c r="C147" s="1690">
        <v>101.42</v>
      </c>
      <c r="D147" s="1687"/>
      <c r="E147" s="1690">
        <v>2.391</v>
      </c>
      <c r="F147" s="1687"/>
      <c r="G147" s="1690">
        <v>8.484</v>
      </c>
      <c r="H147" s="1687"/>
      <c r="I147" s="1690">
        <v>1.391</v>
      </c>
      <c r="J147" s="1719"/>
      <c r="K147" s="642">
        <f t="shared" si="8"/>
        <v>96.718000000000004</v>
      </c>
      <c r="L147" s="729"/>
      <c r="M147" s="2131"/>
      <c r="N147" s="2131"/>
    </row>
    <row r="148" spans="1:15">
      <c r="A148" s="726" t="s">
        <v>345</v>
      </c>
      <c r="B148" s="726"/>
      <c r="C148" s="1690">
        <v>3.6999999999999998E-2</v>
      </c>
      <c r="D148" s="1687"/>
      <c r="E148" s="1690">
        <v>0</v>
      </c>
      <c r="F148" s="1687"/>
      <c r="G148" s="1690">
        <v>0</v>
      </c>
      <c r="H148" s="1687"/>
      <c r="I148" s="1690">
        <v>0</v>
      </c>
      <c r="J148" s="1719"/>
      <c r="K148" s="642">
        <f t="shared" si="8"/>
        <v>3.6999999999999998E-2</v>
      </c>
      <c r="L148" s="729"/>
      <c r="M148" s="2131"/>
      <c r="N148" s="2131"/>
    </row>
    <row r="149" spans="1:15">
      <c r="A149" s="726" t="s">
        <v>346</v>
      </c>
      <c r="B149" s="726"/>
      <c r="C149" s="1690">
        <v>-457.70100000000002</v>
      </c>
      <c r="D149" s="1687"/>
      <c r="E149" s="1690">
        <v>3.948</v>
      </c>
      <c r="F149" s="1687"/>
      <c r="G149" s="1690">
        <v>16.327999999999999</v>
      </c>
      <c r="H149" s="1687"/>
      <c r="I149" s="1690">
        <v>0</v>
      </c>
      <c r="J149" s="1719"/>
      <c r="K149" s="642">
        <f t="shared" si="8"/>
        <v>-470.08100000000002</v>
      </c>
      <c r="L149" s="2134"/>
      <c r="M149" s="2131"/>
      <c r="N149" s="2131"/>
    </row>
    <row r="150" spans="1:15">
      <c r="A150" s="726" t="s">
        <v>347</v>
      </c>
      <c r="B150" s="726"/>
      <c r="C150" s="1690">
        <v>-194.38200000000001</v>
      </c>
      <c r="D150" s="1687"/>
      <c r="E150" s="1690">
        <v>3.0000000000000001E-3</v>
      </c>
      <c r="F150" s="1687"/>
      <c r="G150" s="2163">
        <v>20.609000000000002</v>
      </c>
      <c r="H150" s="1687"/>
      <c r="I150" s="1690">
        <v>0</v>
      </c>
      <c r="J150" s="1719"/>
      <c r="K150" s="642">
        <f t="shared" si="8"/>
        <v>-214.988</v>
      </c>
      <c r="L150" s="729"/>
      <c r="M150" s="2131"/>
      <c r="N150" s="2131"/>
    </row>
    <row r="151" spans="1:15">
      <c r="A151" s="726" t="s">
        <v>348</v>
      </c>
      <c r="B151" s="726"/>
      <c r="C151" s="1690">
        <v>140.119</v>
      </c>
      <c r="D151" s="1687"/>
      <c r="E151" s="1690">
        <v>0.16300000000000001</v>
      </c>
      <c r="F151" s="1687"/>
      <c r="G151" s="2163">
        <v>5.601</v>
      </c>
      <c r="H151" s="1687"/>
      <c r="I151" s="1690">
        <v>-1.1439999999999999</v>
      </c>
      <c r="J151" s="1719"/>
      <c r="K151" s="642">
        <f t="shared" si="8"/>
        <v>133.53700000000001</v>
      </c>
      <c r="L151" s="729"/>
      <c r="M151" s="2131"/>
      <c r="N151" s="2131"/>
    </row>
    <row r="152" spans="1:15">
      <c r="A152" s="726" t="s">
        <v>349</v>
      </c>
      <c r="B152" s="726"/>
      <c r="C152" s="1690">
        <v>-55.576000000000001</v>
      </c>
      <c r="D152" s="1687"/>
      <c r="E152" s="1690">
        <v>0</v>
      </c>
      <c r="F152" s="1687"/>
      <c r="G152" s="1690">
        <v>0.224</v>
      </c>
      <c r="H152" s="1687"/>
      <c r="I152" s="1690">
        <v>0</v>
      </c>
      <c r="J152" s="1719"/>
      <c r="K152" s="642">
        <f t="shared" si="8"/>
        <v>-55.8</v>
      </c>
      <c r="L152" s="729"/>
      <c r="M152" s="2131"/>
      <c r="N152" s="731"/>
    </row>
    <row r="153" spans="1:15">
      <c r="A153" s="726" t="s">
        <v>1204</v>
      </c>
      <c r="B153" s="726"/>
      <c r="C153" s="1690">
        <v>65.037000000000006</v>
      </c>
      <c r="D153" s="1687"/>
      <c r="E153" s="1690">
        <v>0</v>
      </c>
      <c r="F153" s="1687"/>
      <c r="G153" s="1690">
        <v>39.273000000000003</v>
      </c>
      <c r="H153" s="1687"/>
      <c r="I153" s="1690">
        <v>50</v>
      </c>
      <c r="J153" s="1719"/>
      <c r="K153" s="642">
        <f t="shared" si="8"/>
        <v>75.763999999999996</v>
      </c>
      <c r="L153" s="729"/>
      <c r="M153" s="2131"/>
      <c r="N153" s="2131"/>
    </row>
    <row r="154" spans="1:15">
      <c r="A154" s="435" t="s">
        <v>1486</v>
      </c>
      <c r="B154" s="726"/>
      <c r="C154" s="436">
        <f>ROUND(SUM(C115:C153),3)</f>
        <v>-1194.731</v>
      </c>
      <c r="D154" s="435"/>
      <c r="E154" s="436">
        <f>ROUND(SUM(E115:E153),3)</f>
        <v>294.57100000000003</v>
      </c>
      <c r="F154" s="435"/>
      <c r="G154" s="436">
        <f>ROUND(SUM(G115:G153),3)</f>
        <v>834.04899999999998</v>
      </c>
      <c r="H154" s="435"/>
      <c r="I154" s="436">
        <f>ROUND(SUM(I115:I153),3)</f>
        <v>470.31099999999998</v>
      </c>
      <c r="J154" s="435"/>
      <c r="K154" s="436">
        <f>ROUND(SUM(K115:K153),3)</f>
        <v>-1263.8979999999999</v>
      </c>
      <c r="L154" s="437"/>
      <c r="M154" s="3026"/>
      <c r="N154" s="3026"/>
      <c r="O154" s="3033"/>
    </row>
    <row r="155" spans="1:15">
      <c r="A155" s="435"/>
      <c r="B155" s="726"/>
      <c r="C155" s="728"/>
      <c r="D155" s="726"/>
      <c r="E155" s="732"/>
      <c r="F155" s="733"/>
      <c r="G155" s="732"/>
      <c r="H155" s="733"/>
      <c r="I155" s="732"/>
      <c r="J155" s="726"/>
      <c r="K155" s="728"/>
      <c r="L155" s="728"/>
    </row>
    <row r="156" spans="1:15" ht="16.5" thickBot="1">
      <c r="A156" s="435" t="s">
        <v>350</v>
      </c>
      <c r="B156" s="438"/>
      <c r="C156" s="439">
        <f>ROUND(SUM(C24+C102+C112+C154),3)</f>
        <v>29610.078000000001</v>
      </c>
      <c r="D156" s="438"/>
      <c r="E156" s="439">
        <f>ROUND(SUM(E24+E102+E112+E154),3)</f>
        <v>19098.736000000001</v>
      </c>
      <c r="F156" s="440"/>
      <c r="G156" s="439">
        <f>ROUND(SUM(G24+G102+G112+G154),3)</f>
        <v>13135.578</v>
      </c>
      <c r="H156" s="440"/>
      <c r="I156" s="439">
        <f>ROUND(SUM(I24+I102+I112+I154),3)</f>
        <v>-1.387</v>
      </c>
      <c r="J156" s="438"/>
      <c r="K156" s="439">
        <f>ROUND(SUM(K24+K102+K112+K154),3)</f>
        <v>35571.849000000002</v>
      </c>
      <c r="L156" s="441"/>
    </row>
    <row r="157" spans="1:15" ht="16.5" thickTop="1">
      <c r="A157" s="726"/>
      <c r="B157" s="726"/>
      <c r="C157" s="728" t="s">
        <v>15</v>
      </c>
      <c r="D157" s="726"/>
      <c r="E157" s="728"/>
      <c r="F157" s="726"/>
      <c r="G157" s="728"/>
      <c r="H157" s="726"/>
      <c r="I157" s="728"/>
      <c r="J157" s="726"/>
      <c r="K157" s="728"/>
      <c r="L157" s="728"/>
    </row>
    <row r="158" spans="1:15">
      <c r="A158" s="726"/>
      <c r="B158" s="726"/>
      <c r="C158" s="726"/>
      <c r="D158" s="726"/>
      <c r="E158" s="726"/>
      <c r="F158" s="726"/>
      <c r="G158" s="726"/>
      <c r="H158" s="726"/>
      <c r="I158" s="726" t="s">
        <v>15</v>
      </c>
      <c r="J158" s="726"/>
      <c r="K158" s="726"/>
      <c r="L158" s="728"/>
    </row>
    <row r="159" spans="1:15">
      <c r="A159" s="434"/>
      <c r="B159" s="726"/>
      <c r="C159" s="726"/>
      <c r="D159" s="726"/>
      <c r="E159" s="3432"/>
      <c r="F159" s="726"/>
      <c r="G159" s="726"/>
      <c r="H159" s="726"/>
      <c r="I159" s="733" t="s">
        <v>15</v>
      </c>
      <c r="J159" s="726"/>
      <c r="K159" s="3433"/>
      <c r="L159" s="728"/>
    </row>
    <row r="160" spans="1:15">
      <c r="A160" s="726" t="s">
        <v>15</v>
      </c>
      <c r="B160" s="726"/>
      <c r="C160" s="726"/>
      <c r="D160" s="726"/>
      <c r="E160" s="726"/>
      <c r="F160" s="726"/>
      <c r="G160" s="730"/>
      <c r="H160" s="726"/>
      <c r="I160" s="726" t="s">
        <v>15</v>
      </c>
      <c r="J160" s="726"/>
      <c r="K160" s="726"/>
      <c r="L160" s="728"/>
    </row>
    <row r="161" spans="1:12">
      <c r="A161" s="726"/>
      <c r="B161" s="726"/>
      <c r="C161" s="726"/>
      <c r="D161" s="726"/>
      <c r="E161" s="726"/>
      <c r="F161" s="726"/>
      <c r="G161" s="726"/>
      <c r="H161" s="726"/>
      <c r="I161" s="726" t="s">
        <v>15</v>
      </c>
      <c r="J161" s="726"/>
      <c r="K161" s="726"/>
      <c r="L161" s="728"/>
    </row>
    <row r="162" spans="1:12">
      <c r="A162" s="734"/>
      <c r="B162" s="726"/>
      <c r="C162" s="726"/>
      <c r="D162" s="726"/>
      <c r="E162" s="726"/>
      <c r="F162" s="726"/>
      <c r="G162" s="726"/>
      <c r="H162" s="726"/>
      <c r="I162" s="735" t="s">
        <v>15</v>
      </c>
      <c r="J162" s="726"/>
      <c r="K162" s="726"/>
      <c r="L162" s="728"/>
    </row>
    <row r="163" spans="1:12">
      <c r="I163" s="2216"/>
    </row>
    <row r="164" spans="1:12">
      <c r="I164" s="2216"/>
    </row>
    <row r="165" spans="1:12">
      <c r="I165" s="2216"/>
    </row>
    <row r="166" spans="1:12">
      <c r="I166" s="2216"/>
    </row>
    <row r="167" spans="1:12">
      <c r="I167" s="441"/>
    </row>
    <row r="168" spans="1:12">
      <c r="I168" s="2216"/>
    </row>
    <row r="169" spans="1:12">
      <c r="I169" s="2216"/>
    </row>
    <row r="170" spans="1:12">
      <c r="I170" s="2216"/>
    </row>
    <row r="171" spans="1:12">
      <c r="I171" s="2216"/>
    </row>
  </sheetData>
  <pageMargins left="0.5" right="0.25" top="0.32" bottom="0" header="0.27" footer="0.1"/>
  <pageSetup scale="59" firstPageNumber="38" fitToHeight="3" orientation="landscape" useFirstPageNumber="1" r:id="rId1"/>
  <headerFooter scaleWithDoc="0" alignWithMargins="0">
    <oddFooter>&amp;C&amp;8&amp;P</oddFooter>
    <firstFooter>&amp;C28</firstFooter>
  </headerFooter>
  <rowBreaks count="2" manualBreakCount="2">
    <brk id="60" max="11" man="1"/>
    <brk id="112"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autoPageBreaks="0"/>
  </sheetPr>
  <dimension ref="A1:O93"/>
  <sheetViews>
    <sheetView showGridLines="0" zoomScale="80" zoomScaleNormal="60" workbookViewId="0"/>
  </sheetViews>
  <sheetFormatPr defaultColWidth="8.6640625" defaultRowHeight="18"/>
  <cols>
    <col min="1" max="1" width="55.6640625" style="2217" customWidth="1"/>
    <col min="2" max="2" width="6.109375" style="2217" customWidth="1"/>
    <col min="3" max="3" width="20.109375" style="2217" customWidth="1"/>
    <col min="4" max="4" width="3.109375" style="2217" customWidth="1"/>
    <col min="5" max="5" width="17.109375" style="2217" customWidth="1"/>
    <col min="6" max="6" width="3.5546875" style="2217" customWidth="1"/>
    <col min="7" max="7" width="18.109375" style="2217" customWidth="1"/>
    <col min="8" max="8" width="3.109375" style="2217" customWidth="1"/>
    <col min="9" max="9" width="18.5546875" style="2217" customWidth="1"/>
    <col min="10" max="10" width="3.44140625" style="2217" customWidth="1"/>
    <col min="11" max="11" width="22.109375" style="2217" customWidth="1"/>
    <col min="12" max="12" width="15.5546875" style="2217" customWidth="1"/>
    <col min="13" max="13" width="9.6640625" style="2217" bestFit="1" customWidth="1"/>
    <col min="14" max="16384" width="8.6640625" style="2217"/>
  </cols>
  <sheetData>
    <row r="1" spans="1:15">
      <c r="A1" s="1501" t="s">
        <v>963</v>
      </c>
    </row>
    <row r="2" spans="1:15">
      <c r="A2" s="3057"/>
    </row>
    <row r="3" spans="1:15" s="444" customFormat="1" ht="18" customHeight="1">
      <c r="A3" s="448" t="s">
        <v>0</v>
      </c>
      <c r="B3" s="3058"/>
      <c r="C3" s="3058"/>
      <c r="D3" s="3058"/>
      <c r="E3" s="2218"/>
      <c r="F3" s="2218"/>
      <c r="G3" s="442"/>
      <c r="H3" s="442"/>
      <c r="I3" s="448"/>
      <c r="J3" s="448"/>
      <c r="K3" s="451" t="s">
        <v>351</v>
      </c>
      <c r="L3" s="442"/>
      <c r="M3" s="442"/>
      <c r="N3" s="442"/>
      <c r="O3" s="442"/>
    </row>
    <row r="4" spans="1:15" s="444" customFormat="1" ht="18" customHeight="1">
      <c r="A4" s="448" t="s">
        <v>352</v>
      </c>
      <c r="B4" s="3058"/>
      <c r="C4" s="3058"/>
      <c r="D4" s="3058"/>
      <c r="E4" s="2218"/>
      <c r="F4" s="2218"/>
      <c r="G4" s="442"/>
      <c r="H4" s="442"/>
      <c r="I4" s="448"/>
      <c r="J4" s="448"/>
      <c r="K4" s="448"/>
      <c r="L4" s="442"/>
      <c r="M4" s="442"/>
      <c r="N4" s="442"/>
      <c r="O4" s="442"/>
    </row>
    <row r="5" spans="1:15" s="444" customFormat="1" ht="18" customHeight="1">
      <c r="A5" s="454" t="s">
        <v>1276</v>
      </c>
      <c r="B5" s="3058"/>
      <c r="C5" s="3058"/>
      <c r="D5" s="3058"/>
      <c r="E5" s="2218"/>
      <c r="F5" s="2218"/>
      <c r="G5" s="442"/>
      <c r="H5" s="442"/>
      <c r="I5" s="448"/>
      <c r="J5" s="448"/>
      <c r="K5" s="448"/>
      <c r="L5" s="442"/>
      <c r="M5" s="442"/>
      <c r="N5" s="442"/>
      <c r="O5" s="442"/>
    </row>
    <row r="6" spans="1:15" s="444" customFormat="1" ht="18" customHeight="1">
      <c r="A6" s="454" t="s">
        <v>353</v>
      </c>
      <c r="B6" s="3058"/>
      <c r="C6" s="3058"/>
      <c r="D6" s="3058"/>
      <c r="E6" s="2218"/>
      <c r="F6" s="2218"/>
      <c r="G6" s="442"/>
      <c r="H6" s="442"/>
      <c r="I6" s="448"/>
      <c r="J6" s="448"/>
      <c r="K6" s="448"/>
      <c r="L6" s="442"/>
      <c r="M6" s="442"/>
      <c r="N6" s="442"/>
      <c r="O6" s="442"/>
    </row>
    <row r="7" spans="1:15" s="444" customFormat="1" ht="18" customHeight="1">
      <c r="A7" s="454" t="s">
        <v>1464</v>
      </c>
      <c r="B7" s="3058"/>
      <c r="C7" s="3058"/>
      <c r="D7" s="3058"/>
      <c r="E7" s="2218"/>
      <c r="F7" s="2218"/>
      <c r="G7" s="442"/>
      <c r="H7" s="442"/>
      <c r="I7" s="448"/>
      <c r="J7" s="448"/>
      <c r="K7" s="448"/>
      <c r="L7" s="442"/>
      <c r="M7" s="442"/>
      <c r="N7" s="442"/>
      <c r="O7" s="442"/>
    </row>
    <row r="8" spans="1:15" s="444" customFormat="1" ht="18" customHeight="1">
      <c r="A8" s="454" t="str">
        <f>'Sch 1 '!A8</f>
        <v>FOR THE MONTH OF JANUARY 2021</v>
      </c>
      <c r="B8" s="3058"/>
      <c r="C8" s="3058"/>
      <c r="D8" s="3058"/>
      <c r="E8" s="2218"/>
      <c r="G8" s="2218"/>
      <c r="H8" s="442"/>
      <c r="I8" s="448"/>
      <c r="J8" s="448"/>
      <c r="K8" s="448"/>
      <c r="L8" s="442"/>
      <c r="M8" s="442"/>
      <c r="N8" s="442"/>
      <c r="O8" s="442"/>
    </row>
    <row r="9" spans="1:15" s="444" customFormat="1" ht="18" customHeight="1">
      <c r="A9" s="448" t="s">
        <v>1363</v>
      </c>
      <c r="B9" s="3058"/>
      <c r="C9" s="3058"/>
      <c r="D9" s="3058"/>
      <c r="E9" s="2218"/>
      <c r="F9" s="2218"/>
      <c r="G9" s="442"/>
      <c r="H9" s="442"/>
      <c r="I9" s="448"/>
      <c r="J9" s="448"/>
      <c r="K9" s="448"/>
      <c r="L9" s="442"/>
      <c r="M9" s="442"/>
      <c r="N9" s="442"/>
      <c r="O9" s="442"/>
    </row>
    <row r="10" spans="1:15" s="444" customFormat="1">
      <c r="A10" s="448"/>
      <c r="B10" s="448"/>
      <c r="C10" s="442"/>
      <c r="D10" s="448"/>
      <c r="E10" s="442"/>
      <c r="F10" s="442"/>
      <c r="G10" s="442"/>
      <c r="H10" s="442"/>
      <c r="I10" s="442"/>
      <c r="J10" s="442"/>
      <c r="K10" s="442"/>
      <c r="L10" s="442"/>
      <c r="M10" s="442"/>
      <c r="N10" s="442"/>
      <c r="O10" s="442"/>
    </row>
    <row r="11" spans="1:15" s="444" customFormat="1">
      <c r="A11" s="448"/>
      <c r="B11" s="448"/>
      <c r="C11" s="448"/>
      <c r="D11" s="448"/>
      <c r="E11" s="448"/>
      <c r="F11" s="448"/>
      <c r="G11" s="448"/>
      <c r="H11" s="448"/>
      <c r="I11" s="448"/>
      <c r="J11" s="448"/>
      <c r="K11" s="448"/>
      <c r="L11" s="442"/>
      <c r="M11" s="442"/>
      <c r="N11" s="442"/>
      <c r="O11" s="442"/>
    </row>
    <row r="12" spans="1:15" s="444" customFormat="1">
      <c r="A12" s="448"/>
      <c r="B12" s="448"/>
      <c r="C12" s="692"/>
      <c r="D12" s="448"/>
      <c r="E12" s="448"/>
      <c r="F12" s="448"/>
      <c r="G12" s="448"/>
      <c r="H12" s="448"/>
      <c r="I12" s="692" t="s">
        <v>354</v>
      </c>
      <c r="J12" s="448"/>
      <c r="K12" s="692"/>
      <c r="L12" s="442"/>
      <c r="M12" s="442"/>
      <c r="N12" s="442"/>
      <c r="O12" s="442"/>
    </row>
    <row r="13" spans="1:15" s="444" customFormat="1">
      <c r="A13" s="448"/>
      <c r="B13" s="448"/>
      <c r="C13" s="692" t="s">
        <v>233</v>
      </c>
      <c r="D13" s="448"/>
      <c r="E13" s="448"/>
      <c r="F13" s="448"/>
      <c r="G13" s="448"/>
      <c r="H13" s="448"/>
      <c r="I13" s="692" t="s">
        <v>355</v>
      </c>
      <c r="J13" s="448"/>
      <c r="K13" s="692" t="s">
        <v>233</v>
      </c>
      <c r="L13" s="442"/>
      <c r="M13" s="442"/>
      <c r="N13" s="442"/>
      <c r="O13" s="442"/>
    </row>
    <row r="14" spans="1:15" s="444" customFormat="1">
      <c r="A14" s="468" t="s">
        <v>356</v>
      </c>
      <c r="B14" s="448"/>
      <c r="C14" s="3441" t="str">
        <f>'Sch 1 '!C11</f>
        <v>JANUARY 1, 2021</v>
      </c>
      <c r="D14" s="448"/>
      <c r="E14" s="692" t="s">
        <v>235</v>
      </c>
      <c r="F14" s="448"/>
      <c r="G14" s="692" t="s">
        <v>236</v>
      </c>
      <c r="H14" s="448"/>
      <c r="I14" s="692" t="s">
        <v>237</v>
      </c>
      <c r="J14" s="448"/>
      <c r="K14" s="906" t="str">
        <f>'Sch 1 '!K11</f>
        <v>JANUARY 31, 2021</v>
      </c>
      <c r="L14" s="442"/>
      <c r="M14" s="442"/>
      <c r="N14" s="442"/>
      <c r="O14" s="442"/>
    </row>
    <row r="15" spans="1:15" s="444" customFormat="1" ht="12" customHeight="1">
      <c r="A15" s="442"/>
      <c r="B15" s="442"/>
      <c r="C15" s="3442"/>
      <c r="D15" s="442"/>
      <c r="E15" s="2219"/>
      <c r="F15" s="442"/>
      <c r="G15" s="2219"/>
      <c r="H15" s="442"/>
      <c r="I15" s="2219"/>
      <c r="J15" s="442"/>
      <c r="K15" s="2219"/>
      <c r="L15" s="442"/>
      <c r="M15" s="442"/>
      <c r="N15" s="442"/>
      <c r="O15" s="442"/>
    </row>
    <row r="16" spans="1:15" s="444" customFormat="1">
      <c r="A16" s="455" t="s">
        <v>215</v>
      </c>
      <c r="B16" s="442"/>
      <c r="C16" s="442"/>
      <c r="D16" s="442"/>
      <c r="E16" s="452"/>
      <c r="F16" s="442"/>
      <c r="G16" s="442"/>
      <c r="H16" s="442"/>
      <c r="I16" s="442"/>
      <c r="J16" s="442"/>
      <c r="K16" s="442"/>
      <c r="L16" s="442"/>
      <c r="M16" s="442"/>
      <c r="N16" s="442"/>
      <c r="O16" s="442"/>
    </row>
    <row r="17" spans="1:15" s="444" customFormat="1" ht="12" customHeight="1">
      <c r="A17" s="442"/>
      <c r="B17" s="442"/>
      <c r="C17" s="442"/>
      <c r="D17" s="442"/>
      <c r="E17" s="452"/>
      <c r="F17" s="442"/>
      <c r="G17" s="442"/>
      <c r="H17" s="442"/>
      <c r="I17" s="442"/>
      <c r="J17" s="442"/>
      <c r="K17" s="442"/>
      <c r="L17" s="442"/>
      <c r="M17" s="442"/>
      <c r="N17" s="442"/>
      <c r="O17" s="442"/>
    </row>
    <row r="18" spans="1:15" s="444" customFormat="1" ht="16.350000000000001" customHeight="1">
      <c r="A18" s="442" t="s">
        <v>357</v>
      </c>
      <c r="B18" s="443"/>
      <c r="C18" s="1691">
        <v>0.11899999999999999</v>
      </c>
      <c r="D18" s="1692"/>
      <c r="E18" s="1691">
        <v>2E-3</v>
      </c>
      <c r="F18" s="1692"/>
      <c r="G18" s="1691">
        <v>0</v>
      </c>
      <c r="H18" s="1692"/>
      <c r="I18" s="1691">
        <v>0</v>
      </c>
      <c r="J18" s="3041"/>
      <c r="K18" s="1694">
        <f t="shared" ref="K18:K24" si="0">ROUND(SUM(C18)+SUM(E18)-SUM(G18)+SUM(I18),3)</f>
        <v>0.121</v>
      </c>
      <c r="L18" s="442"/>
      <c r="M18" s="442"/>
      <c r="N18" s="442"/>
      <c r="O18" s="442"/>
    </row>
    <row r="19" spans="1:15" s="444" customFormat="1" ht="15.75" customHeight="1">
      <c r="A19" s="442" t="s">
        <v>358</v>
      </c>
      <c r="B19" s="442"/>
      <c r="C19" s="1695">
        <v>1.1040000000000001</v>
      </c>
      <c r="D19" s="1692"/>
      <c r="E19" s="1695">
        <v>5.8000000000000003E-2</v>
      </c>
      <c r="F19" s="1692"/>
      <c r="G19" s="1695">
        <v>0.39600000000000002</v>
      </c>
      <c r="H19" s="1692"/>
      <c r="I19" s="1695">
        <v>0</v>
      </c>
      <c r="J19" s="3041"/>
      <c r="K19" s="1696">
        <f>ROUND(SUM(C19)+SUM(E19)-SUM(G19)+SUM(I19),3)</f>
        <v>0.76600000000000001</v>
      </c>
      <c r="L19" s="442" t="s">
        <v>15</v>
      </c>
      <c r="M19" s="442"/>
      <c r="N19" s="442"/>
      <c r="O19" s="442"/>
    </row>
    <row r="20" spans="1:15" s="444" customFormat="1" ht="16.350000000000001" customHeight="1">
      <c r="A20" s="442" t="s">
        <v>359</v>
      </c>
      <c r="B20" s="442"/>
      <c r="C20" s="1695">
        <v>3.1030000000000002</v>
      </c>
      <c r="D20" s="1692"/>
      <c r="E20" s="1695">
        <v>3.7149999999999999</v>
      </c>
      <c r="F20" s="1692"/>
      <c r="G20" s="1695">
        <v>2.9849999999999999</v>
      </c>
      <c r="H20" s="1692"/>
      <c r="I20" s="1695">
        <v>0</v>
      </c>
      <c r="J20" s="3041"/>
      <c r="K20" s="1696">
        <f t="shared" si="0"/>
        <v>3.8330000000000002</v>
      </c>
      <c r="L20" s="442"/>
      <c r="M20" s="442"/>
      <c r="N20" s="442"/>
      <c r="O20" s="442"/>
    </row>
    <row r="21" spans="1:15" s="444" customFormat="1" ht="16.350000000000001" customHeight="1">
      <c r="A21" s="442" t="s">
        <v>995</v>
      </c>
      <c r="B21" s="442"/>
      <c r="C21" s="1695">
        <v>7.8070000000000004</v>
      </c>
      <c r="D21" s="1692"/>
      <c r="E21" s="1695">
        <v>5.7160000000000002</v>
      </c>
      <c r="F21" s="1692"/>
      <c r="G21" s="1695">
        <v>0.88100000000000001</v>
      </c>
      <c r="H21" s="1692"/>
      <c r="I21" s="1695">
        <v>0</v>
      </c>
      <c r="J21" s="3041"/>
      <c r="K21" s="1696">
        <f t="shared" si="0"/>
        <v>12.641999999999999</v>
      </c>
      <c r="L21" s="442" t="s">
        <v>15</v>
      </c>
      <c r="M21" s="442"/>
      <c r="N21" s="442"/>
      <c r="O21" s="442"/>
    </row>
    <row r="22" spans="1:15" s="444" customFormat="1" ht="16.350000000000001" customHeight="1">
      <c r="A22" s="442" t="s">
        <v>996</v>
      </c>
      <c r="B22" s="442"/>
      <c r="C22" s="1695">
        <v>2.2519999999999998</v>
      </c>
      <c r="D22" s="1692"/>
      <c r="E22" s="1695">
        <v>1.6E-2</v>
      </c>
      <c r="F22" s="1692"/>
      <c r="G22" s="1695">
        <v>1.6999999999999998E-2</v>
      </c>
      <c r="H22" s="1692"/>
      <c r="I22" s="1695">
        <v>0</v>
      </c>
      <c r="J22" s="3041"/>
      <c r="K22" s="1696">
        <f t="shared" si="0"/>
        <v>2.2509999999999999</v>
      </c>
      <c r="L22" s="442" t="s">
        <v>15</v>
      </c>
      <c r="M22" s="442"/>
      <c r="N22" s="442"/>
      <c r="O22" s="442"/>
    </row>
    <row r="23" spans="1:15" s="444" customFormat="1" ht="16.350000000000001" customHeight="1">
      <c r="A23" s="442" t="s">
        <v>997</v>
      </c>
      <c r="B23" s="442"/>
      <c r="C23" s="1695">
        <v>2.1320000000000001</v>
      </c>
      <c r="D23" s="1692"/>
      <c r="E23" s="1695">
        <v>0</v>
      </c>
      <c r="F23" s="1692"/>
      <c r="G23" s="1695">
        <v>8.0000000000000002E-3</v>
      </c>
      <c r="H23" s="1692"/>
      <c r="I23" s="1695">
        <v>0</v>
      </c>
      <c r="J23" s="3041"/>
      <c r="K23" s="1696">
        <f t="shared" si="0"/>
        <v>2.1240000000000001</v>
      </c>
      <c r="L23" s="442"/>
      <c r="M23" s="442"/>
      <c r="N23" s="442"/>
      <c r="O23" s="442"/>
    </row>
    <row r="24" spans="1:15" s="444" customFormat="1" ht="16.350000000000001" customHeight="1">
      <c r="A24" s="442" t="s">
        <v>360</v>
      </c>
      <c r="B24" s="442"/>
      <c r="C24" s="1695">
        <v>4.883</v>
      </c>
      <c r="D24" s="1692"/>
      <c r="E24" s="1695">
        <v>7.1999999999999995E-2</v>
      </c>
      <c r="F24" s="1692"/>
      <c r="G24" s="1695">
        <v>8.6999999999999994E-2</v>
      </c>
      <c r="H24" s="1692"/>
      <c r="I24" s="1695">
        <v>0</v>
      </c>
      <c r="J24" s="3041"/>
      <c r="K24" s="1696">
        <f t="shared" si="0"/>
        <v>4.8680000000000003</v>
      </c>
      <c r="L24" s="442"/>
      <c r="M24" s="442"/>
      <c r="N24" s="442"/>
      <c r="O24" s="442"/>
    </row>
    <row r="25" spans="1:15" s="444" customFormat="1" ht="16.350000000000001" customHeight="1">
      <c r="A25" s="3413" t="s">
        <v>1380</v>
      </c>
      <c r="B25" s="442"/>
      <c r="C25" s="1695">
        <v>16.992999999999999</v>
      </c>
      <c r="D25" s="1692"/>
      <c r="E25" s="1695">
        <v>5410.7039999999997</v>
      </c>
      <c r="F25" s="1692"/>
      <c r="G25" s="1695">
        <v>5411.3490000000002</v>
      </c>
      <c r="H25" s="1692"/>
      <c r="I25" s="1695">
        <v>0</v>
      </c>
      <c r="J25" s="3041"/>
      <c r="K25" s="1696">
        <f>ROUND(SUM(C25)+SUM(E25)-SUM(G25)+SUM(I25),3)</f>
        <v>16.347999999999999</v>
      </c>
      <c r="L25" s="442"/>
      <c r="M25" s="442"/>
      <c r="N25" s="442"/>
      <c r="O25" s="442"/>
    </row>
    <row r="26" spans="1:15" s="444" customFormat="1" ht="20.100000000000001" customHeight="1">
      <c r="A26" s="448" t="s">
        <v>361</v>
      </c>
      <c r="B26" s="442"/>
      <c r="C26" s="1552">
        <f>ROUND(SUM(C18:C25),3)</f>
        <v>38.393000000000001</v>
      </c>
      <c r="D26" s="1580"/>
      <c r="E26" s="1552">
        <f>ROUND(SUM(E18:E25),3)</f>
        <v>5420.2830000000004</v>
      </c>
      <c r="F26" s="1580"/>
      <c r="G26" s="1552">
        <f>ROUND(SUM(G18:G25),3)</f>
        <v>5415.723</v>
      </c>
      <c r="H26" s="699"/>
      <c r="I26" s="1552">
        <f>ROUND(SUM(I18:I25),3)</f>
        <v>0</v>
      </c>
      <c r="J26" s="699"/>
      <c r="K26" s="1552">
        <f>ROUND(SUM(K18:K25),3)</f>
        <v>42.953000000000003</v>
      </c>
      <c r="L26" s="3042"/>
      <c r="M26" s="442"/>
      <c r="N26" s="442"/>
      <c r="O26" s="442"/>
    </row>
    <row r="27" spans="1:15" s="444" customFormat="1" ht="15" customHeight="1">
      <c r="A27" s="442"/>
      <c r="B27" s="442"/>
      <c r="C27" s="701"/>
      <c r="D27" s="445"/>
      <c r="E27" s="701"/>
      <c r="F27" s="445"/>
      <c r="G27" s="701"/>
      <c r="H27" s="445"/>
      <c r="I27" s="446"/>
      <c r="J27" s="445"/>
      <c r="K27" s="701"/>
      <c r="L27" s="442"/>
      <c r="M27" s="442"/>
      <c r="N27" s="442"/>
      <c r="O27" s="442"/>
    </row>
    <row r="28" spans="1:15" s="444" customFormat="1" ht="15" customHeight="1">
      <c r="A28" s="442"/>
      <c r="B28" s="442"/>
      <c r="C28" s="445"/>
      <c r="D28" s="3053" t="s">
        <v>232</v>
      </c>
      <c r="E28" s="445"/>
      <c r="F28" s="445"/>
      <c r="G28" s="445"/>
      <c r="H28" s="445"/>
      <c r="I28" s="445"/>
      <c r="J28" s="445"/>
      <c r="K28" s="445"/>
      <c r="L28" s="442"/>
      <c r="M28" s="442"/>
      <c r="N28" s="442"/>
      <c r="O28" s="442"/>
    </row>
    <row r="29" spans="1:15" s="444" customFormat="1" ht="15" customHeight="1">
      <c r="A29" s="442"/>
      <c r="B29" s="442"/>
      <c r="C29" s="445"/>
      <c r="D29" s="445"/>
      <c r="E29" s="445"/>
      <c r="F29" s="445"/>
      <c r="G29" s="445"/>
      <c r="H29" s="445"/>
      <c r="I29" s="445"/>
      <c r="J29" s="445"/>
      <c r="K29" s="445"/>
      <c r="L29" s="442"/>
      <c r="M29" s="442"/>
      <c r="N29" s="442"/>
      <c r="O29" s="442"/>
    </row>
    <row r="30" spans="1:15" s="444" customFormat="1" ht="18" customHeight="1">
      <c r="A30" s="455" t="s">
        <v>220</v>
      </c>
      <c r="B30" s="442"/>
      <c r="C30" s="445"/>
      <c r="D30" s="445"/>
      <c r="E30" s="445"/>
      <c r="F30" s="445"/>
      <c r="G30" s="445"/>
      <c r="H30" s="445"/>
      <c r="I30" s="445"/>
      <c r="J30" s="445"/>
      <c r="K30" s="445"/>
      <c r="L30" s="442"/>
      <c r="M30" s="442"/>
      <c r="N30" s="442"/>
      <c r="O30" s="442"/>
    </row>
    <row r="31" spans="1:15" s="444" customFormat="1" ht="15" customHeight="1">
      <c r="A31" s="455"/>
      <c r="B31" s="442"/>
      <c r="C31" s="445"/>
      <c r="D31" s="445"/>
      <c r="E31" s="445"/>
      <c r="F31" s="445"/>
      <c r="G31" s="445"/>
      <c r="H31" s="445"/>
      <c r="I31" s="445"/>
      <c r="J31" s="445"/>
      <c r="K31" s="445"/>
      <c r="L31" s="442"/>
      <c r="M31" s="442"/>
      <c r="N31" s="442"/>
      <c r="O31" s="442"/>
    </row>
    <row r="32" spans="1:15" s="444" customFormat="1" ht="16.350000000000001" customHeight="1">
      <c r="A32" s="442" t="s">
        <v>998</v>
      </c>
      <c r="B32" s="442"/>
      <c r="C32" s="1695">
        <v>-133.66900000000001</v>
      </c>
      <c r="D32" s="1692"/>
      <c r="E32" s="1695">
        <v>18.370999999999999</v>
      </c>
      <c r="F32" s="1692"/>
      <c r="G32" s="1695">
        <v>32.423000000000002</v>
      </c>
      <c r="H32" s="1692"/>
      <c r="I32" s="3637">
        <v>0.751</v>
      </c>
      <c r="J32" s="3041"/>
      <c r="K32" s="1696">
        <f t="shared" ref="K32:K39" si="1">ROUND(SUM(C32)+SUM(E32)-SUM(G32)+SUM(I32),3)</f>
        <v>-146.97</v>
      </c>
      <c r="L32" s="442"/>
      <c r="M32" s="445"/>
      <c r="N32" s="442"/>
      <c r="O32" s="442"/>
    </row>
    <row r="33" spans="1:15" s="444" customFormat="1" ht="16.350000000000001" customHeight="1">
      <c r="A33" s="442" t="s">
        <v>362</v>
      </c>
      <c r="B33" s="442"/>
      <c r="C33" s="1695">
        <v>-180.27500000000001</v>
      </c>
      <c r="D33" s="1692"/>
      <c r="E33" s="1695">
        <v>7.383</v>
      </c>
      <c r="F33" s="1692"/>
      <c r="G33" s="1695">
        <v>-21.047999999999998</v>
      </c>
      <c r="H33" s="1692"/>
      <c r="I33" s="1695">
        <v>0.66900000000000004</v>
      </c>
      <c r="J33" s="3041"/>
      <c r="K33" s="1696">
        <f t="shared" si="1"/>
        <v>-151.17500000000001</v>
      </c>
      <c r="L33" s="442"/>
      <c r="M33" s="445"/>
      <c r="N33" s="442"/>
      <c r="O33" s="442"/>
    </row>
    <row r="34" spans="1:15" s="444" customFormat="1" ht="16.350000000000001" customHeight="1">
      <c r="A34" s="442" t="s">
        <v>363</v>
      </c>
      <c r="B34" s="442"/>
      <c r="C34" s="1695">
        <v>-0.19</v>
      </c>
      <c r="D34" s="1692"/>
      <c r="E34" s="1695">
        <v>2.5000000000000001E-2</v>
      </c>
      <c r="F34" s="1692"/>
      <c r="G34" s="1695">
        <v>5.3999999999999999E-2</v>
      </c>
      <c r="H34" s="1692"/>
      <c r="I34" s="1695">
        <v>0</v>
      </c>
      <c r="J34" s="3041"/>
      <c r="K34" s="1696">
        <f t="shared" si="1"/>
        <v>-0.219</v>
      </c>
      <c r="L34" s="442" t="s">
        <v>15</v>
      </c>
      <c r="M34" s="445"/>
      <c r="N34" s="442"/>
      <c r="O34" s="442"/>
    </row>
    <row r="35" spans="1:15" s="444" customFormat="1" ht="16.350000000000001" customHeight="1">
      <c r="A35" s="442" t="s">
        <v>364</v>
      </c>
      <c r="B35" s="442"/>
      <c r="C35" s="1695">
        <v>8.1000000000000003E-2</v>
      </c>
      <c r="D35" s="1692"/>
      <c r="E35" s="1695">
        <v>0</v>
      </c>
      <c r="F35" s="1692"/>
      <c r="G35" s="1695">
        <v>0</v>
      </c>
      <c r="H35" s="1692"/>
      <c r="I35" s="1695">
        <v>0</v>
      </c>
      <c r="J35" s="3041"/>
      <c r="K35" s="1696">
        <f t="shared" si="1"/>
        <v>8.1000000000000003E-2</v>
      </c>
      <c r="L35" s="442"/>
      <c r="M35" s="445"/>
      <c r="N35" s="442"/>
      <c r="O35" s="442"/>
    </row>
    <row r="36" spans="1:15" s="444" customFormat="1" ht="16.350000000000001" customHeight="1">
      <c r="A36" s="442" t="s">
        <v>999</v>
      </c>
      <c r="B36" s="442"/>
      <c r="C36" s="1695">
        <v>1.0189999999999999</v>
      </c>
      <c r="D36" s="1692"/>
      <c r="E36" s="1695">
        <v>0</v>
      </c>
      <c r="F36" s="1692"/>
      <c r="G36" s="1695">
        <v>0.06</v>
      </c>
      <c r="H36" s="1692"/>
      <c r="I36" s="1695">
        <v>0</v>
      </c>
      <c r="J36" s="3041"/>
      <c r="K36" s="1696">
        <f t="shared" si="1"/>
        <v>0.95899999999999996</v>
      </c>
      <c r="L36" s="442" t="s">
        <v>15</v>
      </c>
      <c r="M36" s="445"/>
      <c r="N36" s="442"/>
      <c r="O36" s="442"/>
    </row>
    <row r="37" spans="1:15" s="444" customFormat="1" ht="16.350000000000001" customHeight="1">
      <c r="A37" s="442" t="s">
        <v>365</v>
      </c>
      <c r="B37" s="442"/>
      <c r="C37" s="1695">
        <v>-55.698999999999998</v>
      </c>
      <c r="D37" s="1692"/>
      <c r="E37" s="1695">
        <v>3.0070000000000001</v>
      </c>
      <c r="F37" s="1692"/>
      <c r="G37" s="1695">
        <v>3.8730000000000002</v>
      </c>
      <c r="H37" s="1692"/>
      <c r="I37" s="1695">
        <v>-3.3000000000000002E-2</v>
      </c>
      <c r="J37" s="3041"/>
      <c r="K37" s="1696">
        <f t="shared" si="1"/>
        <v>-56.597999999999999</v>
      </c>
      <c r="L37" s="442" t="s">
        <v>15</v>
      </c>
      <c r="M37" s="445" t="s">
        <v>15</v>
      </c>
      <c r="N37" s="442"/>
      <c r="O37" s="442"/>
    </row>
    <row r="38" spans="1:15" s="444" customFormat="1" ht="16.350000000000001" customHeight="1">
      <c r="A38" s="442" t="s">
        <v>366</v>
      </c>
      <c r="B38" s="442"/>
      <c r="C38" s="1695">
        <v>-7.992</v>
      </c>
      <c r="D38" s="1692"/>
      <c r="E38" s="1695">
        <v>3.0000000000000001E-3</v>
      </c>
      <c r="F38" s="1692"/>
      <c r="G38" s="1695">
        <v>0.88600000000000001</v>
      </c>
      <c r="H38" s="1692"/>
      <c r="I38" s="1695">
        <v>0</v>
      </c>
      <c r="J38" s="3041"/>
      <c r="K38" s="1696">
        <f t="shared" si="1"/>
        <v>-8.875</v>
      </c>
      <c r="L38" s="442" t="s">
        <v>15</v>
      </c>
      <c r="M38" s="445" t="s">
        <v>15</v>
      </c>
      <c r="N38" s="442"/>
      <c r="O38" s="442"/>
    </row>
    <row r="39" spans="1:15" s="444" customFormat="1" ht="16.350000000000001" customHeight="1">
      <c r="A39" s="442" t="s">
        <v>367</v>
      </c>
      <c r="B39" s="442"/>
      <c r="C39" s="1695">
        <v>-50.777000000000001</v>
      </c>
      <c r="D39" s="1692"/>
      <c r="E39" s="1695">
        <v>4.1379999999999999</v>
      </c>
      <c r="F39" s="1692"/>
      <c r="G39" s="1695">
        <v>4.1040000000000001</v>
      </c>
      <c r="H39" s="1692"/>
      <c r="I39" s="1695">
        <v>0</v>
      </c>
      <c r="J39" s="3041"/>
      <c r="K39" s="1696">
        <f t="shared" si="1"/>
        <v>-50.743000000000002</v>
      </c>
      <c r="L39" s="442"/>
      <c r="M39" s="445"/>
      <c r="N39" s="442"/>
      <c r="O39" s="442"/>
    </row>
    <row r="40" spans="1:15" s="444" customFormat="1" ht="20.100000000000001" customHeight="1">
      <c r="A40" s="448" t="s">
        <v>368</v>
      </c>
      <c r="B40" s="442"/>
      <c r="C40" s="1552">
        <f>ROUND(SUM(C32:C39),3)</f>
        <v>-427.50200000000001</v>
      </c>
      <c r="D40" s="702"/>
      <c r="E40" s="1552">
        <f>ROUND(SUM(E32:E39),3)</f>
        <v>32.927</v>
      </c>
      <c r="F40" s="702"/>
      <c r="G40" s="1552">
        <f>ROUND(SUM(G32:G39),3)</f>
        <v>20.352</v>
      </c>
      <c r="H40" s="700"/>
      <c r="I40" s="1552">
        <f>ROUND(SUM(I32:I39),3)</f>
        <v>1.387</v>
      </c>
      <c r="J40" s="700"/>
      <c r="K40" s="1552">
        <f>ROUND(SUM(K32:K39),3)</f>
        <v>-413.54</v>
      </c>
      <c r="L40" s="3059"/>
      <c r="M40" s="442"/>
      <c r="N40" s="442"/>
      <c r="O40" s="442"/>
    </row>
    <row r="41" spans="1:15" s="444" customFormat="1" ht="15" customHeight="1">
      <c r="A41" s="448"/>
      <c r="B41" s="442"/>
      <c r="C41" s="3443"/>
      <c r="D41" s="2221"/>
      <c r="E41" s="2220"/>
      <c r="F41" s="2221"/>
      <c r="G41" s="2220"/>
      <c r="H41" s="2221"/>
      <c r="I41" s="3043"/>
      <c r="J41" s="2221"/>
      <c r="K41" s="2220"/>
      <c r="L41" s="442"/>
      <c r="M41" s="442"/>
      <c r="N41" s="442"/>
      <c r="O41" s="442"/>
    </row>
    <row r="42" spans="1:15" s="444" customFormat="1" ht="15" customHeight="1">
      <c r="A42" s="448"/>
      <c r="B42" s="442"/>
      <c r="C42" s="3043"/>
      <c r="D42" s="2221"/>
      <c r="E42" s="2221"/>
      <c r="F42" s="2221"/>
      <c r="G42" s="2221" t="s">
        <v>15</v>
      </c>
      <c r="H42" s="2221"/>
      <c r="I42" s="3060"/>
      <c r="J42" s="2221"/>
      <c r="K42" s="2221"/>
      <c r="L42" s="442"/>
      <c r="M42" s="442"/>
      <c r="N42" s="442"/>
      <c r="O42" s="442"/>
    </row>
    <row r="43" spans="1:15" s="444" customFormat="1" ht="20.100000000000001" customHeight="1" thickBot="1">
      <c r="A43" s="448" t="s">
        <v>64</v>
      </c>
      <c r="B43" s="443"/>
      <c r="C43" s="2222">
        <f>ROUND(SUM(C40)+SUM(C26),3)</f>
        <v>-389.10899999999998</v>
      </c>
      <c r="D43" s="710"/>
      <c r="E43" s="2222">
        <f>ROUND(SUM(E40)+SUM(E26),3)</f>
        <v>5453.21</v>
      </c>
      <c r="F43" s="710"/>
      <c r="G43" s="2222">
        <f>ROUND(SUM(G40)+SUM(G26),3)</f>
        <v>5436.0749999999998</v>
      </c>
      <c r="H43" s="710"/>
      <c r="I43" s="2222">
        <f>ROUND(SUM(I40)+SUM(I26),3)</f>
        <v>1.387</v>
      </c>
      <c r="J43" s="710"/>
      <c r="K43" s="2222">
        <f>ROUND(SUM(K40)+SUM(K26),3)</f>
        <v>-370.58699999999999</v>
      </c>
      <c r="L43" s="3042"/>
      <c r="M43" s="442"/>
      <c r="N43" s="442"/>
      <c r="O43" s="442"/>
    </row>
    <row r="44" spans="1:15" s="444" customFormat="1" ht="18.75" thickTop="1">
      <c r="A44" s="442"/>
      <c r="B44" s="442"/>
      <c r="C44" s="2223"/>
      <c r="D44" s="2221"/>
      <c r="E44" s="2223" t="s">
        <v>15</v>
      </c>
      <c r="F44" s="2221"/>
      <c r="G44" s="2223"/>
      <c r="H44" s="2221"/>
      <c r="I44" s="695"/>
      <c r="J44" s="2221"/>
      <c r="K44" s="2223"/>
      <c r="L44" s="442"/>
      <c r="M44" s="442"/>
      <c r="N44" s="442"/>
      <c r="O44" s="442"/>
    </row>
    <row r="45" spans="1:15" s="444" customFormat="1">
      <c r="A45" s="3061"/>
      <c r="B45" s="2217"/>
      <c r="C45" s="2226"/>
      <c r="D45" s="2226"/>
      <c r="E45" s="2224" t="s">
        <v>15</v>
      </c>
      <c r="F45" s="2224"/>
      <c r="G45" s="3062"/>
      <c r="H45" s="2224"/>
      <c r="I45" s="3063"/>
      <c r="J45" s="2226"/>
      <c r="K45" s="3064"/>
      <c r="L45" s="2217"/>
      <c r="M45" s="2217"/>
      <c r="N45" s="2217"/>
      <c r="O45" s="2217"/>
    </row>
    <row r="46" spans="1:15" s="444" customFormat="1">
      <c r="A46" s="2217"/>
      <c r="B46" s="2217"/>
      <c r="C46" s="2226"/>
      <c r="D46" s="2226"/>
      <c r="E46" s="2225" t="s">
        <v>15</v>
      </c>
      <c r="F46" s="2225"/>
      <c r="G46" s="2225"/>
      <c r="H46" s="2225"/>
      <c r="I46" s="2225" t="s">
        <v>15</v>
      </c>
      <c r="J46" s="2225"/>
      <c r="K46" s="2225"/>
      <c r="L46" s="2217"/>
      <c r="M46" s="2217"/>
      <c r="N46" s="2217"/>
      <c r="O46" s="2217"/>
    </row>
    <row r="47" spans="1:15" s="444" customFormat="1">
      <c r="A47" s="2217"/>
      <c r="B47" s="2217"/>
      <c r="C47" s="2226"/>
      <c r="D47" s="2226"/>
      <c r="E47" s="2226" t="s">
        <v>15</v>
      </c>
      <c r="F47" s="2226"/>
      <c r="G47" s="3065"/>
      <c r="H47" s="2217"/>
      <c r="I47" s="3066" t="s">
        <v>15</v>
      </c>
      <c r="J47" s="2226"/>
      <c r="K47" s="2226"/>
      <c r="L47" s="2217"/>
      <c r="M47" s="2217"/>
      <c r="N47" s="2217"/>
      <c r="O47" s="2217"/>
    </row>
    <row r="48" spans="1:15" s="444" customFormat="1">
      <c r="A48" s="2217"/>
      <c r="B48" s="2217"/>
      <c r="C48" s="2226"/>
      <c r="D48" s="2226"/>
      <c r="E48" s="2225" t="s">
        <v>15</v>
      </c>
      <c r="F48" s="2226"/>
      <c r="G48" s="2226"/>
      <c r="H48" s="2217"/>
      <c r="I48" s="3066" t="s">
        <v>15</v>
      </c>
      <c r="J48" s="2226"/>
      <c r="K48" s="2226"/>
      <c r="L48" s="2217"/>
      <c r="M48" s="2217"/>
      <c r="N48" s="2217"/>
      <c r="O48" s="2217"/>
    </row>
    <row r="49" spans="1:15" s="444" customFormat="1">
      <c r="A49" s="2217"/>
      <c r="B49" s="2217"/>
      <c r="C49" s="2226"/>
      <c r="D49" s="2226"/>
      <c r="E49" s="2225" t="s">
        <v>15</v>
      </c>
      <c r="F49" s="2226"/>
      <c r="G49" s="2226"/>
      <c r="H49" s="2217"/>
      <c r="I49" s="3066" t="s">
        <v>15</v>
      </c>
      <c r="J49" s="2226"/>
      <c r="K49" s="2226"/>
      <c r="L49" s="2217"/>
      <c r="M49" s="2217"/>
      <c r="N49" s="2217"/>
      <c r="O49" s="2217"/>
    </row>
    <row r="50" spans="1:15" s="444" customFormat="1">
      <c r="A50" s="2217"/>
      <c r="B50" s="2217"/>
      <c r="C50" s="2226"/>
      <c r="D50" s="2226"/>
      <c r="E50" s="2226"/>
      <c r="F50" s="2226"/>
      <c r="G50" s="2226"/>
      <c r="H50" s="2217"/>
      <c r="I50" s="3066" t="s">
        <v>15</v>
      </c>
      <c r="J50" s="2226"/>
      <c r="K50" s="2226"/>
      <c r="L50" s="2217"/>
      <c r="M50" s="2217"/>
      <c r="N50" s="2217"/>
      <c r="O50" s="2217"/>
    </row>
    <row r="51" spans="1:15" s="444" customFormat="1">
      <c r="A51" s="442"/>
      <c r="B51" s="2217"/>
      <c r="C51" s="2226"/>
      <c r="D51" s="2226"/>
      <c r="E51" s="2226"/>
      <c r="F51" s="2226"/>
      <c r="G51" s="2226"/>
      <c r="H51" s="2217"/>
      <c r="I51" s="3066" t="s">
        <v>15</v>
      </c>
      <c r="J51" s="2226"/>
      <c r="K51" s="2226"/>
      <c r="L51" s="2217"/>
      <c r="M51" s="2217"/>
      <c r="N51" s="2217"/>
      <c r="O51" s="2217"/>
    </row>
    <row r="52" spans="1:15" s="444" customFormat="1">
      <c r="A52" s="2217"/>
      <c r="B52" s="2217"/>
      <c r="C52" s="2226"/>
      <c r="D52" s="2226"/>
      <c r="E52" s="2226"/>
      <c r="F52" s="2226"/>
      <c r="G52" s="2226"/>
      <c r="H52" s="2217"/>
      <c r="I52" s="2217"/>
      <c r="J52" s="2226"/>
      <c r="K52" s="2226"/>
      <c r="L52" s="2217"/>
      <c r="M52" s="2217"/>
      <c r="N52" s="2217"/>
      <c r="O52" s="2217"/>
    </row>
    <row r="53" spans="1:15" s="444" customFormat="1">
      <c r="A53" s="2217"/>
      <c r="B53" s="2217"/>
      <c r="C53" s="2226"/>
      <c r="D53" s="2226"/>
      <c r="E53" s="2226"/>
      <c r="F53" s="2226"/>
      <c r="G53" s="2226"/>
      <c r="H53" s="2217"/>
      <c r="I53" s="2217"/>
      <c r="J53" s="2226"/>
      <c r="K53" s="2226"/>
      <c r="L53" s="2217"/>
      <c r="M53" s="2217"/>
      <c r="N53" s="2217"/>
      <c r="O53" s="2217"/>
    </row>
    <row r="54" spans="1:15" s="444" customFormat="1">
      <c r="A54" s="2217"/>
      <c r="B54" s="2217"/>
      <c r="C54" s="2226"/>
      <c r="D54" s="2226"/>
      <c r="E54" s="2226"/>
      <c r="F54" s="2226"/>
      <c r="G54" s="2226"/>
      <c r="H54" s="2217"/>
      <c r="I54" s="2217"/>
      <c r="J54" s="2226"/>
      <c r="K54" s="2226"/>
      <c r="L54" s="2217"/>
      <c r="M54" s="2217"/>
      <c r="N54" s="2217"/>
      <c r="O54" s="2217"/>
    </row>
    <row r="55" spans="1:15" s="444" customFormat="1">
      <c r="A55" s="2217"/>
      <c r="B55" s="2217"/>
      <c r="C55" s="2226"/>
      <c r="D55" s="2226"/>
      <c r="E55" s="2226"/>
      <c r="F55" s="2226"/>
      <c r="G55" s="2226"/>
      <c r="H55" s="2217"/>
      <c r="I55" s="2217"/>
      <c r="J55" s="2226"/>
      <c r="K55" s="2226"/>
      <c r="L55" s="2217"/>
      <c r="M55" s="2217"/>
      <c r="N55" s="2217"/>
      <c r="O55" s="2217"/>
    </row>
    <row r="56" spans="1:15" s="444" customFormat="1">
      <c r="A56" s="2217"/>
      <c r="B56" s="2217"/>
      <c r="C56" s="2226"/>
      <c r="D56" s="2226"/>
      <c r="E56" s="2226"/>
      <c r="F56" s="2226"/>
      <c r="G56" s="2226"/>
      <c r="H56" s="2217"/>
      <c r="I56" s="2217"/>
      <c r="J56" s="2226"/>
      <c r="K56" s="2226"/>
      <c r="L56" s="2217"/>
      <c r="M56" s="2217"/>
      <c r="N56" s="2217"/>
      <c r="O56" s="2217"/>
    </row>
    <row r="57" spans="1:15" s="444" customFormat="1">
      <c r="A57" s="2217"/>
      <c r="B57" s="2217"/>
      <c r="C57" s="2226"/>
      <c r="D57" s="2226"/>
      <c r="E57" s="2226"/>
      <c r="F57" s="2226"/>
      <c r="G57" s="2226"/>
      <c r="H57" s="2217"/>
      <c r="I57" s="2217"/>
      <c r="J57" s="2226"/>
      <c r="K57" s="2226"/>
      <c r="L57" s="2217"/>
      <c r="M57" s="2217"/>
      <c r="N57" s="2217"/>
      <c r="O57" s="2217"/>
    </row>
    <row r="58" spans="1:15" s="444" customFormat="1">
      <c r="A58" s="2217"/>
      <c r="B58" s="2217"/>
      <c r="C58" s="2226"/>
      <c r="D58" s="2226"/>
      <c r="E58" s="2226"/>
      <c r="F58" s="2226"/>
      <c r="G58" s="2226"/>
      <c r="H58" s="2217"/>
      <c r="I58" s="2217"/>
      <c r="J58" s="2226"/>
      <c r="K58" s="2226"/>
      <c r="L58" s="2217"/>
      <c r="M58" s="2217"/>
      <c r="N58" s="2217"/>
      <c r="O58" s="2217"/>
    </row>
    <row r="59" spans="1:15" s="444" customFormat="1">
      <c r="A59" s="2217"/>
      <c r="B59" s="2217"/>
      <c r="C59" s="2226"/>
      <c r="D59" s="2226"/>
      <c r="E59" s="2226"/>
      <c r="F59" s="2226"/>
      <c r="G59" s="2226"/>
      <c r="H59" s="2217"/>
      <c r="I59" s="2217"/>
      <c r="J59" s="2226"/>
      <c r="K59" s="2226"/>
      <c r="L59" s="2217"/>
      <c r="M59" s="2217"/>
      <c r="N59" s="2217"/>
      <c r="O59" s="2217"/>
    </row>
    <row r="60" spans="1:15" s="444" customFormat="1">
      <c r="A60" s="2217"/>
      <c r="B60" s="2217"/>
      <c r="C60" s="2226"/>
      <c r="D60" s="2226"/>
      <c r="E60" s="2226"/>
      <c r="F60" s="2226"/>
      <c r="G60" s="2226"/>
      <c r="H60" s="2217"/>
      <c r="I60" s="2217"/>
      <c r="J60" s="2226"/>
      <c r="K60" s="2226"/>
      <c r="L60" s="2217"/>
      <c r="M60" s="2217"/>
      <c r="N60" s="2217"/>
      <c r="O60" s="2217"/>
    </row>
    <row r="61" spans="1:15" s="444" customFormat="1">
      <c r="A61" s="2217"/>
      <c r="B61" s="2217"/>
      <c r="C61" s="2226"/>
      <c r="D61" s="2226"/>
      <c r="E61" s="2226"/>
      <c r="F61" s="2226"/>
      <c r="G61" s="2226"/>
      <c r="H61" s="2217"/>
      <c r="I61" s="2217"/>
      <c r="J61" s="2226"/>
      <c r="K61" s="2226"/>
      <c r="L61" s="2217"/>
      <c r="M61" s="2217"/>
      <c r="N61" s="2217"/>
      <c r="O61" s="2217"/>
    </row>
    <row r="62" spans="1:15" s="444" customFormat="1">
      <c r="A62" s="2217"/>
      <c r="B62" s="2217"/>
      <c r="C62" s="2226"/>
      <c r="D62" s="2226"/>
      <c r="E62" s="2226"/>
      <c r="F62" s="2226"/>
      <c r="G62" s="2226"/>
      <c r="H62" s="2217"/>
      <c r="I62" s="2217"/>
      <c r="J62" s="2226"/>
      <c r="K62" s="2226"/>
      <c r="L62" s="2217"/>
      <c r="M62" s="2217"/>
      <c r="N62" s="2217"/>
      <c r="O62" s="2217"/>
    </row>
    <row r="63" spans="1:15" s="444" customFormat="1">
      <c r="A63" s="2217"/>
      <c r="B63" s="2217"/>
      <c r="C63" s="2226"/>
      <c r="D63" s="2226"/>
      <c r="E63" s="2226"/>
      <c r="F63" s="2226"/>
      <c r="G63" s="2226"/>
      <c r="H63" s="2217"/>
      <c r="I63" s="2217"/>
      <c r="J63" s="2226"/>
      <c r="K63" s="2226"/>
      <c r="L63" s="2217"/>
      <c r="M63" s="2217"/>
      <c r="N63" s="2217"/>
      <c r="O63" s="2217"/>
    </row>
    <row r="64" spans="1:15" s="444" customFormat="1">
      <c r="A64" s="2217"/>
      <c r="B64" s="2217"/>
      <c r="C64" s="2226"/>
      <c r="D64" s="2226"/>
      <c r="E64" s="2226"/>
      <c r="F64" s="2226"/>
      <c r="G64" s="2226"/>
      <c r="H64" s="2217"/>
      <c r="I64" s="2217"/>
      <c r="J64" s="2226"/>
      <c r="K64" s="2226"/>
      <c r="L64" s="2217"/>
      <c r="M64" s="2217"/>
      <c r="N64" s="2217"/>
      <c r="O64" s="2217"/>
    </row>
    <row r="65" spans="1:15" s="444" customFormat="1">
      <c r="A65" s="2217"/>
      <c r="B65" s="2217"/>
      <c r="C65" s="2226"/>
      <c r="D65" s="2226"/>
      <c r="E65" s="2226"/>
      <c r="F65" s="2226"/>
      <c r="G65" s="2226"/>
      <c r="H65" s="2217"/>
      <c r="I65" s="2217"/>
      <c r="J65" s="2226"/>
      <c r="K65" s="2226"/>
      <c r="L65" s="2217"/>
      <c r="M65" s="2217"/>
      <c r="N65" s="2217"/>
      <c r="O65" s="2217"/>
    </row>
    <row r="66" spans="1:15" s="444" customFormat="1">
      <c r="A66" s="2217"/>
      <c r="B66" s="2217"/>
      <c r="C66" s="2226"/>
      <c r="D66" s="2226"/>
      <c r="E66" s="2226"/>
      <c r="F66" s="2226"/>
      <c r="G66" s="2226"/>
      <c r="H66" s="2217"/>
      <c r="I66" s="2217"/>
      <c r="J66" s="2226"/>
      <c r="K66" s="2226"/>
      <c r="L66" s="2217"/>
      <c r="M66" s="2217"/>
      <c r="N66" s="2217"/>
      <c r="O66" s="2217"/>
    </row>
    <row r="67" spans="1:15" s="444" customFormat="1">
      <c r="A67" s="2217"/>
      <c r="B67" s="2217"/>
      <c r="C67" s="2226"/>
      <c r="D67" s="2226"/>
      <c r="E67" s="2226"/>
      <c r="F67" s="2226"/>
      <c r="G67" s="2226"/>
      <c r="H67" s="2217"/>
      <c r="I67" s="2217"/>
      <c r="J67" s="2226"/>
      <c r="K67" s="2226"/>
      <c r="L67" s="2217"/>
      <c r="M67" s="2217"/>
      <c r="N67" s="2217"/>
      <c r="O67" s="2217"/>
    </row>
    <row r="68" spans="1:15" s="444" customFormat="1">
      <c r="A68" s="2217"/>
      <c r="B68" s="2217"/>
      <c r="C68" s="2226"/>
      <c r="D68" s="2226"/>
      <c r="E68" s="2226"/>
      <c r="F68" s="2226"/>
      <c r="G68" s="2226"/>
      <c r="H68" s="2217"/>
      <c r="I68" s="2217"/>
      <c r="J68" s="2226"/>
      <c r="K68" s="2226"/>
      <c r="L68" s="2217"/>
      <c r="M68" s="2217"/>
      <c r="N68" s="2217"/>
      <c r="O68" s="2217"/>
    </row>
    <row r="69" spans="1:15" s="444" customFormat="1">
      <c r="A69" s="2217"/>
      <c r="B69" s="2217"/>
      <c r="C69" s="2226"/>
      <c r="D69" s="2226"/>
      <c r="E69" s="2226"/>
      <c r="F69" s="2226"/>
      <c r="G69" s="2226"/>
      <c r="H69" s="2217"/>
      <c r="I69" s="2217"/>
      <c r="J69" s="2226"/>
      <c r="K69" s="2226"/>
      <c r="L69" s="2217"/>
      <c r="M69" s="2217"/>
      <c r="N69" s="2217"/>
      <c r="O69" s="2217"/>
    </row>
    <row r="70" spans="1:15" s="444" customFormat="1">
      <c r="A70" s="2217"/>
      <c r="B70" s="2217"/>
      <c r="C70" s="2226"/>
      <c r="D70" s="2226"/>
      <c r="E70" s="2226"/>
      <c r="F70" s="2226"/>
      <c r="G70" s="2226"/>
      <c r="H70" s="2217"/>
      <c r="I70" s="2217"/>
      <c r="J70" s="2226"/>
      <c r="K70" s="2226"/>
      <c r="L70" s="2217"/>
      <c r="M70" s="2217"/>
      <c r="N70" s="2217"/>
      <c r="O70" s="2217"/>
    </row>
    <row r="71" spans="1:15" s="444" customFormat="1">
      <c r="A71" s="2217"/>
      <c r="B71" s="2217"/>
      <c r="C71" s="2226"/>
      <c r="D71" s="2226"/>
      <c r="E71" s="2226"/>
      <c r="F71" s="2226"/>
      <c r="G71" s="2226"/>
      <c r="H71" s="2217"/>
      <c r="I71" s="2217"/>
      <c r="J71" s="2226"/>
      <c r="K71" s="2226"/>
      <c r="L71" s="2217"/>
      <c r="M71" s="2217"/>
      <c r="N71" s="2217"/>
      <c r="O71" s="2217"/>
    </row>
    <row r="72" spans="1:15" s="444" customFormat="1">
      <c r="A72" s="2217"/>
      <c r="B72" s="2217"/>
      <c r="C72" s="2226"/>
      <c r="D72" s="2226"/>
      <c r="E72" s="2226"/>
      <c r="F72" s="2226"/>
      <c r="G72" s="2226"/>
      <c r="H72" s="2217"/>
      <c r="I72" s="2217"/>
      <c r="J72" s="2226"/>
      <c r="K72" s="2226"/>
      <c r="L72" s="2217"/>
      <c r="M72" s="2217"/>
      <c r="N72" s="2217"/>
      <c r="O72" s="2217"/>
    </row>
    <row r="73" spans="1:15" s="444" customFormat="1">
      <c r="A73" s="2217"/>
      <c r="B73" s="2217"/>
      <c r="C73" s="2226"/>
      <c r="D73" s="2226"/>
      <c r="E73" s="2226"/>
      <c r="F73" s="2226"/>
      <c r="G73" s="2226"/>
      <c r="H73" s="2217"/>
      <c r="I73" s="2217"/>
      <c r="J73" s="2226"/>
      <c r="K73" s="2226"/>
      <c r="L73" s="2217"/>
      <c r="M73" s="2217"/>
      <c r="N73" s="2217"/>
      <c r="O73" s="2217"/>
    </row>
    <row r="74" spans="1:15" s="444" customFormat="1">
      <c r="A74" s="2217"/>
      <c r="B74" s="2217"/>
      <c r="C74" s="2226"/>
      <c r="D74" s="2226"/>
      <c r="E74" s="2226"/>
      <c r="F74" s="2226"/>
      <c r="G74" s="2226"/>
      <c r="H74" s="2217"/>
      <c r="I74" s="2217"/>
      <c r="J74" s="2226"/>
      <c r="K74" s="2226"/>
      <c r="L74" s="2217"/>
      <c r="M74" s="2217"/>
      <c r="N74" s="2217"/>
      <c r="O74" s="2217"/>
    </row>
    <row r="75" spans="1:15" s="444" customFormat="1">
      <c r="A75" s="2217"/>
      <c r="B75" s="2217"/>
      <c r="C75" s="2226"/>
      <c r="D75" s="2226"/>
      <c r="E75" s="2226"/>
      <c r="F75" s="2226"/>
      <c r="G75" s="2226"/>
      <c r="H75" s="2217"/>
      <c r="I75" s="2217"/>
      <c r="J75" s="2226"/>
      <c r="K75" s="2226"/>
      <c r="L75" s="2217"/>
      <c r="M75" s="2217"/>
      <c r="N75" s="2217"/>
      <c r="O75" s="2217"/>
    </row>
    <row r="76" spans="1:15" s="444" customFormat="1">
      <c r="A76" s="2217"/>
      <c r="B76" s="2217"/>
      <c r="C76" s="2226"/>
      <c r="D76" s="2226"/>
      <c r="E76" s="2226"/>
      <c r="F76" s="2226"/>
      <c r="G76" s="2226"/>
      <c r="H76" s="2217"/>
      <c r="I76" s="2217"/>
      <c r="J76" s="2226"/>
      <c r="K76" s="2226"/>
      <c r="L76" s="2217"/>
      <c r="M76" s="2217"/>
      <c r="N76" s="2217"/>
      <c r="O76" s="2217"/>
    </row>
    <row r="77" spans="1:15" s="444" customFormat="1">
      <c r="A77" s="2217"/>
      <c r="B77" s="2217"/>
      <c r="C77" s="2226"/>
      <c r="D77" s="2226"/>
      <c r="E77" s="2226"/>
      <c r="F77" s="2226"/>
      <c r="G77" s="2226"/>
      <c r="H77" s="2217"/>
      <c r="I77" s="2217"/>
      <c r="J77" s="2226"/>
      <c r="K77" s="2226"/>
      <c r="L77" s="2217"/>
      <c r="M77" s="2217"/>
      <c r="N77" s="2217"/>
      <c r="O77" s="2217"/>
    </row>
    <row r="78" spans="1:15" s="444" customFormat="1">
      <c r="A78" s="2217"/>
      <c r="B78" s="2217"/>
      <c r="C78" s="2226"/>
      <c r="D78" s="2226"/>
      <c r="E78" s="2226"/>
      <c r="F78" s="2226"/>
      <c r="G78" s="2226"/>
      <c r="H78" s="2217"/>
      <c r="I78" s="2217"/>
      <c r="J78" s="2226"/>
      <c r="K78" s="2226"/>
      <c r="L78" s="2217"/>
      <c r="M78" s="2217"/>
      <c r="N78" s="2217"/>
      <c r="O78" s="2217"/>
    </row>
    <row r="79" spans="1:15" s="444" customFormat="1">
      <c r="A79" s="2217"/>
      <c r="B79" s="2217"/>
      <c r="C79" s="2226"/>
      <c r="D79" s="2226"/>
      <c r="E79" s="2226"/>
      <c r="F79" s="2226"/>
      <c r="G79" s="2226"/>
      <c r="H79" s="2217"/>
      <c r="I79" s="2217"/>
      <c r="J79" s="2226"/>
      <c r="K79" s="2226"/>
      <c r="L79" s="2217"/>
      <c r="M79" s="2217"/>
      <c r="N79" s="2217"/>
      <c r="O79" s="2217"/>
    </row>
    <row r="80" spans="1:15" s="444" customFormat="1">
      <c r="A80" s="2217"/>
      <c r="B80" s="2217"/>
      <c r="C80" s="2226"/>
      <c r="D80" s="2226"/>
      <c r="E80" s="2226"/>
      <c r="F80" s="2226"/>
      <c r="G80" s="2226"/>
      <c r="H80" s="2217"/>
      <c r="I80" s="2217"/>
      <c r="J80" s="2226"/>
      <c r="K80" s="2226"/>
      <c r="L80" s="2217"/>
      <c r="M80" s="2217"/>
      <c r="N80" s="2217"/>
      <c r="O80" s="2217"/>
    </row>
    <row r="81" spans="1:15" s="444" customFormat="1">
      <c r="A81" s="2217"/>
      <c r="B81" s="2217"/>
      <c r="C81" s="2226"/>
      <c r="D81" s="2226"/>
      <c r="E81" s="2226"/>
      <c r="F81" s="2226"/>
      <c r="G81" s="2226"/>
      <c r="H81" s="2217"/>
      <c r="I81" s="2217"/>
      <c r="J81" s="2226"/>
      <c r="K81" s="2226"/>
      <c r="L81" s="2217"/>
      <c r="M81" s="2217"/>
      <c r="N81" s="2217"/>
      <c r="O81" s="2217"/>
    </row>
    <row r="82" spans="1:15" s="444" customFormat="1">
      <c r="A82" s="2217"/>
      <c r="B82" s="2217"/>
      <c r="C82" s="2226"/>
      <c r="D82" s="2226"/>
      <c r="E82" s="2226"/>
      <c r="F82" s="2226"/>
      <c r="G82" s="2226"/>
      <c r="H82" s="2217"/>
      <c r="I82" s="2217"/>
      <c r="J82" s="2226"/>
      <c r="K82" s="2226"/>
      <c r="L82" s="2217"/>
      <c r="M82" s="2217"/>
      <c r="N82" s="2217"/>
      <c r="O82" s="2217"/>
    </row>
    <row r="83" spans="1:15" s="444" customFormat="1">
      <c r="A83" s="2217"/>
      <c r="B83" s="2217"/>
      <c r="C83" s="2226"/>
      <c r="D83" s="2226"/>
      <c r="E83" s="2226"/>
      <c r="F83" s="2226"/>
      <c r="G83" s="2226"/>
      <c r="H83" s="2217"/>
      <c r="I83" s="2217"/>
      <c r="J83" s="2226"/>
      <c r="K83" s="2226"/>
      <c r="L83" s="2217"/>
      <c r="M83" s="2217"/>
      <c r="N83" s="2217"/>
      <c r="O83" s="2217"/>
    </row>
    <row r="84" spans="1:15" s="444" customFormat="1">
      <c r="A84" s="2217"/>
      <c r="B84" s="2217"/>
      <c r="C84" s="2226"/>
      <c r="D84" s="2226"/>
      <c r="E84" s="2226"/>
      <c r="F84" s="2226"/>
      <c r="G84" s="2226"/>
      <c r="H84" s="2217"/>
      <c r="I84" s="2217"/>
      <c r="J84" s="2226"/>
      <c r="K84" s="2226"/>
      <c r="L84" s="2217"/>
      <c r="M84" s="2217"/>
      <c r="N84" s="2217"/>
      <c r="O84" s="2217"/>
    </row>
    <row r="85" spans="1:15" s="444" customFormat="1">
      <c r="A85" s="2217"/>
      <c r="B85" s="2217"/>
      <c r="C85" s="2226"/>
      <c r="D85" s="2226"/>
      <c r="E85" s="2226"/>
      <c r="F85" s="2226"/>
      <c r="G85" s="2226"/>
      <c r="H85" s="2217"/>
      <c r="I85" s="2217"/>
      <c r="J85" s="2226"/>
      <c r="K85" s="2226"/>
      <c r="L85" s="2217"/>
      <c r="M85" s="2217"/>
      <c r="N85" s="2217"/>
      <c r="O85" s="2217"/>
    </row>
    <row r="86" spans="1:15" s="444" customFormat="1">
      <c r="A86" s="2217"/>
      <c r="B86" s="2217"/>
      <c r="C86" s="2226"/>
      <c r="D86" s="2226"/>
      <c r="E86" s="2226"/>
      <c r="F86" s="2226"/>
      <c r="G86" s="2226"/>
      <c r="H86" s="2217"/>
      <c r="I86" s="2217"/>
      <c r="J86" s="2226"/>
      <c r="K86" s="2226"/>
      <c r="L86" s="2217"/>
      <c r="M86" s="2217"/>
      <c r="N86" s="2217"/>
      <c r="O86" s="2217"/>
    </row>
    <row r="87" spans="1:15" s="444" customFormat="1">
      <c r="A87" s="2217"/>
      <c r="B87" s="2217"/>
      <c r="C87" s="2226"/>
      <c r="D87" s="2226"/>
      <c r="E87" s="2226"/>
      <c r="F87" s="2226"/>
      <c r="G87" s="2226"/>
      <c r="H87" s="2217"/>
      <c r="I87" s="2217"/>
      <c r="J87" s="2226"/>
      <c r="K87" s="2226"/>
      <c r="L87" s="2217"/>
      <c r="M87" s="2217"/>
      <c r="N87" s="2217"/>
      <c r="O87" s="2217"/>
    </row>
    <row r="88" spans="1:15" s="444" customFormat="1">
      <c r="A88" s="2217"/>
      <c r="B88" s="2217"/>
      <c r="C88" s="2226"/>
      <c r="D88" s="2226"/>
      <c r="E88" s="2226"/>
      <c r="F88" s="2226"/>
      <c r="G88" s="2226"/>
      <c r="H88" s="2217"/>
      <c r="I88" s="2217"/>
      <c r="J88" s="2226"/>
      <c r="K88" s="2226"/>
      <c r="L88" s="2217"/>
      <c r="M88" s="2217"/>
      <c r="N88" s="2217"/>
      <c r="O88" s="2217"/>
    </row>
    <row r="89" spans="1:15" s="444" customFormat="1">
      <c r="A89" s="2217"/>
      <c r="B89" s="2217"/>
      <c r="C89" s="2226"/>
      <c r="D89" s="2226"/>
      <c r="E89" s="2226"/>
      <c r="F89" s="2226"/>
      <c r="G89" s="2226"/>
      <c r="H89" s="2217"/>
      <c r="I89" s="2217"/>
      <c r="J89" s="2226"/>
      <c r="K89" s="2226"/>
      <c r="L89" s="2217"/>
      <c r="M89" s="2217"/>
      <c r="N89" s="2217"/>
      <c r="O89" s="2217"/>
    </row>
    <row r="90" spans="1:15" s="444" customFormat="1">
      <c r="A90" s="2217"/>
      <c r="B90" s="2217"/>
      <c r="C90" s="2226"/>
      <c r="D90" s="2226"/>
      <c r="E90" s="2226"/>
      <c r="F90" s="2226"/>
      <c r="G90" s="2226"/>
      <c r="H90" s="2217"/>
      <c r="I90" s="2217"/>
      <c r="J90" s="2226"/>
      <c r="K90" s="2226"/>
      <c r="L90" s="2217"/>
      <c r="M90" s="2217"/>
      <c r="N90" s="2217"/>
      <c r="O90" s="2217"/>
    </row>
    <row r="91" spans="1:15" s="444" customFormat="1">
      <c r="A91" s="2217"/>
      <c r="B91" s="2217"/>
      <c r="C91" s="2226"/>
      <c r="D91" s="2226"/>
      <c r="E91" s="2226"/>
      <c r="F91" s="2226"/>
      <c r="G91" s="2226"/>
      <c r="H91" s="2217"/>
      <c r="I91" s="2217"/>
      <c r="J91" s="2226"/>
      <c r="K91" s="2226"/>
      <c r="L91" s="2217"/>
      <c r="M91" s="2217"/>
      <c r="N91" s="2217"/>
      <c r="O91" s="2217"/>
    </row>
    <row r="92" spans="1:15" s="444" customFormat="1">
      <c r="A92" s="2217"/>
      <c r="B92" s="2217"/>
      <c r="C92" s="2226"/>
      <c r="D92" s="2226"/>
      <c r="E92" s="2226"/>
      <c r="F92" s="2226"/>
      <c r="G92" s="2226"/>
      <c r="H92" s="2217"/>
      <c r="I92" s="2217"/>
      <c r="J92" s="2226"/>
      <c r="K92" s="2226"/>
      <c r="L92" s="2217"/>
      <c r="M92" s="2217"/>
      <c r="N92" s="2217"/>
      <c r="O92" s="2217"/>
    </row>
    <row r="93" spans="1:15" s="444" customFormat="1">
      <c r="A93" s="2217"/>
      <c r="B93" s="2217"/>
      <c r="C93" s="2226"/>
      <c r="D93" s="2226"/>
      <c r="E93" s="2226"/>
      <c r="F93" s="2226"/>
      <c r="G93" s="2226"/>
      <c r="H93" s="2217"/>
      <c r="I93" s="2217"/>
      <c r="J93" s="2226"/>
      <c r="K93" s="2226"/>
      <c r="L93" s="2217"/>
      <c r="M93" s="2217"/>
      <c r="N93" s="2217"/>
      <c r="O93" s="2217"/>
    </row>
  </sheetData>
  <pageMargins left="0.75" right="0.5" top="0.5" bottom="0.5" header="0" footer="0.25"/>
  <pageSetup scale="60" firstPageNumber="41" orientation="landscape" useFirstPageNumber="1" r:id="rId1"/>
  <headerFooter scaleWithDoc="0" alignWithMargins="0">
    <oddFooter>&amp;C&amp;8&amp;P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IV136"/>
  <sheetViews>
    <sheetView showGridLines="0" zoomScale="80" zoomScaleNormal="60" workbookViewId="0"/>
  </sheetViews>
  <sheetFormatPr defaultColWidth="8.6640625" defaultRowHeight="12.75"/>
  <cols>
    <col min="1" max="1" width="56.109375" style="447" customWidth="1"/>
    <col min="2" max="2" width="5.6640625" style="447" customWidth="1"/>
    <col min="3" max="3" width="9.6640625" style="447" customWidth="1"/>
    <col min="4" max="4" width="21.109375" style="447" customWidth="1"/>
    <col min="5" max="5" width="1.6640625" style="447" customWidth="1"/>
    <col min="6" max="6" width="16.6640625" style="447" customWidth="1"/>
    <col min="7" max="7" width="2.109375" style="447" customWidth="1"/>
    <col min="8" max="8" width="19.109375" style="447" customWidth="1"/>
    <col min="9" max="9" width="1.6640625" style="447" customWidth="1"/>
    <col min="10" max="10" width="20.6640625" style="447" customWidth="1"/>
    <col min="11" max="11" width="2.109375" style="447" customWidth="1"/>
    <col min="12" max="12" width="22.44140625" style="447" customWidth="1"/>
    <col min="13" max="13" width="2.44140625" style="447" customWidth="1"/>
    <col min="14" max="14" width="10.6640625" style="447" bestFit="1" customWidth="1"/>
    <col min="15" max="15" width="12.5546875" style="447" bestFit="1" customWidth="1"/>
    <col min="16" max="16384" width="8.6640625" style="447"/>
  </cols>
  <sheetData>
    <row r="1" spans="1:256" ht="15">
      <c r="A1" s="644" t="s">
        <v>963</v>
      </c>
    </row>
    <row r="2" spans="1:256" ht="18" customHeight="1"/>
    <row r="3" spans="1:256" ht="18">
      <c r="A3" s="448" t="s">
        <v>0</v>
      </c>
      <c r="B3" s="449"/>
      <c r="C3" s="449"/>
      <c r="D3" s="450"/>
      <c r="E3" s="450"/>
      <c r="F3" s="449"/>
      <c r="G3" s="449" t="s">
        <v>15</v>
      </c>
      <c r="H3" s="449"/>
      <c r="I3" s="449"/>
      <c r="J3" s="449"/>
      <c r="K3" s="449"/>
      <c r="L3" s="451" t="s">
        <v>369</v>
      </c>
      <c r="M3" s="450"/>
      <c r="N3" s="452"/>
      <c r="O3" s="452"/>
      <c r="P3" s="452"/>
      <c r="Q3" s="452"/>
      <c r="R3" s="452"/>
      <c r="S3" s="452"/>
      <c r="T3" s="452"/>
      <c r="U3" s="452"/>
      <c r="V3" s="452"/>
      <c r="W3" s="452"/>
      <c r="X3" s="452"/>
      <c r="Y3" s="452"/>
      <c r="Z3" s="452"/>
      <c r="AA3" s="452"/>
      <c r="AB3" s="452"/>
      <c r="AC3" s="452"/>
      <c r="AD3" s="452"/>
      <c r="AE3" s="452"/>
      <c r="AF3" s="452"/>
      <c r="AG3" s="452"/>
      <c r="AH3" s="452"/>
      <c r="AI3" s="452"/>
      <c r="AJ3" s="452"/>
      <c r="AK3" s="452"/>
      <c r="AL3" s="452"/>
      <c r="AM3" s="452"/>
      <c r="AN3" s="452"/>
      <c r="AO3" s="452"/>
      <c r="AP3" s="452"/>
      <c r="AQ3" s="452"/>
      <c r="AR3" s="452"/>
      <c r="AS3" s="452"/>
      <c r="AT3" s="452"/>
      <c r="AU3" s="452"/>
      <c r="AV3" s="452"/>
      <c r="AW3" s="452"/>
      <c r="AX3" s="452"/>
      <c r="AY3" s="452"/>
      <c r="AZ3" s="452"/>
      <c r="BA3" s="452"/>
      <c r="BB3" s="452"/>
      <c r="BC3" s="452"/>
      <c r="BD3" s="452"/>
      <c r="BE3" s="452"/>
      <c r="BF3" s="452"/>
      <c r="BG3" s="452"/>
      <c r="BH3" s="452"/>
      <c r="BI3" s="452"/>
      <c r="BJ3" s="452"/>
      <c r="BK3" s="452"/>
      <c r="BL3" s="452"/>
      <c r="BM3" s="452"/>
      <c r="BN3" s="452"/>
      <c r="BO3" s="452"/>
      <c r="BP3" s="452"/>
      <c r="BQ3" s="452"/>
      <c r="BR3" s="452"/>
      <c r="BS3" s="452"/>
      <c r="BT3" s="452"/>
      <c r="BU3" s="452"/>
      <c r="BV3" s="452"/>
      <c r="BW3" s="452"/>
      <c r="BX3" s="452"/>
      <c r="BY3" s="452"/>
      <c r="BZ3" s="452"/>
      <c r="CA3" s="452"/>
      <c r="CB3" s="452"/>
      <c r="CC3" s="452"/>
      <c r="CD3" s="452"/>
      <c r="CE3" s="452"/>
      <c r="CF3" s="452"/>
      <c r="CG3" s="452"/>
      <c r="CH3" s="452"/>
      <c r="CI3" s="452"/>
      <c r="CJ3" s="452"/>
      <c r="CK3" s="452"/>
      <c r="CL3" s="452"/>
      <c r="CM3" s="452"/>
      <c r="CN3" s="452"/>
      <c r="CO3" s="452"/>
      <c r="CP3" s="452"/>
      <c r="CQ3" s="452"/>
      <c r="CR3" s="452"/>
      <c r="CS3" s="452"/>
      <c r="CT3" s="452"/>
      <c r="CU3" s="452"/>
      <c r="CV3" s="452"/>
      <c r="CW3" s="452"/>
      <c r="CX3" s="452"/>
      <c r="CY3" s="452"/>
      <c r="CZ3" s="452"/>
      <c r="DA3" s="452"/>
      <c r="DB3" s="452"/>
      <c r="DC3" s="452"/>
      <c r="DD3" s="452"/>
      <c r="DE3" s="452"/>
      <c r="DF3" s="452"/>
      <c r="DG3" s="452"/>
      <c r="DH3" s="452"/>
      <c r="DI3" s="452"/>
      <c r="DJ3" s="452"/>
      <c r="DK3" s="452"/>
      <c r="DL3" s="452"/>
      <c r="DM3" s="452"/>
      <c r="DN3" s="452"/>
      <c r="DO3" s="452"/>
      <c r="DP3" s="452"/>
      <c r="DQ3" s="452"/>
      <c r="DR3" s="452"/>
      <c r="DS3" s="452"/>
      <c r="DT3" s="452"/>
      <c r="DU3" s="452"/>
      <c r="DV3" s="452"/>
      <c r="DW3" s="452"/>
      <c r="DX3" s="452"/>
      <c r="DY3" s="452"/>
      <c r="DZ3" s="452"/>
      <c r="EA3" s="452"/>
      <c r="EB3" s="452"/>
      <c r="EC3" s="452"/>
      <c r="ED3" s="452"/>
      <c r="EE3" s="452"/>
      <c r="EF3" s="452"/>
      <c r="EG3" s="452"/>
      <c r="EH3" s="452"/>
      <c r="EI3" s="452"/>
      <c r="EJ3" s="452"/>
      <c r="EK3" s="452"/>
      <c r="EL3" s="452"/>
      <c r="EM3" s="452"/>
      <c r="EN3" s="452"/>
      <c r="EO3" s="452"/>
      <c r="EP3" s="452"/>
      <c r="EQ3" s="452"/>
      <c r="ER3" s="452"/>
      <c r="ES3" s="452"/>
      <c r="ET3" s="452"/>
      <c r="EU3" s="452"/>
      <c r="EV3" s="452"/>
      <c r="EW3" s="452"/>
      <c r="EX3" s="452"/>
      <c r="EY3" s="452"/>
      <c r="EZ3" s="452"/>
      <c r="FA3" s="452"/>
      <c r="FB3" s="452"/>
      <c r="FC3" s="452"/>
      <c r="FD3" s="452"/>
      <c r="FE3" s="452"/>
      <c r="FF3" s="452"/>
      <c r="FG3" s="452"/>
      <c r="FH3" s="452"/>
      <c r="FI3" s="452"/>
      <c r="FJ3" s="452"/>
      <c r="FK3" s="452"/>
      <c r="FL3" s="452"/>
      <c r="FM3" s="452"/>
      <c r="FN3" s="452"/>
      <c r="FO3" s="452"/>
      <c r="FP3" s="452"/>
      <c r="FQ3" s="452"/>
      <c r="FR3" s="452"/>
      <c r="FS3" s="452"/>
      <c r="FT3" s="452"/>
      <c r="FU3" s="452"/>
      <c r="FV3" s="452"/>
      <c r="FW3" s="452"/>
      <c r="FX3" s="452"/>
      <c r="FY3" s="452"/>
      <c r="FZ3" s="452"/>
      <c r="GA3" s="452"/>
      <c r="GB3" s="452"/>
      <c r="GC3" s="452"/>
      <c r="GD3" s="452"/>
      <c r="GE3" s="452"/>
      <c r="GF3" s="452"/>
      <c r="GG3" s="452"/>
      <c r="GH3" s="452"/>
      <c r="GI3" s="452"/>
      <c r="GJ3" s="452"/>
      <c r="GK3" s="452"/>
      <c r="GL3" s="452"/>
      <c r="GM3" s="452"/>
      <c r="GN3" s="452"/>
      <c r="GO3" s="452"/>
      <c r="GP3" s="452"/>
      <c r="GQ3" s="452"/>
      <c r="GR3" s="452"/>
      <c r="GS3" s="452"/>
      <c r="GT3" s="452"/>
      <c r="GU3" s="452"/>
      <c r="GV3" s="452"/>
      <c r="GW3" s="452"/>
      <c r="GX3" s="452"/>
      <c r="GY3" s="452"/>
      <c r="GZ3" s="452"/>
      <c r="HA3" s="452"/>
      <c r="HB3" s="452"/>
      <c r="HC3" s="452"/>
      <c r="HD3" s="452"/>
      <c r="HE3" s="452"/>
      <c r="HF3" s="452"/>
      <c r="HG3" s="452"/>
      <c r="HH3" s="452"/>
      <c r="HI3" s="452"/>
      <c r="HJ3" s="452"/>
      <c r="HK3" s="452"/>
      <c r="HL3" s="452"/>
      <c r="HM3" s="452"/>
      <c r="HN3" s="452"/>
      <c r="HO3" s="452"/>
      <c r="HP3" s="452"/>
      <c r="HQ3" s="452"/>
      <c r="HR3" s="452"/>
      <c r="HS3" s="452"/>
      <c r="HT3" s="452"/>
      <c r="HU3" s="452"/>
      <c r="HV3" s="452"/>
      <c r="HW3" s="452"/>
      <c r="HX3" s="452"/>
      <c r="HY3" s="452"/>
      <c r="HZ3" s="452"/>
      <c r="IA3" s="452"/>
      <c r="IB3" s="452"/>
      <c r="IC3" s="452"/>
      <c r="ID3" s="452"/>
      <c r="IE3" s="452"/>
      <c r="IF3" s="452"/>
      <c r="IG3" s="452"/>
      <c r="IH3" s="452"/>
      <c r="II3" s="452"/>
      <c r="IJ3" s="452"/>
      <c r="IK3" s="452"/>
      <c r="IL3" s="452"/>
      <c r="IM3" s="452"/>
      <c r="IN3" s="452"/>
      <c r="IO3" s="452"/>
      <c r="IP3" s="452"/>
      <c r="IQ3" s="452"/>
      <c r="IR3" s="452"/>
      <c r="IS3" s="452"/>
      <c r="IT3" s="452"/>
      <c r="IU3" s="452"/>
      <c r="IV3" s="452"/>
    </row>
    <row r="4" spans="1:256" ht="18">
      <c r="A4" s="448" t="s">
        <v>370</v>
      </c>
      <c r="B4" s="449"/>
      <c r="C4" s="449"/>
      <c r="D4" s="450"/>
      <c r="E4" s="450"/>
      <c r="F4" s="449"/>
      <c r="G4" s="449"/>
      <c r="H4" s="449"/>
      <c r="I4" s="449"/>
      <c r="J4" s="449"/>
      <c r="K4" s="449"/>
      <c r="L4" s="453"/>
      <c r="M4" s="450"/>
      <c r="N4" s="452"/>
      <c r="O4" s="452"/>
      <c r="P4" s="452"/>
      <c r="Q4" s="452"/>
      <c r="R4" s="452"/>
      <c r="S4" s="452"/>
      <c r="T4" s="452"/>
      <c r="U4" s="452"/>
      <c r="V4" s="452"/>
      <c r="W4" s="452"/>
      <c r="X4" s="452"/>
      <c r="Y4" s="452"/>
      <c r="Z4" s="452"/>
      <c r="AA4" s="452"/>
      <c r="AB4" s="452"/>
      <c r="AC4" s="452"/>
      <c r="AD4" s="452"/>
      <c r="AE4" s="452"/>
      <c r="AF4" s="452"/>
      <c r="AG4" s="452"/>
      <c r="AH4" s="452"/>
      <c r="AI4" s="452"/>
      <c r="AJ4" s="452"/>
      <c r="AK4" s="452"/>
      <c r="AL4" s="452"/>
      <c r="AM4" s="452"/>
      <c r="AN4" s="452"/>
      <c r="AO4" s="452"/>
      <c r="AP4" s="452"/>
      <c r="AQ4" s="452"/>
      <c r="AR4" s="452"/>
      <c r="AS4" s="452"/>
      <c r="AT4" s="452"/>
      <c r="AU4" s="452"/>
      <c r="AV4" s="452"/>
      <c r="AW4" s="452"/>
      <c r="AX4" s="452"/>
      <c r="AY4" s="452"/>
      <c r="AZ4" s="452"/>
      <c r="BA4" s="452"/>
      <c r="BB4" s="452"/>
      <c r="BC4" s="452"/>
      <c r="BD4" s="452"/>
      <c r="BE4" s="452"/>
      <c r="BF4" s="452"/>
      <c r="BG4" s="452"/>
      <c r="BH4" s="452"/>
      <c r="BI4" s="452"/>
      <c r="BJ4" s="452"/>
      <c r="BK4" s="452"/>
      <c r="BL4" s="452"/>
      <c r="BM4" s="452"/>
      <c r="BN4" s="452"/>
      <c r="BO4" s="452"/>
      <c r="BP4" s="452"/>
      <c r="BQ4" s="452"/>
      <c r="BR4" s="452"/>
      <c r="BS4" s="452"/>
      <c r="BT4" s="452"/>
      <c r="BU4" s="452"/>
      <c r="BV4" s="452"/>
      <c r="BW4" s="452"/>
      <c r="BX4" s="452"/>
      <c r="BY4" s="452"/>
      <c r="BZ4" s="452"/>
      <c r="CA4" s="452"/>
      <c r="CB4" s="452"/>
      <c r="CC4" s="452"/>
      <c r="CD4" s="452"/>
      <c r="CE4" s="452"/>
      <c r="CF4" s="452"/>
      <c r="CG4" s="452"/>
      <c r="CH4" s="452"/>
      <c r="CI4" s="452"/>
      <c r="CJ4" s="452"/>
      <c r="CK4" s="452"/>
      <c r="CL4" s="452"/>
      <c r="CM4" s="452"/>
      <c r="CN4" s="452"/>
      <c r="CO4" s="452"/>
      <c r="CP4" s="452"/>
      <c r="CQ4" s="452"/>
      <c r="CR4" s="452"/>
      <c r="CS4" s="452"/>
      <c r="CT4" s="452"/>
      <c r="CU4" s="452"/>
      <c r="CV4" s="452"/>
      <c r="CW4" s="452"/>
      <c r="CX4" s="452"/>
      <c r="CY4" s="452"/>
      <c r="CZ4" s="452"/>
      <c r="DA4" s="452"/>
      <c r="DB4" s="452"/>
      <c r="DC4" s="452"/>
      <c r="DD4" s="452"/>
      <c r="DE4" s="452"/>
      <c r="DF4" s="452"/>
      <c r="DG4" s="452"/>
      <c r="DH4" s="452"/>
      <c r="DI4" s="452"/>
      <c r="DJ4" s="452"/>
      <c r="DK4" s="452"/>
      <c r="DL4" s="452"/>
      <c r="DM4" s="452"/>
      <c r="DN4" s="452"/>
      <c r="DO4" s="452"/>
      <c r="DP4" s="452"/>
      <c r="DQ4" s="452"/>
      <c r="DR4" s="452"/>
      <c r="DS4" s="452"/>
      <c r="DT4" s="452"/>
      <c r="DU4" s="452"/>
      <c r="DV4" s="452"/>
      <c r="DW4" s="452"/>
      <c r="DX4" s="452"/>
      <c r="DY4" s="452"/>
      <c r="DZ4" s="452"/>
      <c r="EA4" s="452"/>
      <c r="EB4" s="452"/>
      <c r="EC4" s="452"/>
      <c r="ED4" s="452"/>
      <c r="EE4" s="452"/>
      <c r="EF4" s="452"/>
      <c r="EG4" s="452"/>
      <c r="EH4" s="452"/>
      <c r="EI4" s="452"/>
      <c r="EJ4" s="452"/>
      <c r="EK4" s="452"/>
      <c r="EL4" s="452"/>
      <c r="EM4" s="452"/>
      <c r="EN4" s="452"/>
      <c r="EO4" s="452"/>
      <c r="EP4" s="452"/>
      <c r="EQ4" s="452"/>
      <c r="ER4" s="452"/>
      <c r="ES4" s="452"/>
      <c r="ET4" s="452"/>
      <c r="EU4" s="452"/>
      <c r="EV4" s="452"/>
      <c r="EW4" s="452"/>
      <c r="EX4" s="452"/>
      <c r="EY4" s="452"/>
      <c r="EZ4" s="452"/>
      <c r="FA4" s="452"/>
      <c r="FB4" s="452"/>
      <c r="FC4" s="452"/>
      <c r="FD4" s="452"/>
      <c r="FE4" s="452"/>
      <c r="FF4" s="452"/>
      <c r="FG4" s="452"/>
      <c r="FH4" s="452"/>
      <c r="FI4" s="452"/>
      <c r="FJ4" s="452"/>
      <c r="FK4" s="452"/>
      <c r="FL4" s="452"/>
      <c r="FM4" s="452"/>
      <c r="FN4" s="452"/>
      <c r="FO4" s="452"/>
      <c r="FP4" s="452"/>
      <c r="FQ4" s="452"/>
      <c r="FR4" s="452"/>
      <c r="FS4" s="452"/>
      <c r="FT4" s="452"/>
      <c r="FU4" s="452"/>
      <c r="FV4" s="452"/>
      <c r="FW4" s="452"/>
      <c r="FX4" s="452"/>
      <c r="FY4" s="452"/>
      <c r="FZ4" s="452"/>
      <c r="GA4" s="452"/>
      <c r="GB4" s="452"/>
      <c r="GC4" s="452"/>
      <c r="GD4" s="452"/>
      <c r="GE4" s="452"/>
      <c r="GF4" s="452"/>
      <c r="GG4" s="452"/>
      <c r="GH4" s="452"/>
      <c r="GI4" s="452"/>
      <c r="GJ4" s="452"/>
      <c r="GK4" s="452"/>
      <c r="GL4" s="452"/>
      <c r="GM4" s="452"/>
      <c r="GN4" s="452"/>
      <c r="GO4" s="452"/>
      <c r="GP4" s="452"/>
      <c r="GQ4" s="452"/>
      <c r="GR4" s="452"/>
      <c r="GS4" s="452"/>
      <c r="GT4" s="452"/>
      <c r="GU4" s="452"/>
      <c r="GV4" s="452"/>
      <c r="GW4" s="452"/>
      <c r="GX4" s="452"/>
      <c r="GY4" s="452"/>
      <c r="GZ4" s="452"/>
      <c r="HA4" s="452"/>
      <c r="HB4" s="452"/>
      <c r="HC4" s="452"/>
      <c r="HD4" s="452"/>
      <c r="HE4" s="452"/>
      <c r="HF4" s="452"/>
      <c r="HG4" s="452"/>
      <c r="HH4" s="452"/>
      <c r="HI4" s="452"/>
      <c r="HJ4" s="452"/>
      <c r="HK4" s="452"/>
      <c r="HL4" s="452"/>
      <c r="HM4" s="452"/>
      <c r="HN4" s="452"/>
      <c r="HO4" s="452"/>
      <c r="HP4" s="452"/>
      <c r="HQ4" s="452"/>
      <c r="HR4" s="452"/>
      <c r="HS4" s="452"/>
      <c r="HT4" s="452"/>
      <c r="HU4" s="452"/>
      <c r="HV4" s="452"/>
      <c r="HW4" s="452"/>
      <c r="HX4" s="452"/>
      <c r="HY4" s="452"/>
      <c r="HZ4" s="452"/>
      <c r="IA4" s="452"/>
      <c r="IB4" s="452"/>
      <c r="IC4" s="452"/>
      <c r="ID4" s="452"/>
      <c r="IE4" s="452"/>
      <c r="IF4" s="452"/>
      <c r="IG4" s="452"/>
      <c r="IH4" s="452"/>
      <c r="II4" s="452"/>
      <c r="IJ4" s="452"/>
      <c r="IK4" s="452"/>
      <c r="IL4" s="452"/>
      <c r="IM4" s="452"/>
      <c r="IN4" s="452"/>
      <c r="IO4" s="452"/>
      <c r="IP4" s="452"/>
      <c r="IQ4" s="452"/>
      <c r="IR4" s="452"/>
      <c r="IS4" s="452"/>
      <c r="IT4" s="452"/>
      <c r="IU4" s="452"/>
      <c r="IV4" s="452"/>
    </row>
    <row r="5" spans="1:256" ht="18">
      <c r="A5" s="454" t="s">
        <v>1275</v>
      </c>
      <c r="B5" s="449"/>
      <c r="C5" s="449"/>
      <c r="D5" s="450"/>
      <c r="E5" s="450"/>
      <c r="F5" s="449"/>
      <c r="G5" s="449"/>
      <c r="H5" s="449"/>
      <c r="I5" s="449"/>
      <c r="J5" s="449"/>
      <c r="K5" s="449"/>
      <c r="L5" s="449"/>
      <c r="M5" s="450"/>
      <c r="N5" s="452"/>
      <c r="O5" s="452"/>
      <c r="P5" s="452"/>
      <c r="Q5" s="452"/>
      <c r="R5" s="452"/>
      <c r="S5" s="452"/>
      <c r="T5" s="452"/>
      <c r="U5" s="452"/>
      <c r="V5" s="452"/>
      <c r="W5" s="452"/>
      <c r="X5" s="452"/>
      <c r="Y5" s="452"/>
      <c r="Z5" s="452"/>
      <c r="AA5" s="452"/>
      <c r="AB5" s="452"/>
      <c r="AC5" s="452"/>
      <c r="AD5" s="452"/>
      <c r="AE5" s="452"/>
      <c r="AF5" s="452"/>
      <c r="AG5" s="452"/>
      <c r="AH5" s="452"/>
      <c r="AI5" s="452"/>
      <c r="AJ5" s="452"/>
      <c r="AK5" s="452"/>
      <c r="AL5" s="452"/>
      <c r="AM5" s="452"/>
      <c r="AN5" s="452"/>
      <c r="AO5" s="452"/>
      <c r="AP5" s="452"/>
      <c r="AQ5" s="452"/>
      <c r="AR5" s="452"/>
      <c r="AS5" s="452"/>
      <c r="AT5" s="452"/>
      <c r="AU5" s="452"/>
      <c r="AV5" s="452"/>
      <c r="AW5" s="452"/>
      <c r="AX5" s="452"/>
      <c r="AY5" s="452"/>
      <c r="AZ5" s="452"/>
      <c r="BA5" s="452"/>
      <c r="BB5" s="452"/>
      <c r="BC5" s="452"/>
      <c r="BD5" s="452"/>
      <c r="BE5" s="452"/>
      <c r="BF5" s="452"/>
      <c r="BG5" s="452"/>
      <c r="BH5" s="452"/>
      <c r="BI5" s="452"/>
      <c r="BJ5" s="452"/>
      <c r="BK5" s="452"/>
      <c r="BL5" s="452"/>
      <c r="BM5" s="452"/>
      <c r="BN5" s="452"/>
      <c r="BO5" s="452"/>
      <c r="BP5" s="452"/>
      <c r="BQ5" s="452"/>
      <c r="BR5" s="452"/>
      <c r="BS5" s="452"/>
      <c r="BT5" s="452"/>
      <c r="BU5" s="452"/>
      <c r="BV5" s="452"/>
      <c r="BW5" s="452"/>
      <c r="BX5" s="452"/>
      <c r="BY5" s="452"/>
      <c r="BZ5" s="452"/>
      <c r="CA5" s="452"/>
      <c r="CB5" s="452"/>
      <c r="CC5" s="452"/>
      <c r="CD5" s="452"/>
      <c r="CE5" s="452"/>
      <c r="CF5" s="452"/>
      <c r="CG5" s="452"/>
      <c r="CH5" s="452"/>
      <c r="CI5" s="452"/>
      <c r="CJ5" s="452"/>
      <c r="CK5" s="452"/>
      <c r="CL5" s="452"/>
      <c r="CM5" s="452"/>
      <c r="CN5" s="452"/>
      <c r="CO5" s="452"/>
      <c r="CP5" s="452"/>
      <c r="CQ5" s="452"/>
      <c r="CR5" s="452"/>
      <c r="CS5" s="452"/>
      <c r="CT5" s="452"/>
      <c r="CU5" s="452"/>
      <c r="CV5" s="452"/>
      <c r="CW5" s="452"/>
      <c r="CX5" s="452"/>
      <c r="CY5" s="452"/>
      <c r="CZ5" s="452"/>
      <c r="DA5" s="452"/>
      <c r="DB5" s="452"/>
      <c r="DC5" s="452"/>
      <c r="DD5" s="452"/>
      <c r="DE5" s="452"/>
      <c r="DF5" s="452"/>
      <c r="DG5" s="452"/>
      <c r="DH5" s="452"/>
      <c r="DI5" s="452"/>
      <c r="DJ5" s="452"/>
      <c r="DK5" s="452"/>
      <c r="DL5" s="452"/>
      <c r="DM5" s="452"/>
      <c r="DN5" s="452"/>
      <c r="DO5" s="452"/>
      <c r="DP5" s="452"/>
      <c r="DQ5" s="452"/>
      <c r="DR5" s="452"/>
      <c r="DS5" s="452"/>
      <c r="DT5" s="452"/>
      <c r="DU5" s="452"/>
      <c r="DV5" s="452"/>
      <c r="DW5" s="452"/>
      <c r="DX5" s="452"/>
      <c r="DY5" s="452"/>
      <c r="DZ5" s="452"/>
      <c r="EA5" s="452"/>
      <c r="EB5" s="452"/>
      <c r="EC5" s="452"/>
      <c r="ED5" s="452"/>
      <c r="EE5" s="452"/>
      <c r="EF5" s="452"/>
      <c r="EG5" s="452"/>
      <c r="EH5" s="452"/>
      <c r="EI5" s="452"/>
      <c r="EJ5" s="452"/>
      <c r="EK5" s="452"/>
      <c r="EL5" s="452"/>
      <c r="EM5" s="452"/>
      <c r="EN5" s="452"/>
      <c r="EO5" s="452"/>
      <c r="EP5" s="452"/>
      <c r="EQ5" s="452"/>
      <c r="ER5" s="452"/>
      <c r="ES5" s="452"/>
      <c r="ET5" s="452"/>
      <c r="EU5" s="452"/>
      <c r="EV5" s="452"/>
      <c r="EW5" s="452"/>
      <c r="EX5" s="452"/>
      <c r="EY5" s="452"/>
      <c r="EZ5" s="452"/>
      <c r="FA5" s="452"/>
      <c r="FB5" s="452"/>
      <c r="FC5" s="452"/>
      <c r="FD5" s="452"/>
      <c r="FE5" s="452"/>
      <c r="FF5" s="452"/>
      <c r="FG5" s="452"/>
      <c r="FH5" s="452"/>
      <c r="FI5" s="452"/>
      <c r="FJ5" s="452"/>
      <c r="FK5" s="452"/>
      <c r="FL5" s="452"/>
      <c r="FM5" s="452"/>
      <c r="FN5" s="452"/>
      <c r="FO5" s="452"/>
      <c r="FP5" s="452"/>
      <c r="FQ5" s="452"/>
      <c r="FR5" s="452"/>
      <c r="FS5" s="452"/>
      <c r="FT5" s="452"/>
      <c r="FU5" s="452"/>
      <c r="FV5" s="452"/>
      <c r="FW5" s="452"/>
      <c r="FX5" s="452"/>
      <c r="FY5" s="452"/>
      <c r="FZ5" s="452"/>
      <c r="GA5" s="452"/>
      <c r="GB5" s="452"/>
      <c r="GC5" s="452"/>
      <c r="GD5" s="452"/>
      <c r="GE5" s="452"/>
      <c r="GF5" s="452"/>
      <c r="GG5" s="452"/>
      <c r="GH5" s="452"/>
      <c r="GI5" s="452"/>
      <c r="GJ5" s="452"/>
      <c r="GK5" s="452"/>
      <c r="GL5" s="452"/>
      <c r="GM5" s="452"/>
      <c r="GN5" s="452"/>
      <c r="GO5" s="452"/>
      <c r="GP5" s="452"/>
      <c r="GQ5" s="452"/>
      <c r="GR5" s="452"/>
      <c r="GS5" s="452"/>
      <c r="GT5" s="452"/>
      <c r="GU5" s="452"/>
      <c r="GV5" s="452"/>
      <c r="GW5" s="452"/>
      <c r="GX5" s="452"/>
      <c r="GY5" s="452"/>
      <c r="GZ5" s="452"/>
      <c r="HA5" s="452"/>
      <c r="HB5" s="452"/>
      <c r="HC5" s="452"/>
      <c r="HD5" s="452"/>
      <c r="HE5" s="452"/>
      <c r="HF5" s="452"/>
      <c r="HG5" s="452"/>
      <c r="HH5" s="452"/>
      <c r="HI5" s="452"/>
      <c r="HJ5" s="452"/>
      <c r="HK5" s="452"/>
      <c r="HL5" s="452"/>
      <c r="HM5" s="452"/>
      <c r="HN5" s="452"/>
      <c r="HO5" s="452"/>
      <c r="HP5" s="452"/>
      <c r="HQ5" s="452"/>
      <c r="HR5" s="452"/>
      <c r="HS5" s="452"/>
      <c r="HT5" s="452"/>
      <c r="HU5" s="452"/>
      <c r="HV5" s="452"/>
      <c r="HW5" s="452"/>
      <c r="HX5" s="452"/>
      <c r="HY5" s="452"/>
      <c r="HZ5" s="452"/>
      <c r="IA5" s="452"/>
      <c r="IB5" s="452"/>
      <c r="IC5" s="452"/>
      <c r="ID5" s="452"/>
      <c r="IE5" s="452"/>
      <c r="IF5" s="452"/>
      <c r="IG5" s="452"/>
      <c r="IH5" s="452"/>
      <c r="II5" s="452"/>
      <c r="IJ5" s="452"/>
      <c r="IK5" s="452"/>
      <c r="IL5" s="452"/>
      <c r="IM5" s="452"/>
      <c r="IN5" s="452"/>
      <c r="IO5" s="452"/>
      <c r="IP5" s="452"/>
      <c r="IQ5" s="452"/>
      <c r="IR5" s="452"/>
      <c r="IS5" s="452"/>
      <c r="IT5" s="452"/>
      <c r="IU5" s="452"/>
      <c r="IV5" s="452"/>
    </row>
    <row r="6" spans="1:256" ht="18">
      <c r="A6" s="454" t="s">
        <v>1464</v>
      </c>
      <c r="B6" s="449"/>
      <c r="C6" s="449"/>
      <c r="D6" s="450"/>
      <c r="E6" s="450"/>
      <c r="F6" s="449"/>
      <c r="G6" s="449"/>
      <c r="H6" s="449"/>
      <c r="I6" s="449"/>
      <c r="J6" s="449"/>
      <c r="K6" s="449"/>
      <c r="L6" s="449"/>
      <c r="M6" s="450"/>
      <c r="N6" s="452"/>
      <c r="O6" s="452"/>
      <c r="P6" s="452"/>
      <c r="Q6" s="452"/>
      <c r="R6" s="452"/>
      <c r="S6" s="452"/>
      <c r="T6" s="452"/>
      <c r="U6" s="452"/>
      <c r="V6" s="452"/>
      <c r="W6" s="452"/>
      <c r="X6" s="452"/>
      <c r="Y6" s="452"/>
      <c r="Z6" s="452"/>
      <c r="AA6" s="452"/>
      <c r="AB6" s="452"/>
      <c r="AC6" s="452"/>
      <c r="AD6" s="452"/>
      <c r="AE6" s="452"/>
      <c r="AF6" s="452"/>
      <c r="AG6" s="452"/>
      <c r="AH6" s="452"/>
      <c r="AI6" s="452"/>
      <c r="AJ6" s="452"/>
      <c r="AK6" s="452"/>
      <c r="AL6" s="452"/>
      <c r="AM6" s="452"/>
      <c r="AN6" s="452"/>
      <c r="AO6" s="452"/>
      <c r="AP6" s="452"/>
      <c r="AQ6" s="452"/>
      <c r="AR6" s="452"/>
      <c r="AS6" s="452"/>
      <c r="AT6" s="452"/>
      <c r="AU6" s="452"/>
      <c r="AV6" s="452"/>
      <c r="AW6" s="452"/>
      <c r="AX6" s="452"/>
      <c r="AY6" s="452"/>
      <c r="AZ6" s="452"/>
      <c r="BA6" s="452"/>
      <c r="BB6" s="452"/>
      <c r="BC6" s="452"/>
      <c r="BD6" s="452"/>
      <c r="BE6" s="452"/>
      <c r="BF6" s="452"/>
      <c r="BG6" s="452"/>
      <c r="BH6" s="452"/>
      <c r="BI6" s="452"/>
      <c r="BJ6" s="452"/>
      <c r="BK6" s="452"/>
      <c r="BL6" s="452"/>
      <c r="BM6" s="452"/>
      <c r="BN6" s="452"/>
      <c r="BO6" s="452"/>
      <c r="BP6" s="452"/>
      <c r="BQ6" s="452"/>
      <c r="BR6" s="452"/>
      <c r="BS6" s="452"/>
      <c r="BT6" s="452"/>
      <c r="BU6" s="452"/>
      <c r="BV6" s="452"/>
      <c r="BW6" s="452"/>
      <c r="BX6" s="452"/>
      <c r="BY6" s="452"/>
      <c r="BZ6" s="452"/>
      <c r="CA6" s="452"/>
      <c r="CB6" s="452"/>
      <c r="CC6" s="452"/>
      <c r="CD6" s="452"/>
      <c r="CE6" s="452"/>
      <c r="CF6" s="452"/>
      <c r="CG6" s="452"/>
      <c r="CH6" s="452"/>
      <c r="CI6" s="452"/>
      <c r="CJ6" s="452"/>
      <c r="CK6" s="452"/>
      <c r="CL6" s="452"/>
      <c r="CM6" s="452"/>
      <c r="CN6" s="452"/>
      <c r="CO6" s="452"/>
      <c r="CP6" s="452"/>
      <c r="CQ6" s="452"/>
      <c r="CR6" s="452"/>
      <c r="CS6" s="452"/>
      <c r="CT6" s="452"/>
      <c r="CU6" s="452"/>
      <c r="CV6" s="452"/>
      <c r="CW6" s="452"/>
      <c r="CX6" s="452"/>
      <c r="CY6" s="452"/>
      <c r="CZ6" s="452"/>
      <c r="DA6" s="452"/>
      <c r="DB6" s="452"/>
      <c r="DC6" s="452"/>
      <c r="DD6" s="452"/>
      <c r="DE6" s="452"/>
      <c r="DF6" s="452"/>
      <c r="DG6" s="452"/>
      <c r="DH6" s="452"/>
      <c r="DI6" s="452"/>
      <c r="DJ6" s="452"/>
      <c r="DK6" s="452"/>
      <c r="DL6" s="452"/>
      <c r="DM6" s="452"/>
      <c r="DN6" s="452"/>
      <c r="DO6" s="452"/>
      <c r="DP6" s="452"/>
      <c r="DQ6" s="452"/>
      <c r="DR6" s="452"/>
      <c r="DS6" s="452"/>
      <c r="DT6" s="452"/>
      <c r="DU6" s="452"/>
      <c r="DV6" s="452"/>
      <c r="DW6" s="452"/>
      <c r="DX6" s="452"/>
      <c r="DY6" s="452"/>
      <c r="DZ6" s="452"/>
      <c r="EA6" s="452"/>
      <c r="EB6" s="452"/>
      <c r="EC6" s="452"/>
      <c r="ED6" s="452"/>
      <c r="EE6" s="452"/>
      <c r="EF6" s="452"/>
      <c r="EG6" s="452"/>
      <c r="EH6" s="452"/>
      <c r="EI6" s="452"/>
      <c r="EJ6" s="452"/>
      <c r="EK6" s="452"/>
      <c r="EL6" s="452"/>
      <c r="EM6" s="452"/>
      <c r="EN6" s="452"/>
      <c r="EO6" s="452"/>
      <c r="EP6" s="452"/>
      <c r="EQ6" s="452"/>
      <c r="ER6" s="452"/>
      <c r="ES6" s="452"/>
      <c r="ET6" s="452"/>
      <c r="EU6" s="452"/>
      <c r="EV6" s="452"/>
      <c r="EW6" s="452"/>
      <c r="EX6" s="452"/>
      <c r="EY6" s="452"/>
      <c r="EZ6" s="452"/>
      <c r="FA6" s="452"/>
      <c r="FB6" s="452"/>
      <c r="FC6" s="452"/>
      <c r="FD6" s="452"/>
      <c r="FE6" s="452"/>
      <c r="FF6" s="452"/>
      <c r="FG6" s="452"/>
      <c r="FH6" s="452"/>
      <c r="FI6" s="452"/>
      <c r="FJ6" s="452"/>
      <c r="FK6" s="452"/>
      <c r="FL6" s="452"/>
      <c r="FM6" s="452"/>
      <c r="FN6" s="452"/>
      <c r="FO6" s="452"/>
      <c r="FP6" s="452"/>
      <c r="FQ6" s="452"/>
      <c r="FR6" s="452"/>
      <c r="FS6" s="452"/>
      <c r="FT6" s="452"/>
      <c r="FU6" s="452"/>
      <c r="FV6" s="452"/>
      <c r="FW6" s="452"/>
      <c r="FX6" s="452"/>
      <c r="FY6" s="452"/>
      <c r="FZ6" s="452"/>
      <c r="GA6" s="452"/>
      <c r="GB6" s="452"/>
      <c r="GC6" s="452"/>
      <c r="GD6" s="452"/>
      <c r="GE6" s="452"/>
      <c r="GF6" s="452"/>
      <c r="GG6" s="452"/>
      <c r="GH6" s="452"/>
      <c r="GI6" s="452"/>
      <c r="GJ6" s="452"/>
      <c r="GK6" s="452"/>
      <c r="GL6" s="452"/>
      <c r="GM6" s="452"/>
      <c r="GN6" s="452"/>
      <c r="GO6" s="452"/>
      <c r="GP6" s="452"/>
      <c r="GQ6" s="452"/>
      <c r="GR6" s="452"/>
      <c r="GS6" s="452"/>
      <c r="GT6" s="452"/>
      <c r="GU6" s="452"/>
      <c r="GV6" s="452"/>
      <c r="GW6" s="452"/>
      <c r="GX6" s="452"/>
      <c r="GY6" s="452"/>
      <c r="GZ6" s="452"/>
      <c r="HA6" s="452"/>
      <c r="HB6" s="452"/>
      <c r="HC6" s="452"/>
      <c r="HD6" s="452"/>
      <c r="HE6" s="452"/>
      <c r="HF6" s="452"/>
      <c r="HG6" s="452"/>
      <c r="HH6" s="452"/>
      <c r="HI6" s="452"/>
      <c r="HJ6" s="452"/>
      <c r="HK6" s="452"/>
      <c r="HL6" s="452"/>
      <c r="HM6" s="452"/>
      <c r="HN6" s="452"/>
      <c r="HO6" s="452"/>
      <c r="HP6" s="452"/>
      <c r="HQ6" s="452"/>
      <c r="HR6" s="452"/>
      <c r="HS6" s="452"/>
      <c r="HT6" s="452"/>
      <c r="HU6" s="452"/>
      <c r="HV6" s="452"/>
      <c r="HW6" s="452"/>
      <c r="HX6" s="452"/>
      <c r="HY6" s="452"/>
      <c r="HZ6" s="452"/>
      <c r="IA6" s="452"/>
      <c r="IB6" s="452"/>
      <c r="IC6" s="452"/>
      <c r="ID6" s="452"/>
      <c r="IE6" s="452"/>
      <c r="IF6" s="452"/>
      <c r="IG6" s="452"/>
      <c r="IH6" s="452"/>
      <c r="II6" s="452"/>
      <c r="IJ6" s="452"/>
      <c r="IK6" s="452"/>
      <c r="IL6" s="452"/>
      <c r="IM6" s="452"/>
      <c r="IN6" s="452"/>
      <c r="IO6" s="452"/>
      <c r="IP6" s="452"/>
      <c r="IQ6" s="452"/>
      <c r="IR6" s="452"/>
      <c r="IS6" s="452"/>
      <c r="IT6" s="452"/>
      <c r="IU6" s="452"/>
      <c r="IV6" s="452"/>
    </row>
    <row r="7" spans="1:256" ht="18">
      <c r="A7" s="454" t="str">
        <f>'Sch 2 '!A8</f>
        <v>FOR THE MONTH OF JANUARY 2021</v>
      </c>
      <c r="B7" s="449"/>
      <c r="C7" s="449"/>
      <c r="D7" s="450"/>
      <c r="E7" s="450"/>
      <c r="F7" s="449"/>
      <c r="G7" s="449"/>
      <c r="H7" s="449"/>
      <c r="I7" s="449"/>
      <c r="J7" s="449"/>
      <c r="K7" s="449"/>
      <c r="L7" s="449"/>
      <c r="M7" s="450"/>
      <c r="N7" s="452"/>
      <c r="O7" s="452"/>
      <c r="P7" s="452"/>
      <c r="Q7" s="452"/>
      <c r="R7" s="452"/>
      <c r="S7" s="452"/>
      <c r="T7" s="452"/>
      <c r="U7" s="452"/>
      <c r="V7" s="452"/>
      <c r="W7" s="452"/>
      <c r="X7" s="452"/>
      <c r="Y7" s="452"/>
      <c r="Z7" s="452"/>
      <c r="AA7" s="452"/>
      <c r="AB7" s="452"/>
      <c r="AC7" s="452"/>
      <c r="AD7" s="452"/>
      <c r="AE7" s="452"/>
      <c r="AF7" s="452"/>
      <c r="AG7" s="452"/>
      <c r="AH7" s="452"/>
      <c r="AI7" s="452"/>
      <c r="AJ7" s="452"/>
      <c r="AK7" s="452"/>
      <c r="AL7" s="452"/>
      <c r="AM7" s="452"/>
      <c r="AN7" s="452"/>
      <c r="AO7" s="452"/>
      <c r="AP7" s="452"/>
      <c r="AQ7" s="452"/>
      <c r="AR7" s="452"/>
      <c r="AS7" s="452"/>
      <c r="AT7" s="452"/>
      <c r="AU7" s="452"/>
      <c r="AV7" s="452"/>
      <c r="AW7" s="452"/>
      <c r="AX7" s="452"/>
      <c r="AY7" s="452"/>
      <c r="AZ7" s="452"/>
      <c r="BA7" s="452"/>
      <c r="BB7" s="452"/>
      <c r="BC7" s="452"/>
      <c r="BD7" s="452"/>
      <c r="BE7" s="452"/>
      <c r="BF7" s="452"/>
      <c r="BG7" s="452"/>
      <c r="BH7" s="452"/>
      <c r="BI7" s="452"/>
      <c r="BJ7" s="452"/>
      <c r="BK7" s="452"/>
      <c r="BL7" s="452"/>
      <c r="BM7" s="452"/>
      <c r="BN7" s="452"/>
      <c r="BO7" s="452"/>
      <c r="BP7" s="452"/>
      <c r="BQ7" s="452"/>
      <c r="BR7" s="452"/>
      <c r="BS7" s="452"/>
      <c r="BT7" s="452"/>
      <c r="BU7" s="452"/>
      <c r="BV7" s="452"/>
      <c r="BW7" s="452"/>
      <c r="BX7" s="452"/>
      <c r="BY7" s="452"/>
      <c r="BZ7" s="452"/>
      <c r="CA7" s="452"/>
      <c r="CB7" s="452"/>
      <c r="CC7" s="452"/>
      <c r="CD7" s="452"/>
      <c r="CE7" s="452"/>
      <c r="CF7" s="452"/>
      <c r="CG7" s="452"/>
      <c r="CH7" s="452"/>
      <c r="CI7" s="452"/>
      <c r="CJ7" s="452"/>
      <c r="CK7" s="452"/>
      <c r="CL7" s="452"/>
      <c r="CM7" s="452"/>
      <c r="CN7" s="452"/>
      <c r="CO7" s="452"/>
      <c r="CP7" s="452"/>
      <c r="CQ7" s="452"/>
      <c r="CR7" s="452"/>
      <c r="CS7" s="452"/>
      <c r="CT7" s="452"/>
      <c r="CU7" s="452"/>
      <c r="CV7" s="452"/>
      <c r="CW7" s="452"/>
      <c r="CX7" s="452"/>
      <c r="CY7" s="452"/>
      <c r="CZ7" s="452"/>
      <c r="DA7" s="452"/>
      <c r="DB7" s="452"/>
      <c r="DC7" s="452"/>
      <c r="DD7" s="452"/>
      <c r="DE7" s="452"/>
      <c r="DF7" s="452"/>
      <c r="DG7" s="452"/>
      <c r="DH7" s="452"/>
      <c r="DI7" s="452"/>
      <c r="DJ7" s="452"/>
      <c r="DK7" s="452"/>
      <c r="DL7" s="452"/>
      <c r="DM7" s="452"/>
      <c r="DN7" s="452"/>
      <c r="DO7" s="452"/>
      <c r="DP7" s="452"/>
      <c r="DQ7" s="452"/>
      <c r="DR7" s="452"/>
      <c r="DS7" s="452"/>
      <c r="DT7" s="452"/>
      <c r="DU7" s="452"/>
      <c r="DV7" s="452"/>
      <c r="DW7" s="452"/>
      <c r="DX7" s="452"/>
      <c r="DY7" s="452"/>
      <c r="DZ7" s="452"/>
      <c r="EA7" s="452"/>
      <c r="EB7" s="452"/>
      <c r="EC7" s="452"/>
      <c r="ED7" s="452"/>
      <c r="EE7" s="452"/>
      <c r="EF7" s="452"/>
      <c r="EG7" s="452"/>
      <c r="EH7" s="452"/>
      <c r="EI7" s="452"/>
      <c r="EJ7" s="452"/>
      <c r="EK7" s="452"/>
      <c r="EL7" s="452"/>
      <c r="EM7" s="452"/>
      <c r="EN7" s="452"/>
      <c r="EO7" s="452"/>
      <c r="EP7" s="452"/>
      <c r="EQ7" s="452"/>
      <c r="ER7" s="452"/>
      <c r="ES7" s="452"/>
      <c r="ET7" s="452"/>
      <c r="EU7" s="452"/>
      <c r="EV7" s="452"/>
      <c r="EW7" s="452"/>
      <c r="EX7" s="452"/>
      <c r="EY7" s="452"/>
      <c r="EZ7" s="452"/>
      <c r="FA7" s="452"/>
      <c r="FB7" s="452"/>
      <c r="FC7" s="452"/>
      <c r="FD7" s="452"/>
      <c r="FE7" s="452"/>
      <c r="FF7" s="452"/>
      <c r="FG7" s="452"/>
      <c r="FH7" s="452"/>
      <c r="FI7" s="452"/>
      <c r="FJ7" s="452"/>
      <c r="FK7" s="452"/>
      <c r="FL7" s="452"/>
      <c r="FM7" s="452"/>
      <c r="FN7" s="452"/>
      <c r="FO7" s="452"/>
      <c r="FP7" s="452"/>
      <c r="FQ7" s="452"/>
      <c r="FR7" s="452"/>
      <c r="FS7" s="452"/>
      <c r="FT7" s="452"/>
      <c r="FU7" s="452"/>
      <c r="FV7" s="452"/>
      <c r="FW7" s="452"/>
      <c r="FX7" s="452"/>
      <c r="FY7" s="452"/>
      <c r="FZ7" s="452"/>
      <c r="GA7" s="452"/>
      <c r="GB7" s="452"/>
      <c r="GC7" s="452"/>
      <c r="GD7" s="452"/>
      <c r="GE7" s="452"/>
      <c r="GF7" s="452"/>
      <c r="GG7" s="452"/>
      <c r="GH7" s="452"/>
      <c r="GI7" s="452"/>
      <c r="GJ7" s="452"/>
      <c r="GK7" s="452"/>
      <c r="GL7" s="452"/>
      <c r="GM7" s="452"/>
      <c r="GN7" s="452"/>
      <c r="GO7" s="452"/>
      <c r="GP7" s="452"/>
      <c r="GQ7" s="452"/>
      <c r="GR7" s="452"/>
      <c r="GS7" s="452"/>
      <c r="GT7" s="452"/>
      <c r="GU7" s="452"/>
      <c r="GV7" s="452"/>
      <c r="GW7" s="452"/>
      <c r="GX7" s="452"/>
      <c r="GY7" s="452"/>
      <c r="GZ7" s="452"/>
      <c r="HA7" s="452"/>
      <c r="HB7" s="452"/>
      <c r="HC7" s="452"/>
      <c r="HD7" s="452"/>
      <c r="HE7" s="452"/>
      <c r="HF7" s="452"/>
      <c r="HG7" s="452"/>
      <c r="HH7" s="452"/>
      <c r="HI7" s="452"/>
      <c r="HJ7" s="452"/>
      <c r="HK7" s="452"/>
      <c r="HL7" s="452"/>
      <c r="HM7" s="452"/>
      <c r="HN7" s="452"/>
      <c r="HO7" s="452"/>
      <c r="HP7" s="452"/>
      <c r="HQ7" s="452"/>
      <c r="HR7" s="452"/>
      <c r="HS7" s="452"/>
      <c r="HT7" s="452"/>
      <c r="HU7" s="452"/>
      <c r="HV7" s="452"/>
      <c r="HW7" s="452"/>
      <c r="HX7" s="452"/>
      <c r="HY7" s="452"/>
      <c r="HZ7" s="452"/>
      <c r="IA7" s="452"/>
      <c r="IB7" s="452"/>
      <c r="IC7" s="452"/>
      <c r="ID7" s="452"/>
      <c r="IE7" s="452"/>
      <c r="IF7" s="452"/>
      <c r="IG7" s="452"/>
      <c r="IH7" s="452"/>
      <c r="II7" s="452"/>
      <c r="IJ7" s="452"/>
      <c r="IK7" s="452"/>
      <c r="IL7" s="452"/>
      <c r="IM7" s="452"/>
      <c r="IN7" s="452"/>
      <c r="IO7" s="452"/>
      <c r="IP7" s="452"/>
      <c r="IQ7" s="452"/>
      <c r="IR7" s="452"/>
      <c r="IS7" s="452"/>
      <c r="IT7" s="452"/>
      <c r="IU7" s="452"/>
      <c r="IV7" s="452"/>
    </row>
    <row r="8" spans="1:256" ht="18">
      <c r="A8" s="803" t="s">
        <v>1363</v>
      </c>
      <c r="B8" s="449"/>
      <c r="C8" s="449"/>
      <c r="D8" s="450"/>
      <c r="E8" s="450"/>
      <c r="F8" s="449"/>
      <c r="G8" s="449"/>
      <c r="H8" s="449"/>
      <c r="I8" s="449"/>
      <c r="J8" s="449"/>
      <c r="K8" s="449"/>
      <c r="L8" s="449"/>
      <c r="M8" s="450"/>
      <c r="N8" s="452"/>
      <c r="O8" s="452"/>
      <c r="P8" s="452"/>
      <c r="Q8" s="452"/>
      <c r="R8" s="452"/>
      <c r="S8" s="452"/>
      <c r="T8" s="452"/>
      <c r="U8" s="452"/>
      <c r="V8" s="452"/>
      <c r="W8" s="452"/>
      <c r="X8" s="452"/>
      <c r="Y8" s="452"/>
      <c r="Z8" s="452"/>
      <c r="AA8" s="452"/>
      <c r="AB8" s="452"/>
      <c r="AC8" s="452"/>
      <c r="AD8" s="452"/>
      <c r="AE8" s="452"/>
      <c r="AF8" s="452"/>
      <c r="AG8" s="452"/>
      <c r="AH8" s="452"/>
      <c r="AI8" s="452"/>
      <c r="AJ8" s="452"/>
      <c r="AK8" s="452"/>
      <c r="AL8" s="452"/>
      <c r="AM8" s="452"/>
      <c r="AN8" s="452"/>
      <c r="AO8" s="452"/>
      <c r="AP8" s="452"/>
      <c r="AQ8" s="452"/>
      <c r="AR8" s="452"/>
      <c r="AS8" s="452"/>
      <c r="AT8" s="452"/>
      <c r="AU8" s="452"/>
      <c r="AV8" s="452"/>
      <c r="AW8" s="452"/>
      <c r="AX8" s="452"/>
      <c r="AY8" s="452"/>
      <c r="AZ8" s="452"/>
      <c r="BA8" s="452"/>
      <c r="BB8" s="452"/>
      <c r="BC8" s="452"/>
      <c r="BD8" s="452"/>
      <c r="BE8" s="452"/>
      <c r="BF8" s="452"/>
      <c r="BG8" s="452"/>
      <c r="BH8" s="452"/>
      <c r="BI8" s="452"/>
      <c r="BJ8" s="452"/>
      <c r="BK8" s="452"/>
      <c r="BL8" s="452"/>
      <c r="BM8" s="452"/>
      <c r="BN8" s="452"/>
      <c r="BO8" s="452"/>
      <c r="BP8" s="452"/>
      <c r="BQ8" s="452"/>
      <c r="BR8" s="452"/>
      <c r="BS8" s="452"/>
      <c r="BT8" s="452"/>
      <c r="BU8" s="452"/>
      <c r="BV8" s="452"/>
      <c r="BW8" s="452"/>
      <c r="BX8" s="452"/>
      <c r="BY8" s="452"/>
      <c r="BZ8" s="452"/>
      <c r="CA8" s="452"/>
      <c r="CB8" s="452"/>
      <c r="CC8" s="452"/>
      <c r="CD8" s="452"/>
      <c r="CE8" s="452"/>
      <c r="CF8" s="452"/>
      <c r="CG8" s="452"/>
      <c r="CH8" s="452"/>
      <c r="CI8" s="452"/>
      <c r="CJ8" s="452"/>
      <c r="CK8" s="452"/>
      <c r="CL8" s="452"/>
      <c r="CM8" s="452"/>
      <c r="CN8" s="452"/>
      <c r="CO8" s="452"/>
      <c r="CP8" s="452"/>
      <c r="CQ8" s="452"/>
      <c r="CR8" s="452"/>
      <c r="CS8" s="452"/>
      <c r="CT8" s="452"/>
      <c r="CU8" s="452"/>
      <c r="CV8" s="452"/>
      <c r="CW8" s="452"/>
      <c r="CX8" s="452"/>
      <c r="CY8" s="452"/>
      <c r="CZ8" s="452"/>
      <c r="DA8" s="452"/>
      <c r="DB8" s="452"/>
      <c r="DC8" s="452"/>
      <c r="DD8" s="452"/>
      <c r="DE8" s="452"/>
      <c r="DF8" s="452"/>
      <c r="DG8" s="452"/>
      <c r="DH8" s="452"/>
      <c r="DI8" s="452"/>
      <c r="DJ8" s="452"/>
      <c r="DK8" s="452"/>
      <c r="DL8" s="452"/>
      <c r="DM8" s="452"/>
      <c r="DN8" s="452"/>
      <c r="DO8" s="452"/>
      <c r="DP8" s="452"/>
      <c r="DQ8" s="452"/>
      <c r="DR8" s="452"/>
      <c r="DS8" s="452"/>
      <c r="DT8" s="452"/>
      <c r="DU8" s="452"/>
      <c r="DV8" s="452"/>
      <c r="DW8" s="452"/>
      <c r="DX8" s="452"/>
      <c r="DY8" s="452"/>
      <c r="DZ8" s="452"/>
      <c r="EA8" s="452"/>
      <c r="EB8" s="452"/>
      <c r="EC8" s="452"/>
      <c r="ED8" s="452"/>
      <c r="EE8" s="452"/>
      <c r="EF8" s="452"/>
      <c r="EG8" s="452"/>
      <c r="EH8" s="452"/>
      <c r="EI8" s="452"/>
      <c r="EJ8" s="452"/>
      <c r="EK8" s="452"/>
      <c r="EL8" s="452"/>
      <c r="EM8" s="452"/>
      <c r="EN8" s="452"/>
      <c r="EO8" s="452"/>
      <c r="EP8" s="452"/>
      <c r="EQ8" s="452"/>
      <c r="ER8" s="452"/>
      <c r="ES8" s="452"/>
      <c r="ET8" s="452"/>
      <c r="EU8" s="452"/>
      <c r="EV8" s="452"/>
      <c r="EW8" s="452"/>
      <c r="EX8" s="452"/>
      <c r="EY8" s="452"/>
      <c r="EZ8" s="452"/>
      <c r="FA8" s="452"/>
      <c r="FB8" s="452"/>
      <c r="FC8" s="452"/>
      <c r="FD8" s="452"/>
      <c r="FE8" s="452"/>
      <c r="FF8" s="452"/>
      <c r="FG8" s="452"/>
      <c r="FH8" s="452"/>
      <c r="FI8" s="452"/>
      <c r="FJ8" s="452"/>
      <c r="FK8" s="452"/>
      <c r="FL8" s="452"/>
      <c r="FM8" s="452"/>
      <c r="FN8" s="452"/>
      <c r="FO8" s="452"/>
      <c r="FP8" s="452"/>
      <c r="FQ8" s="452"/>
      <c r="FR8" s="452"/>
      <c r="FS8" s="452"/>
      <c r="FT8" s="452"/>
      <c r="FU8" s="452"/>
      <c r="FV8" s="452"/>
      <c r="FW8" s="452"/>
      <c r="FX8" s="452"/>
      <c r="FY8" s="452"/>
      <c r="FZ8" s="452"/>
      <c r="GA8" s="452"/>
      <c r="GB8" s="452"/>
      <c r="GC8" s="452"/>
      <c r="GD8" s="452"/>
      <c r="GE8" s="452"/>
      <c r="GF8" s="452"/>
      <c r="GG8" s="452"/>
      <c r="GH8" s="452"/>
      <c r="GI8" s="452"/>
      <c r="GJ8" s="452"/>
      <c r="GK8" s="452"/>
      <c r="GL8" s="452"/>
      <c r="GM8" s="452"/>
      <c r="GN8" s="452"/>
      <c r="GO8" s="452"/>
      <c r="GP8" s="452"/>
      <c r="GQ8" s="452"/>
      <c r="GR8" s="452"/>
      <c r="GS8" s="452"/>
      <c r="GT8" s="452"/>
      <c r="GU8" s="452"/>
      <c r="GV8" s="452"/>
      <c r="GW8" s="452"/>
      <c r="GX8" s="452"/>
      <c r="GY8" s="452"/>
      <c r="GZ8" s="452"/>
      <c r="HA8" s="452"/>
      <c r="HB8" s="452"/>
      <c r="HC8" s="452"/>
      <c r="HD8" s="452"/>
      <c r="HE8" s="452"/>
      <c r="HF8" s="452"/>
      <c r="HG8" s="452"/>
      <c r="HH8" s="452"/>
      <c r="HI8" s="452"/>
      <c r="HJ8" s="452"/>
      <c r="HK8" s="452"/>
      <c r="HL8" s="452"/>
      <c r="HM8" s="452"/>
      <c r="HN8" s="452"/>
      <c r="HO8" s="452"/>
      <c r="HP8" s="452"/>
      <c r="HQ8" s="452"/>
      <c r="HR8" s="452"/>
      <c r="HS8" s="452"/>
      <c r="HT8" s="452"/>
      <c r="HU8" s="452"/>
      <c r="HV8" s="452"/>
      <c r="HW8" s="452"/>
      <c r="HX8" s="452"/>
      <c r="HY8" s="452"/>
      <c r="HZ8" s="452"/>
      <c r="IA8" s="452"/>
      <c r="IB8" s="452"/>
      <c r="IC8" s="452"/>
      <c r="ID8" s="452"/>
      <c r="IE8" s="452"/>
      <c r="IF8" s="452"/>
      <c r="IG8" s="452"/>
      <c r="IH8" s="452"/>
      <c r="II8" s="452"/>
      <c r="IJ8" s="452"/>
      <c r="IK8" s="452"/>
      <c r="IL8" s="452"/>
      <c r="IM8" s="452"/>
      <c r="IN8" s="452"/>
      <c r="IO8" s="452"/>
      <c r="IP8" s="452"/>
      <c r="IQ8" s="452"/>
      <c r="IR8" s="452"/>
      <c r="IS8" s="452"/>
      <c r="IT8" s="452"/>
      <c r="IU8" s="452"/>
      <c r="IV8" s="452"/>
    </row>
    <row r="9" spans="1:256" ht="18">
      <c r="A9" s="448"/>
      <c r="B9" s="448"/>
      <c r="C9" s="448"/>
      <c r="D9" s="692"/>
      <c r="E9" s="448"/>
      <c r="F9" s="448"/>
      <c r="G9" s="448"/>
      <c r="H9" s="448"/>
      <c r="I9" s="448"/>
      <c r="J9" s="692" t="s">
        <v>354</v>
      </c>
      <c r="K9" s="448"/>
      <c r="L9" s="692"/>
      <c r="M9" s="450"/>
      <c r="N9" s="452"/>
      <c r="O9" s="452"/>
      <c r="P9" s="452"/>
      <c r="Q9" s="452"/>
      <c r="R9" s="452"/>
      <c r="S9" s="452"/>
      <c r="T9" s="452"/>
      <c r="U9" s="452"/>
      <c r="V9" s="452"/>
      <c r="W9" s="452"/>
      <c r="X9" s="452"/>
      <c r="Y9" s="452"/>
      <c r="Z9" s="452"/>
      <c r="AA9" s="452"/>
      <c r="AB9" s="452"/>
      <c r="AC9" s="452"/>
      <c r="AD9" s="452"/>
      <c r="AE9" s="452"/>
      <c r="AF9" s="452"/>
      <c r="AG9" s="452"/>
      <c r="AH9" s="452"/>
      <c r="AI9" s="452"/>
      <c r="AJ9" s="452"/>
      <c r="AK9" s="452"/>
      <c r="AL9" s="452"/>
      <c r="AM9" s="452"/>
      <c r="AN9" s="452"/>
      <c r="AO9" s="452"/>
      <c r="AP9" s="452"/>
      <c r="AQ9" s="452"/>
      <c r="AR9" s="452"/>
      <c r="AS9" s="452"/>
      <c r="AT9" s="452"/>
      <c r="AU9" s="452"/>
      <c r="AV9" s="452"/>
      <c r="AW9" s="452"/>
      <c r="AX9" s="452"/>
      <c r="AY9" s="452"/>
      <c r="AZ9" s="452"/>
      <c r="BA9" s="452"/>
      <c r="BB9" s="452"/>
      <c r="BC9" s="452"/>
      <c r="BD9" s="452"/>
      <c r="BE9" s="452"/>
      <c r="BF9" s="452"/>
      <c r="BG9" s="452"/>
      <c r="BH9" s="452"/>
      <c r="BI9" s="452"/>
      <c r="BJ9" s="452"/>
      <c r="BK9" s="452"/>
      <c r="BL9" s="452"/>
      <c r="BM9" s="452"/>
      <c r="BN9" s="452"/>
      <c r="BO9" s="452"/>
      <c r="BP9" s="452"/>
      <c r="BQ9" s="452"/>
      <c r="BR9" s="452"/>
      <c r="BS9" s="452"/>
      <c r="BT9" s="452"/>
      <c r="BU9" s="452"/>
      <c r="BV9" s="452"/>
      <c r="BW9" s="452"/>
      <c r="BX9" s="452"/>
      <c r="BY9" s="452"/>
      <c r="BZ9" s="452"/>
      <c r="CA9" s="452"/>
      <c r="CB9" s="452"/>
      <c r="CC9" s="452"/>
      <c r="CD9" s="452"/>
      <c r="CE9" s="452"/>
      <c r="CF9" s="452"/>
      <c r="CG9" s="452"/>
      <c r="CH9" s="452"/>
      <c r="CI9" s="452"/>
      <c r="CJ9" s="452"/>
      <c r="CK9" s="452"/>
      <c r="CL9" s="452"/>
      <c r="CM9" s="452"/>
      <c r="CN9" s="452"/>
      <c r="CO9" s="452"/>
      <c r="CP9" s="452"/>
      <c r="CQ9" s="452"/>
      <c r="CR9" s="452"/>
      <c r="CS9" s="452"/>
      <c r="CT9" s="452"/>
      <c r="CU9" s="452"/>
      <c r="CV9" s="452"/>
      <c r="CW9" s="452"/>
      <c r="CX9" s="452"/>
      <c r="CY9" s="452"/>
      <c r="CZ9" s="452"/>
      <c r="DA9" s="452"/>
      <c r="DB9" s="452"/>
      <c r="DC9" s="452"/>
      <c r="DD9" s="452"/>
      <c r="DE9" s="452"/>
      <c r="DF9" s="452"/>
      <c r="DG9" s="452"/>
      <c r="DH9" s="452"/>
      <c r="DI9" s="452"/>
      <c r="DJ9" s="452"/>
      <c r="DK9" s="452"/>
      <c r="DL9" s="452"/>
      <c r="DM9" s="452"/>
      <c r="DN9" s="452"/>
      <c r="DO9" s="452"/>
      <c r="DP9" s="452"/>
      <c r="DQ9" s="452"/>
      <c r="DR9" s="452"/>
      <c r="DS9" s="452"/>
      <c r="DT9" s="452"/>
      <c r="DU9" s="452"/>
      <c r="DV9" s="452"/>
      <c r="DW9" s="452"/>
      <c r="DX9" s="452"/>
      <c r="DY9" s="452"/>
      <c r="DZ9" s="452"/>
      <c r="EA9" s="452"/>
      <c r="EB9" s="452"/>
      <c r="EC9" s="452"/>
      <c r="ED9" s="452"/>
      <c r="EE9" s="452"/>
      <c r="EF9" s="452"/>
      <c r="EG9" s="452"/>
      <c r="EH9" s="452"/>
      <c r="EI9" s="452"/>
      <c r="EJ9" s="452"/>
      <c r="EK9" s="452"/>
      <c r="EL9" s="452"/>
      <c r="EM9" s="452"/>
      <c r="EN9" s="452"/>
      <c r="EO9" s="452"/>
      <c r="EP9" s="452"/>
      <c r="EQ9" s="452"/>
      <c r="ER9" s="452"/>
      <c r="ES9" s="452"/>
      <c r="ET9" s="452"/>
      <c r="EU9" s="452"/>
      <c r="EV9" s="452"/>
      <c r="EW9" s="452"/>
      <c r="EX9" s="452"/>
      <c r="EY9" s="452"/>
      <c r="EZ9" s="452"/>
      <c r="FA9" s="452"/>
      <c r="FB9" s="452"/>
      <c r="FC9" s="452"/>
      <c r="FD9" s="452"/>
      <c r="FE9" s="452"/>
      <c r="FF9" s="452"/>
      <c r="FG9" s="452"/>
      <c r="FH9" s="452"/>
      <c r="FI9" s="452"/>
      <c r="FJ9" s="452"/>
      <c r="FK9" s="452"/>
      <c r="FL9" s="452"/>
      <c r="FM9" s="452"/>
      <c r="FN9" s="452"/>
      <c r="FO9" s="452"/>
      <c r="FP9" s="452"/>
      <c r="FQ9" s="452"/>
      <c r="FR9" s="452"/>
      <c r="FS9" s="452"/>
      <c r="FT9" s="452"/>
      <c r="FU9" s="452"/>
      <c r="FV9" s="452"/>
      <c r="FW9" s="452"/>
      <c r="FX9" s="452"/>
      <c r="FY9" s="452"/>
      <c r="FZ9" s="452"/>
      <c r="GA9" s="452"/>
      <c r="GB9" s="452"/>
      <c r="GC9" s="452"/>
      <c r="GD9" s="452"/>
      <c r="GE9" s="452"/>
      <c r="GF9" s="452"/>
      <c r="GG9" s="452"/>
      <c r="GH9" s="452"/>
      <c r="GI9" s="452"/>
      <c r="GJ9" s="452"/>
      <c r="GK9" s="452"/>
      <c r="GL9" s="452"/>
      <c r="GM9" s="452"/>
      <c r="GN9" s="452"/>
      <c r="GO9" s="452"/>
      <c r="GP9" s="452"/>
      <c r="GQ9" s="452"/>
      <c r="GR9" s="452"/>
      <c r="GS9" s="452"/>
      <c r="GT9" s="452"/>
      <c r="GU9" s="452"/>
      <c r="GV9" s="452"/>
      <c r="GW9" s="452"/>
      <c r="GX9" s="452"/>
      <c r="GY9" s="452"/>
      <c r="GZ9" s="452"/>
      <c r="HA9" s="452"/>
      <c r="HB9" s="452"/>
      <c r="HC9" s="452"/>
      <c r="HD9" s="452"/>
      <c r="HE9" s="452"/>
      <c r="HF9" s="452"/>
      <c r="HG9" s="452"/>
      <c r="HH9" s="452"/>
      <c r="HI9" s="452"/>
      <c r="HJ9" s="452"/>
      <c r="HK9" s="452"/>
      <c r="HL9" s="452"/>
      <c r="HM9" s="452"/>
      <c r="HN9" s="452"/>
      <c r="HO9" s="452"/>
      <c r="HP9" s="452"/>
      <c r="HQ9" s="452"/>
      <c r="HR9" s="452"/>
      <c r="HS9" s="452"/>
      <c r="HT9" s="452"/>
      <c r="HU9" s="452"/>
      <c r="HV9" s="452"/>
      <c r="HW9" s="452"/>
      <c r="HX9" s="452"/>
      <c r="HY9" s="452"/>
      <c r="HZ9" s="452"/>
      <c r="IA9" s="452"/>
      <c r="IB9" s="452"/>
      <c r="IC9" s="452"/>
      <c r="ID9" s="452"/>
      <c r="IE9" s="452"/>
      <c r="IF9" s="452"/>
      <c r="IG9" s="452"/>
      <c r="IH9" s="452"/>
      <c r="II9" s="452"/>
      <c r="IJ9" s="452"/>
      <c r="IK9" s="452"/>
      <c r="IL9" s="452"/>
      <c r="IM9" s="452"/>
      <c r="IN9" s="452"/>
      <c r="IO9" s="452"/>
      <c r="IP9" s="452"/>
      <c r="IQ9" s="452"/>
      <c r="IR9" s="452"/>
      <c r="IS9" s="452"/>
      <c r="IT9" s="452"/>
      <c r="IU9" s="452"/>
      <c r="IV9" s="452"/>
    </row>
    <row r="10" spans="1:256" ht="18">
      <c r="A10" s="448"/>
      <c r="B10" s="448"/>
      <c r="C10" s="448"/>
      <c r="D10" s="692" t="s">
        <v>233</v>
      </c>
      <c r="E10" s="448"/>
      <c r="F10" s="448"/>
      <c r="G10" s="448"/>
      <c r="H10" s="448"/>
      <c r="I10" s="448"/>
      <c r="J10" s="692" t="s">
        <v>355</v>
      </c>
      <c r="K10" s="448"/>
      <c r="L10" s="692" t="s">
        <v>233</v>
      </c>
      <c r="M10" s="450"/>
      <c r="N10" s="452"/>
      <c r="O10" s="452"/>
      <c r="P10" s="452"/>
      <c r="Q10" s="452"/>
      <c r="R10" s="452"/>
      <c r="S10" s="452"/>
      <c r="T10" s="452"/>
      <c r="U10" s="452"/>
      <c r="V10" s="452"/>
      <c r="W10" s="452"/>
      <c r="X10" s="452"/>
      <c r="Y10" s="452"/>
      <c r="Z10" s="452"/>
      <c r="AA10" s="452"/>
      <c r="AB10" s="452"/>
      <c r="AC10" s="452"/>
      <c r="AD10" s="452"/>
      <c r="AE10" s="452"/>
      <c r="AF10" s="452"/>
      <c r="AG10" s="452"/>
      <c r="AH10" s="452"/>
      <c r="AI10" s="452"/>
      <c r="AJ10" s="452"/>
      <c r="AK10" s="452"/>
      <c r="AL10" s="452"/>
      <c r="AM10" s="452"/>
      <c r="AN10" s="452"/>
      <c r="AO10" s="452"/>
      <c r="AP10" s="452"/>
      <c r="AQ10" s="452"/>
      <c r="AR10" s="452"/>
      <c r="AS10" s="452"/>
      <c r="AT10" s="452"/>
      <c r="AU10" s="452"/>
      <c r="AV10" s="452"/>
      <c r="AW10" s="452"/>
      <c r="AX10" s="452"/>
      <c r="AY10" s="452"/>
      <c r="AZ10" s="452"/>
      <c r="BA10" s="452"/>
      <c r="BB10" s="452"/>
      <c r="BC10" s="452"/>
      <c r="BD10" s="452"/>
      <c r="BE10" s="452"/>
      <c r="BF10" s="452"/>
      <c r="BG10" s="452"/>
      <c r="BH10" s="452"/>
      <c r="BI10" s="452"/>
      <c r="BJ10" s="452"/>
      <c r="BK10" s="452"/>
      <c r="BL10" s="452"/>
      <c r="BM10" s="452"/>
      <c r="BN10" s="452"/>
      <c r="BO10" s="452"/>
      <c r="BP10" s="452"/>
      <c r="BQ10" s="452"/>
      <c r="BR10" s="452"/>
      <c r="BS10" s="452"/>
      <c r="BT10" s="452"/>
      <c r="BU10" s="452"/>
      <c r="BV10" s="452"/>
      <c r="BW10" s="452"/>
      <c r="BX10" s="452"/>
      <c r="BY10" s="452"/>
      <c r="BZ10" s="452"/>
      <c r="CA10" s="452"/>
      <c r="CB10" s="452"/>
      <c r="CC10" s="452"/>
      <c r="CD10" s="452"/>
      <c r="CE10" s="452"/>
      <c r="CF10" s="452"/>
      <c r="CG10" s="452"/>
      <c r="CH10" s="452"/>
      <c r="CI10" s="452"/>
      <c r="CJ10" s="452"/>
      <c r="CK10" s="452"/>
      <c r="CL10" s="452"/>
      <c r="CM10" s="452"/>
      <c r="CN10" s="452"/>
      <c r="CO10" s="452"/>
      <c r="CP10" s="452"/>
      <c r="CQ10" s="452"/>
      <c r="CR10" s="452"/>
      <c r="CS10" s="452"/>
      <c r="CT10" s="452"/>
      <c r="CU10" s="452"/>
      <c r="CV10" s="452"/>
      <c r="CW10" s="452"/>
      <c r="CX10" s="452"/>
      <c r="CY10" s="452"/>
      <c r="CZ10" s="452"/>
      <c r="DA10" s="452"/>
      <c r="DB10" s="452"/>
      <c r="DC10" s="452"/>
      <c r="DD10" s="452"/>
      <c r="DE10" s="452"/>
      <c r="DF10" s="452"/>
      <c r="DG10" s="452"/>
      <c r="DH10" s="452"/>
      <c r="DI10" s="452"/>
      <c r="DJ10" s="452"/>
      <c r="DK10" s="452"/>
      <c r="DL10" s="452"/>
      <c r="DM10" s="452"/>
      <c r="DN10" s="452"/>
      <c r="DO10" s="452"/>
      <c r="DP10" s="452"/>
      <c r="DQ10" s="452"/>
      <c r="DR10" s="452"/>
      <c r="DS10" s="452"/>
      <c r="DT10" s="452"/>
      <c r="DU10" s="452"/>
      <c r="DV10" s="452"/>
      <c r="DW10" s="452"/>
      <c r="DX10" s="452"/>
      <c r="DY10" s="452"/>
      <c r="DZ10" s="452"/>
      <c r="EA10" s="452"/>
      <c r="EB10" s="452"/>
      <c r="EC10" s="452"/>
      <c r="ED10" s="452"/>
      <c r="EE10" s="452"/>
      <c r="EF10" s="452"/>
      <c r="EG10" s="452"/>
      <c r="EH10" s="452"/>
      <c r="EI10" s="452"/>
      <c r="EJ10" s="452"/>
      <c r="EK10" s="452"/>
      <c r="EL10" s="452"/>
      <c r="EM10" s="452"/>
      <c r="EN10" s="452"/>
      <c r="EO10" s="452"/>
      <c r="EP10" s="452"/>
      <c r="EQ10" s="452"/>
      <c r="ER10" s="452"/>
      <c r="ES10" s="452"/>
      <c r="ET10" s="452"/>
      <c r="EU10" s="452"/>
      <c r="EV10" s="452"/>
      <c r="EW10" s="452"/>
      <c r="EX10" s="452"/>
      <c r="EY10" s="452"/>
      <c r="EZ10" s="452"/>
      <c r="FA10" s="452"/>
      <c r="FB10" s="452"/>
      <c r="FC10" s="452"/>
      <c r="FD10" s="452"/>
      <c r="FE10" s="452"/>
      <c r="FF10" s="452"/>
      <c r="FG10" s="452"/>
      <c r="FH10" s="452"/>
      <c r="FI10" s="452"/>
      <c r="FJ10" s="452"/>
      <c r="FK10" s="452"/>
      <c r="FL10" s="452"/>
      <c r="FM10" s="452"/>
      <c r="FN10" s="452"/>
      <c r="FO10" s="452"/>
      <c r="FP10" s="452"/>
      <c r="FQ10" s="452"/>
      <c r="FR10" s="452"/>
      <c r="FS10" s="452"/>
      <c r="FT10" s="452"/>
      <c r="FU10" s="452"/>
      <c r="FV10" s="452"/>
      <c r="FW10" s="452"/>
      <c r="FX10" s="452"/>
      <c r="FY10" s="452"/>
      <c r="FZ10" s="452"/>
      <c r="GA10" s="452"/>
      <c r="GB10" s="452"/>
      <c r="GC10" s="452"/>
      <c r="GD10" s="452"/>
      <c r="GE10" s="452"/>
      <c r="GF10" s="452"/>
      <c r="GG10" s="452"/>
      <c r="GH10" s="452"/>
      <c r="GI10" s="452"/>
      <c r="GJ10" s="452"/>
      <c r="GK10" s="452"/>
      <c r="GL10" s="452"/>
      <c r="GM10" s="452"/>
      <c r="GN10" s="452"/>
      <c r="GO10" s="452"/>
      <c r="GP10" s="452"/>
      <c r="GQ10" s="452"/>
      <c r="GR10" s="452"/>
      <c r="GS10" s="452"/>
      <c r="GT10" s="452"/>
      <c r="GU10" s="452"/>
      <c r="GV10" s="452"/>
      <c r="GW10" s="452"/>
      <c r="GX10" s="452"/>
      <c r="GY10" s="452"/>
      <c r="GZ10" s="452"/>
      <c r="HA10" s="452"/>
      <c r="HB10" s="452"/>
      <c r="HC10" s="452"/>
      <c r="HD10" s="452"/>
      <c r="HE10" s="452"/>
      <c r="HF10" s="452"/>
      <c r="HG10" s="452"/>
      <c r="HH10" s="452"/>
      <c r="HI10" s="452"/>
      <c r="HJ10" s="452"/>
      <c r="HK10" s="452"/>
      <c r="HL10" s="452"/>
      <c r="HM10" s="452"/>
      <c r="HN10" s="452"/>
      <c r="HO10" s="452"/>
      <c r="HP10" s="452"/>
      <c r="HQ10" s="452"/>
      <c r="HR10" s="452"/>
      <c r="HS10" s="452"/>
      <c r="HT10" s="452"/>
      <c r="HU10" s="452"/>
      <c r="HV10" s="452"/>
      <c r="HW10" s="452"/>
      <c r="HX10" s="452"/>
      <c r="HY10" s="452"/>
      <c r="HZ10" s="452"/>
      <c r="IA10" s="452"/>
      <c r="IB10" s="452"/>
      <c r="IC10" s="452"/>
      <c r="ID10" s="452"/>
      <c r="IE10" s="452"/>
      <c r="IF10" s="452"/>
      <c r="IG10" s="452"/>
      <c r="IH10" s="452"/>
      <c r="II10" s="452"/>
      <c r="IJ10" s="452"/>
      <c r="IK10" s="452"/>
      <c r="IL10" s="452"/>
      <c r="IM10" s="452"/>
      <c r="IN10" s="452"/>
      <c r="IO10" s="452"/>
      <c r="IP10" s="452"/>
      <c r="IQ10" s="452"/>
      <c r="IR10" s="452"/>
      <c r="IS10" s="452"/>
      <c r="IT10" s="452"/>
      <c r="IU10" s="452"/>
      <c r="IV10" s="452"/>
    </row>
    <row r="11" spans="1:256" ht="18">
      <c r="A11" s="468" t="s">
        <v>356</v>
      </c>
      <c r="B11" s="448"/>
      <c r="C11" s="448"/>
      <c r="D11" s="906" t="str">
        <f>'Sch 1 '!C11</f>
        <v>JANUARY 1, 2021</v>
      </c>
      <c r="E11" s="448"/>
      <c r="F11" s="692" t="s">
        <v>235</v>
      </c>
      <c r="G11" s="448"/>
      <c r="H11" s="692" t="s">
        <v>236</v>
      </c>
      <c r="I11" s="448"/>
      <c r="J11" s="692" t="s">
        <v>237</v>
      </c>
      <c r="K11" s="448"/>
      <c r="L11" s="906" t="str">
        <f>'Sch 1 '!K11</f>
        <v>JANUARY 31, 2021</v>
      </c>
      <c r="M11" s="450"/>
      <c r="N11" s="452"/>
      <c r="O11" s="452"/>
      <c r="P11" s="452"/>
      <c r="Q11" s="452"/>
      <c r="R11" s="452"/>
      <c r="S11" s="452"/>
      <c r="T11" s="452"/>
      <c r="U11" s="452"/>
      <c r="V11" s="452"/>
      <c r="W11" s="452"/>
      <c r="X11" s="452"/>
      <c r="Y11" s="452"/>
      <c r="Z11" s="452"/>
      <c r="AA11" s="452"/>
      <c r="AB11" s="452"/>
      <c r="AC11" s="452"/>
      <c r="AD11" s="452"/>
      <c r="AE11" s="452"/>
      <c r="AF11" s="452"/>
      <c r="AG11" s="452"/>
      <c r="AH11" s="452"/>
      <c r="AI11" s="452"/>
      <c r="AJ11" s="452"/>
      <c r="AK11" s="452"/>
      <c r="AL11" s="452"/>
      <c r="AM11" s="452"/>
      <c r="AN11" s="452"/>
      <c r="AO11" s="452"/>
      <c r="AP11" s="452"/>
      <c r="AQ11" s="452"/>
      <c r="AR11" s="452"/>
      <c r="AS11" s="452"/>
      <c r="AT11" s="452"/>
      <c r="AU11" s="452"/>
      <c r="AV11" s="452"/>
      <c r="AW11" s="452"/>
      <c r="AX11" s="452"/>
      <c r="AY11" s="452"/>
      <c r="AZ11" s="452"/>
      <c r="BA11" s="452"/>
      <c r="BB11" s="452"/>
      <c r="BC11" s="452"/>
      <c r="BD11" s="452"/>
      <c r="BE11" s="452"/>
      <c r="BF11" s="452"/>
      <c r="BG11" s="452"/>
      <c r="BH11" s="452"/>
      <c r="BI11" s="452"/>
      <c r="BJ11" s="452"/>
      <c r="BK11" s="452"/>
      <c r="BL11" s="452"/>
      <c r="BM11" s="452"/>
      <c r="BN11" s="452"/>
      <c r="BO11" s="452"/>
      <c r="BP11" s="452"/>
      <c r="BQ11" s="452"/>
      <c r="BR11" s="452"/>
      <c r="BS11" s="452"/>
      <c r="BT11" s="452"/>
      <c r="BU11" s="452"/>
      <c r="BV11" s="452"/>
      <c r="BW11" s="452"/>
      <c r="BX11" s="452"/>
      <c r="BY11" s="452"/>
      <c r="BZ11" s="452"/>
      <c r="CA11" s="452"/>
      <c r="CB11" s="452"/>
      <c r="CC11" s="452"/>
      <c r="CD11" s="452"/>
      <c r="CE11" s="452"/>
      <c r="CF11" s="452"/>
      <c r="CG11" s="452"/>
      <c r="CH11" s="452"/>
      <c r="CI11" s="452"/>
      <c r="CJ11" s="452"/>
      <c r="CK11" s="452"/>
      <c r="CL11" s="452"/>
      <c r="CM11" s="452"/>
      <c r="CN11" s="452"/>
      <c r="CO11" s="452"/>
      <c r="CP11" s="452"/>
      <c r="CQ11" s="452"/>
      <c r="CR11" s="452"/>
      <c r="CS11" s="452"/>
      <c r="CT11" s="452"/>
      <c r="CU11" s="452"/>
      <c r="CV11" s="452"/>
      <c r="CW11" s="452"/>
      <c r="CX11" s="452"/>
      <c r="CY11" s="452"/>
      <c r="CZ11" s="452"/>
      <c r="DA11" s="452"/>
      <c r="DB11" s="452"/>
      <c r="DC11" s="452"/>
      <c r="DD11" s="452"/>
      <c r="DE11" s="452"/>
      <c r="DF11" s="452"/>
      <c r="DG11" s="452"/>
      <c r="DH11" s="452"/>
      <c r="DI11" s="452"/>
      <c r="DJ11" s="452"/>
      <c r="DK11" s="452"/>
      <c r="DL11" s="452"/>
      <c r="DM11" s="452"/>
      <c r="DN11" s="452"/>
      <c r="DO11" s="452"/>
      <c r="DP11" s="452"/>
      <c r="DQ11" s="452"/>
      <c r="DR11" s="452"/>
      <c r="DS11" s="452"/>
      <c r="DT11" s="452"/>
      <c r="DU11" s="452"/>
      <c r="DV11" s="452"/>
      <c r="DW11" s="452"/>
      <c r="DX11" s="452"/>
      <c r="DY11" s="452"/>
      <c r="DZ11" s="452"/>
      <c r="EA11" s="452"/>
      <c r="EB11" s="452"/>
      <c r="EC11" s="452"/>
      <c r="ED11" s="452"/>
      <c r="EE11" s="452"/>
      <c r="EF11" s="452"/>
      <c r="EG11" s="452"/>
      <c r="EH11" s="452"/>
      <c r="EI11" s="452"/>
      <c r="EJ11" s="452"/>
      <c r="EK11" s="452"/>
      <c r="EL11" s="452"/>
      <c r="EM11" s="452"/>
      <c r="EN11" s="452"/>
      <c r="EO11" s="452"/>
      <c r="EP11" s="452"/>
      <c r="EQ11" s="452"/>
      <c r="ER11" s="452"/>
      <c r="ES11" s="452"/>
      <c r="ET11" s="452"/>
      <c r="EU11" s="452"/>
      <c r="EV11" s="452"/>
      <c r="EW11" s="452"/>
      <c r="EX11" s="452"/>
      <c r="EY11" s="452"/>
      <c r="EZ11" s="452"/>
      <c r="FA11" s="452"/>
      <c r="FB11" s="452"/>
      <c r="FC11" s="452"/>
      <c r="FD11" s="452"/>
      <c r="FE11" s="452"/>
      <c r="FF11" s="452"/>
      <c r="FG11" s="452"/>
      <c r="FH11" s="452"/>
      <c r="FI11" s="452"/>
      <c r="FJ11" s="452"/>
      <c r="FK11" s="452"/>
      <c r="FL11" s="452"/>
      <c r="FM11" s="452"/>
      <c r="FN11" s="452"/>
      <c r="FO11" s="452"/>
      <c r="FP11" s="452"/>
      <c r="FQ11" s="452"/>
      <c r="FR11" s="452"/>
      <c r="FS11" s="452"/>
      <c r="FT11" s="452"/>
      <c r="FU11" s="452"/>
      <c r="FV11" s="452"/>
      <c r="FW11" s="452"/>
      <c r="FX11" s="452"/>
      <c r="FY11" s="452"/>
      <c r="FZ11" s="452"/>
      <c r="GA11" s="452"/>
      <c r="GB11" s="452"/>
      <c r="GC11" s="452"/>
      <c r="GD11" s="452"/>
      <c r="GE11" s="452"/>
      <c r="GF11" s="452"/>
      <c r="GG11" s="452"/>
      <c r="GH11" s="452"/>
      <c r="GI11" s="452"/>
      <c r="GJ11" s="452"/>
      <c r="GK11" s="452"/>
      <c r="GL11" s="452"/>
      <c r="GM11" s="452"/>
      <c r="GN11" s="452"/>
      <c r="GO11" s="452"/>
      <c r="GP11" s="452"/>
      <c r="GQ11" s="452"/>
      <c r="GR11" s="452"/>
      <c r="GS11" s="452"/>
      <c r="GT11" s="452"/>
      <c r="GU11" s="452"/>
      <c r="GV11" s="452"/>
      <c r="GW11" s="452"/>
      <c r="GX11" s="452"/>
      <c r="GY11" s="452"/>
      <c r="GZ11" s="452"/>
      <c r="HA11" s="452"/>
      <c r="HB11" s="452"/>
      <c r="HC11" s="452"/>
      <c r="HD11" s="452"/>
      <c r="HE11" s="452"/>
      <c r="HF11" s="452"/>
      <c r="HG11" s="452"/>
      <c r="HH11" s="452"/>
      <c r="HI11" s="452"/>
      <c r="HJ11" s="452"/>
      <c r="HK11" s="452"/>
      <c r="HL11" s="452"/>
      <c r="HM11" s="452"/>
      <c r="HN11" s="452"/>
      <c r="HO11" s="452"/>
      <c r="HP11" s="452"/>
      <c r="HQ11" s="452"/>
      <c r="HR11" s="452"/>
      <c r="HS11" s="452"/>
      <c r="HT11" s="452"/>
      <c r="HU11" s="452"/>
      <c r="HV11" s="452"/>
      <c r="HW11" s="452"/>
      <c r="HX11" s="452"/>
      <c r="HY11" s="452"/>
      <c r="HZ11" s="452"/>
      <c r="IA11" s="452"/>
      <c r="IB11" s="452"/>
      <c r="IC11" s="452"/>
      <c r="ID11" s="452"/>
      <c r="IE11" s="452"/>
      <c r="IF11" s="452"/>
      <c r="IG11" s="452"/>
      <c r="IH11" s="452"/>
      <c r="II11" s="452"/>
      <c r="IJ11" s="452"/>
      <c r="IK11" s="452"/>
      <c r="IL11" s="452"/>
      <c r="IM11" s="452"/>
      <c r="IN11" s="452"/>
      <c r="IO11" s="452"/>
      <c r="IP11" s="452"/>
      <c r="IQ11" s="452"/>
      <c r="IR11" s="452"/>
      <c r="IS11" s="452"/>
      <c r="IT11" s="452"/>
      <c r="IU11" s="452"/>
      <c r="IV11" s="452"/>
    </row>
    <row r="12" spans="1:256" ht="9.75" customHeight="1">
      <c r="A12" s="448" t="s">
        <v>15</v>
      </c>
      <c r="B12" s="448"/>
      <c r="C12" s="448"/>
      <c r="D12" s="693" t="s">
        <v>15</v>
      </c>
      <c r="E12" s="448"/>
      <c r="F12" s="693" t="s">
        <v>15</v>
      </c>
      <c r="G12" s="448"/>
      <c r="H12" s="693" t="s">
        <v>15</v>
      </c>
      <c r="I12" s="448"/>
      <c r="J12" s="693" t="s">
        <v>15</v>
      </c>
      <c r="K12" s="448" t="s">
        <v>15</v>
      </c>
      <c r="L12" s="693" t="s">
        <v>15</v>
      </c>
      <c r="M12" s="450"/>
      <c r="N12" s="452"/>
      <c r="O12" s="452"/>
      <c r="P12" s="452"/>
      <c r="Q12" s="452"/>
      <c r="R12" s="452"/>
      <c r="S12" s="452"/>
      <c r="T12" s="452"/>
      <c r="U12" s="452"/>
      <c r="V12" s="452"/>
      <c r="W12" s="452"/>
      <c r="X12" s="452"/>
      <c r="Y12" s="452"/>
      <c r="Z12" s="452"/>
      <c r="AA12" s="452"/>
      <c r="AB12" s="452"/>
      <c r="AC12" s="452"/>
      <c r="AD12" s="452"/>
      <c r="AE12" s="452"/>
      <c r="AF12" s="452"/>
      <c r="AG12" s="452"/>
      <c r="AH12" s="452"/>
      <c r="AI12" s="452"/>
      <c r="AJ12" s="452"/>
      <c r="AK12" s="452"/>
      <c r="AL12" s="452"/>
      <c r="AM12" s="452"/>
      <c r="AN12" s="452"/>
      <c r="AO12" s="452"/>
      <c r="AP12" s="452"/>
      <c r="AQ12" s="452"/>
      <c r="AR12" s="452"/>
      <c r="AS12" s="452"/>
      <c r="AT12" s="452"/>
      <c r="AU12" s="452"/>
      <c r="AV12" s="452"/>
      <c r="AW12" s="452"/>
      <c r="AX12" s="452"/>
      <c r="AY12" s="452"/>
      <c r="AZ12" s="452"/>
      <c r="BA12" s="452"/>
      <c r="BB12" s="452"/>
      <c r="BC12" s="452"/>
      <c r="BD12" s="452"/>
      <c r="BE12" s="452"/>
      <c r="BF12" s="452"/>
      <c r="BG12" s="452"/>
      <c r="BH12" s="452"/>
      <c r="BI12" s="452"/>
      <c r="BJ12" s="452"/>
      <c r="BK12" s="452"/>
      <c r="BL12" s="452"/>
      <c r="BM12" s="452"/>
      <c r="BN12" s="452"/>
      <c r="BO12" s="452"/>
      <c r="BP12" s="452"/>
      <c r="BQ12" s="452"/>
      <c r="BR12" s="452"/>
      <c r="BS12" s="452"/>
      <c r="BT12" s="452"/>
      <c r="BU12" s="452"/>
      <c r="BV12" s="452"/>
      <c r="BW12" s="452"/>
      <c r="BX12" s="452"/>
      <c r="BY12" s="452"/>
      <c r="BZ12" s="452"/>
      <c r="CA12" s="452"/>
      <c r="CB12" s="452"/>
      <c r="CC12" s="452"/>
      <c r="CD12" s="452"/>
      <c r="CE12" s="452"/>
      <c r="CF12" s="452"/>
      <c r="CG12" s="452"/>
      <c r="CH12" s="452"/>
      <c r="CI12" s="452"/>
      <c r="CJ12" s="452"/>
      <c r="CK12" s="452"/>
      <c r="CL12" s="452"/>
      <c r="CM12" s="452"/>
      <c r="CN12" s="452"/>
      <c r="CO12" s="452"/>
      <c r="CP12" s="452"/>
      <c r="CQ12" s="452"/>
      <c r="CR12" s="452"/>
      <c r="CS12" s="452"/>
      <c r="CT12" s="452"/>
      <c r="CU12" s="452"/>
      <c r="CV12" s="452"/>
      <c r="CW12" s="452"/>
      <c r="CX12" s="452"/>
      <c r="CY12" s="452"/>
      <c r="CZ12" s="452"/>
      <c r="DA12" s="452"/>
      <c r="DB12" s="452"/>
      <c r="DC12" s="452"/>
      <c r="DD12" s="452"/>
      <c r="DE12" s="452"/>
      <c r="DF12" s="452"/>
      <c r="DG12" s="452"/>
      <c r="DH12" s="452"/>
      <c r="DI12" s="452"/>
      <c r="DJ12" s="452"/>
      <c r="DK12" s="452"/>
      <c r="DL12" s="452"/>
      <c r="DM12" s="452"/>
      <c r="DN12" s="452"/>
      <c r="DO12" s="452"/>
      <c r="DP12" s="452"/>
      <c r="DQ12" s="452"/>
      <c r="DR12" s="452"/>
      <c r="DS12" s="452"/>
      <c r="DT12" s="452"/>
      <c r="DU12" s="452"/>
      <c r="DV12" s="452"/>
      <c r="DW12" s="452"/>
      <c r="DX12" s="452"/>
      <c r="DY12" s="452"/>
      <c r="DZ12" s="452"/>
      <c r="EA12" s="452"/>
      <c r="EB12" s="452"/>
      <c r="EC12" s="452"/>
      <c r="ED12" s="452"/>
      <c r="EE12" s="452"/>
      <c r="EF12" s="452"/>
      <c r="EG12" s="452"/>
      <c r="EH12" s="452"/>
      <c r="EI12" s="452"/>
      <c r="EJ12" s="452"/>
      <c r="EK12" s="452"/>
      <c r="EL12" s="452"/>
      <c r="EM12" s="452"/>
      <c r="EN12" s="452"/>
      <c r="EO12" s="452"/>
      <c r="EP12" s="452"/>
      <c r="EQ12" s="452"/>
      <c r="ER12" s="452"/>
      <c r="ES12" s="452"/>
      <c r="ET12" s="452"/>
      <c r="EU12" s="452"/>
      <c r="EV12" s="452"/>
      <c r="EW12" s="452"/>
      <c r="EX12" s="452"/>
      <c r="EY12" s="452"/>
      <c r="EZ12" s="452"/>
      <c r="FA12" s="452"/>
      <c r="FB12" s="452"/>
      <c r="FC12" s="452"/>
      <c r="FD12" s="452"/>
      <c r="FE12" s="452"/>
      <c r="FF12" s="452"/>
      <c r="FG12" s="452"/>
      <c r="FH12" s="452"/>
      <c r="FI12" s="452"/>
      <c r="FJ12" s="452"/>
      <c r="FK12" s="452"/>
      <c r="FL12" s="452"/>
      <c r="FM12" s="452"/>
      <c r="FN12" s="452"/>
      <c r="FO12" s="452"/>
      <c r="FP12" s="452"/>
      <c r="FQ12" s="452"/>
      <c r="FR12" s="452"/>
      <c r="FS12" s="452"/>
      <c r="FT12" s="452"/>
      <c r="FU12" s="452"/>
      <c r="FV12" s="452"/>
      <c r="FW12" s="452"/>
      <c r="FX12" s="452"/>
      <c r="FY12" s="452"/>
      <c r="FZ12" s="452"/>
      <c r="GA12" s="452"/>
      <c r="GB12" s="452"/>
      <c r="GC12" s="452"/>
      <c r="GD12" s="452"/>
      <c r="GE12" s="452"/>
      <c r="GF12" s="452"/>
      <c r="GG12" s="452"/>
      <c r="GH12" s="452"/>
      <c r="GI12" s="452"/>
      <c r="GJ12" s="452"/>
      <c r="GK12" s="452"/>
      <c r="GL12" s="452"/>
      <c r="GM12" s="452"/>
      <c r="GN12" s="452"/>
      <c r="GO12" s="452"/>
      <c r="GP12" s="452"/>
      <c r="GQ12" s="452"/>
      <c r="GR12" s="452"/>
      <c r="GS12" s="452"/>
      <c r="GT12" s="452"/>
      <c r="GU12" s="452"/>
      <c r="GV12" s="452"/>
      <c r="GW12" s="452"/>
      <c r="GX12" s="452"/>
      <c r="GY12" s="452"/>
      <c r="GZ12" s="452"/>
      <c r="HA12" s="452"/>
      <c r="HB12" s="452"/>
      <c r="HC12" s="452"/>
      <c r="HD12" s="452"/>
      <c r="HE12" s="452"/>
      <c r="HF12" s="452"/>
      <c r="HG12" s="452"/>
      <c r="HH12" s="452"/>
      <c r="HI12" s="452"/>
      <c r="HJ12" s="452"/>
      <c r="HK12" s="452"/>
      <c r="HL12" s="452"/>
      <c r="HM12" s="452"/>
      <c r="HN12" s="452"/>
      <c r="HO12" s="452"/>
      <c r="HP12" s="452"/>
      <c r="HQ12" s="452"/>
      <c r="HR12" s="452"/>
      <c r="HS12" s="452"/>
      <c r="HT12" s="452"/>
      <c r="HU12" s="452"/>
      <c r="HV12" s="452"/>
      <c r="HW12" s="452"/>
      <c r="HX12" s="452"/>
      <c r="HY12" s="452"/>
      <c r="HZ12" s="452"/>
      <c r="IA12" s="452"/>
      <c r="IB12" s="452"/>
      <c r="IC12" s="452"/>
      <c r="ID12" s="452"/>
      <c r="IE12" s="452"/>
      <c r="IF12" s="452"/>
      <c r="IG12" s="452"/>
      <c r="IH12" s="452"/>
      <c r="II12" s="452"/>
      <c r="IJ12" s="452"/>
      <c r="IK12" s="452"/>
      <c r="IL12" s="452"/>
      <c r="IM12" s="452"/>
      <c r="IN12" s="452"/>
      <c r="IO12" s="452"/>
      <c r="IP12" s="452"/>
      <c r="IQ12" s="452"/>
      <c r="IR12" s="452"/>
      <c r="IS12" s="452"/>
      <c r="IT12" s="452"/>
      <c r="IU12" s="452"/>
      <c r="IV12" s="452"/>
    </row>
    <row r="13" spans="1:256" ht="18" customHeight="1">
      <c r="A13" s="455" t="s">
        <v>223</v>
      </c>
      <c r="B13" s="452"/>
      <c r="C13" s="452"/>
      <c r="D13" s="694"/>
      <c r="E13" s="694"/>
      <c r="F13" s="471"/>
      <c r="G13" s="442"/>
      <c r="H13" s="471"/>
      <c r="I13" s="694"/>
      <c r="J13" s="694"/>
      <c r="K13" s="694"/>
      <c r="L13" s="694"/>
      <c r="M13" s="456"/>
      <c r="N13" s="457"/>
      <c r="O13" s="458"/>
      <c r="P13" s="458"/>
      <c r="Q13" s="452"/>
      <c r="R13" s="452"/>
      <c r="S13" s="452"/>
      <c r="T13" s="452"/>
      <c r="U13" s="452"/>
      <c r="V13" s="452"/>
      <c r="W13" s="452"/>
      <c r="X13" s="452"/>
      <c r="Y13" s="452"/>
      <c r="Z13" s="452"/>
      <c r="AA13" s="452"/>
      <c r="AB13" s="452"/>
      <c r="AC13" s="452"/>
      <c r="AD13" s="452"/>
      <c r="AE13" s="452"/>
      <c r="AF13" s="452"/>
      <c r="AG13" s="452"/>
      <c r="AH13" s="452"/>
      <c r="AI13" s="452"/>
      <c r="AJ13" s="452"/>
      <c r="AK13" s="452"/>
      <c r="AL13" s="452"/>
      <c r="AM13" s="452"/>
      <c r="AN13" s="452"/>
      <c r="AO13" s="452"/>
      <c r="AP13" s="452"/>
      <c r="AQ13" s="452"/>
      <c r="AR13" s="452"/>
      <c r="AS13" s="452"/>
      <c r="AT13" s="452"/>
      <c r="AU13" s="452"/>
      <c r="AV13" s="452"/>
      <c r="AW13" s="452"/>
      <c r="AX13" s="452"/>
      <c r="AY13" s="452"/>
      <c r="AZ13" s="452"/>
      <c r="BA13" s="452"/>
      <c r="BB13" s="452"/>
      <c r="BC13" s="452"/>
      <c r="BD13" s="452"/>
      <c r="BE13" s="452"/>
      <c r="BF13" s="452"/>
      <c r="BG13" s="452"/>
      <c r="BH13" s="452"/>
      <c r="BI13" s="452"/>
      <c r="BJ13" s="452"/>
      <c r="BK13" s="452"/>
      <c r="BL13" s="452"/>
      <c r="BM13" s="452"/>
      <c r="BN13" s="452"/>
      <c r="BO13" s="452"/>
      <c r="BP13" s="452"/>
      <c r="BQ13" s="452"/>
      <c r="BR13" s="452"/>
      <c r="BS13" s="452"/>
      <c r="BT13" s="452"/>
      <c r="BU13" s="452"/>
      <c r="BV13" s="452"/>
      <c r="BW13" s="452"/>
      <c r="BX13" s="452"/>
      <c r="BY13" s="452"/>
      <c r="BZ13" s="452"/>
      <c r="CA13" s="452"/>
      <c r="CB13" s="452"/>
      <c r="CC13" s="452"/>
      <c r="CD13" s="452"/>
      <c r="CE13" s="452"/>
      <c r="CF13" s="452"/>
      <c r="CG13" s="452"/>
      <c r="CH13" s="452"/>
      <c r="CI13" s="452"/>
      <c r="CJ13" s="452"/>
      <c r="CK13" s="452"/>
      <c r="CL13" s="452"/>
      <c r="CM13" s="452"/>
      <c r="CN13" s="452"/>
      <c r="CO13" s="452"/>
      <c r="CP13" s="452"/>
      <c r="CQ13" s="452"/>
      <c r="CR13" s="452"/>
      <c r="CS13" s="452"/>
      <c r="CT13" s="452"/>
      <c r="CU13" s="452"/>
      <c r="CV13" s="452"/>
      <c r="CW13" s="452"/>
      <c r="CX13" s="452"/>
      <c r="CY13" s="452"/>
      <c r="CZ13" s="452"/>
      <c r="DA13" s="452"/>
      <c r="DB13" s="452"/>
      <c r="DC13" s="452"/>
      <c r="DD13" s="452"/>
      <c r="DE13" s="452"/>
      <c r="DF13" s="452"/>
      <c r="DG13" s="452"/>
      <c r="DH13" s="452"/>
      <c r="DI13" s="452"/>
      <c r="DJ13" s="452"/>
      <c r="DK13" s="452"/>
      <c r="DL13" s="452"/>
      <c r="DM13" s="452"/>
      <c r="DN13" s="452"/>
      <c r="DO13" s="452"/>
      <c r="DP13" s="452"/>
      <c r="DQ13" s="452"/>
      <c r="DR13" s="452"/>
      <c r="DS13" s="452"/>
      <c r="DT13" s="452"/>
      <c r="DU13" s="452"/>
      <c r="DV13" s="452"/>
      <c r="DW13" s="452"/>
      <c r="DX13" s="452"/>
      <c r="DY13" s="452"/>
      <c r="DZ13" s="452"/>
      <c r="EA13" s="452"/>
      <c r="EB13" s="452"/>
      <c r="EC13" s="452"/>
      <c r="ED13" s="452"/>
      <c r="EE13" s="452"/>
      <c r="EF13" s="452"/>
      <c r="EG13" s="452"/>
      <c r="EH13" s="452"/>
      <c r="EI13" s="452"/>
      <c r="EJ13" s="452"/>
      <c r="EK13" s="452"/>
      <c r="EL13" s="452"/>
      <c r="EM13" s="452"/>
      <c r="EN13" s="452"/>
      <c r="EO13" s="452"/>
      <c r="EP13" s="452"/>
      <c r="EQ13" s="452"/>
      <c r="ER13" s="452"/>
      <c r="ES13" s="452"/>
      <c r="ET13" s="452"/>
      <c r="EU13" s="452"/>
      <c r="EV13" s="452"/>
      <c r="EW13" s="452"/>
      <c r="EX13" s="452"/>
      <c r="EY13" s="452"/>
      <c r="EZ13" s="452"/>
      <c r="FA13" s="452"/>
      <c r="FB13" s="452"/>
      <c r="FC13" s="452"/>
      <c r="FD13" s="452"/>
      <c r="FE13" s="452"/>
      <c r="FF13" s="452"/>
      <c r="FG13" s="452"/>
      <c r="FH13" s="452"/>
      <c r="FI13" s="452"/>
      <c r="FJ13" s="452"/>
      <c r="FK13" s="452"/>
      <c r="FL13" s="452"/>
      <c r="FM13" s="452"/>
      <c r="FN13" s="452"/>
      <c r="FO13" s="452"/>
      <c r="FP13" s="452"/>
      <c r="FQ13" s="452"/>
      <c r="FR13" s="452"/>
      <c r="FS13" s="452"/>
      <c r="FT13" s="452"/>
      <c r="FU13" s="452"/>
      <c r="FV13" s="452"/>
      <c r="FW13" s="452"/>
      <c r="FX13" s="452"/>
      <c r="FY13" s="452"/>
      <c r="FZ13" s="452"/>
      <c r="GA13" s="452"/>
      <c r="GB13" s="452"/>
      <c r="GC13" s="452"/>
      <c r="GD13" s="452"/>
      <c r="GE13" s="452"/>
      <c r="GF13" s="452"/>
      <c r="GG13" s="452"/>
      <c r="GH13" s="452"/>
      <c r="GI13" s="452"/>
      <c r="GJ13" s="452"/>
      <c r="GK13" s="452"/>
      <c r="GL13" s="452"/>
      <c r="GM13" s="452"/>
      <c r="GN13" s="452"/>
      <c r="GO13" s="452"/>
      <c r="GP13" s="452"/>
      <c r="GQ13" s="452"/>
      <c r="GR13" s="452"/>
      <c r="GS13" s="452"/>
      <c r="GT13" s="452"/>
      <c r="GU13" s="452"/>
      <c r="GV13" s="452"/>
      <c r="GW13" s="452"/>
      <c r="GX13" s="452"/>
      <c r="GY13" s="452"/>
      <c r="GZ13" s="452"/>
      <c r="HA13" s="452"/>
      <c r="HB13" s="452"/>
      <c r="HC13" s="452"/>
      <c r="HD13" s="452"/>
      <c r="HE13" s="452"/>
      <c r="HF13" s="452"/>
      <c r="HG13" s="452"/>
      <c r="HH13" s="452"/>
      <c r="HI13" s="452"/>
      <c r="HJ13" s="452"/>
      <c r="HK13" s="452"/>
      <c r="HL13" s="452"/>
      <c r="HM13" s="452"/>
      <c r="HN13" s="452"/>
      <c r="HO13" s="452"/>
      <c r="HP13" s="452"/>
      <c r="HQ13" s="452"/>
      <c r="HR13" s="452"/>
      <c r="HS13" s="452"/>
      <c r="HT13" s="452"/>
      <c r="HU13" s="452"/>
      <c r="HV13" s="452"/>
      <c r="HW13" s="452"/>
      <c r="HX13" s="452"/>
      <c r="HY13" s="452"/>
      <c r="HZ13" s="452"/>
      <c r="IA13" s="452"/>
      <c r="IB13" s="452"/>
      <c r="IC13" s="452"/>
      <c r="ID13" s="452"/>
      <c r="IE13" s="452"/>
      <c r="IF13" s="452"/>
      <c r="IG13" s="452"/>
      <c r="IH13" s="452"/>
      <c r="II13" s="452"/>
      <c r="IJ13" s="452"/>
      <c r="IK13" s="452"/>
      <c r="IL13" s="452"/>
      <c r="IM13" s="452"/>
      <c r="IN13" s="452"/>
      <c r="IO13" s="452"/>
      <c r="IP13" s="452"/>
      <c r="IQ13" s="452"/>
      <c r="IR13" s="452"/>
      <c r="IS13" s="452"/>
      <c r="IT13" s="452"/>
      <c r="IU13" s="452"/>
      <c r="IV13" s="452"/>
    </row>
    <row r="14" spans="1:256" ht="7.5" customHeight="1">
      <c r="A14" s="448"/>
      <c r="B14" s="452"/>
      <c r="C14" s="452"/>
      <c r="D14" s="694"/>
      <c r="E14" s="694"/>
      <c r="F14" s="694"/>
      <c r="G14" s="694"/>
      <c r="H14" s="694"/>
      <c r="I14" s="694"/>
      <c r="J14" s="694"/>
      <c r="K14" s="694"/>
      <c r="L14" s="694"/>
      <c r="M14" s="456"/>
      <c r="N14" s="457"/>
      <c r="O14" s="458"/>
      <c r="P14" s="458"/>
      <c r="Q14" s="452"/>
      <c r="R14" s="452"/>
      <c r="S14" s="452"/>
      <c r="T14" s="452"/>
      <c r="U14" s="452"/>
      <c r="V14" s="452"/>
      <c r="W14" s="452"/>
      <c r="X14" s="452"/>
      <c r="Y14" s="452"/>
      <c r="Z14" s="452"/>
      <c r="AA14" s="452"/>
      <c r="AB14" s="452"/>
      <c r="AC14" s="452"/>
      <c r="AD14" s="452"/>
      <c r="AE14" s="452"/>
      <c r="AF14" s="452"/>
      <c r="AG14" s="452"/>
      <c r="AH14" s="452"/>
      <c r="AI14" s="452"/>
      <c r="AJ14" s="452"/>
      <c r="AK14" s="452"/>
      <c r="AL14" s="452"/>
      <c r="AM14" s="452"/>
      <c r="AN14" s="452"/>
      <c r="AO14" s="452"/>
      <c r="AP14" s="452"/>
      <c r="AQ14" s="452"/>
      <c r="AR14" s="452"/>
      <c r="AS14" s="452"/>
      <c r="AT14" s="452"/>
      <c r="AU14" s="452"/>
      <c r="AV14" s="452"/>
      <c r="AW14" s="452"/>
      <c r="AX14" s="452"/>
      <c r="AY14" s="452"/>
      <c r="AZ14" s="452"/>
      <c r="BA14" s="452"/>
      <c r="BB14" s="452"/>
      <c r="BC14" s="452"/>
      <c r="BD14" s="452"/>
      <c r="BE14" s="452"/>
      <c r="BF14" s="452"/>
      <c r="BG14" s="452"/>
      <c r="BH14" s="452"/>
      <c r="BI14" s="452"/>
      <c r="BJ14" s="452"/>
      <c r="BK14" s="452"/>
      <c r="BL14" s="452"/>
      <c r="BM14" s="452"/>
      <c r="BN14" s="452"/>
      <c r="BO14" s="452"/>
      <c r="BP14" s="452"/>
      <c r="BQ14" s="452"/>
      <c r="BR14" s="452"/>
      <c r="BS14" s="452"/>
      <c r="BT14" s="452"/>
      <c r="BU14" s="452"/>
      <c r="BV14" s="452"/>
      <c r="BW14" s="452"/>
      <c r="BX14" s="452"/>
      <c r="BY14" s="452"/>
      <c r="BZ14" s="452"/>
      <c r="CA14" s="452"/>
      <c r="CB14" s="452"/>
      <c r="CC14" s="452"/>
      <c r="CD14" s="452"/>
      <c r="CE14" s="452"/>
      <c r="CF14" s="452"/>
      <c r="CG14" s="452"/>
      <c r="CH14" s="452"/>
      <c r="CI14" s="452"/>
      <c r="CJ14" s="452"/>
      <c r="CK14" s="452"/>
      <c r="CL14" s="452"/>
      <c r="CM14" s="452"/>
      <c r="CN14" s="452"/>
      <c r="CO14" s="452"/>
      <c r="CP14" s="452"/>
      <c r="CQ14" s="452"/>
      <c r="CR14" s="452"/>
      <c r="CS14" s="452"/>
      <c r="CT14" s="452"/>
      <c r="CU14" s="452"/>
      <c r="CV14" s="452"/>
      <c r="CW14" s="452"/>
      <c r="CX14" s="452"/>
      <c r="CY14" s="452"/>
      <c r="CZ14" s="452"/>
      <c r="DA14" s="452"/>
      <c r="DB14" s="452"/>
      <c r="DC14" s="452"/>
      <c r="DD14" s="452"/>
      <c r="DE14" s="452"/>
      <c r="DF14" s="452"/>
      <c r="DG14" s="452"/>
      <c r="DH14" s="452"/>
      <c r="DI14" s="452"/>
      <c r="DJ14" s="452"/>
      <c r="DK14" s="452"/>
      <c r="DL14" s="452"/>
      <c r="DM14" s="452"/>
      <c r="DN14" s="452"/>
      <c r="DO14" s="452"/>
      <c r="DP14" s="452"/>
      <c r="DQ14" s="452"/>
      <c r="DR14" s="452"/>
      <c r="DS14" s="452"/>
      <c r="DT14" s="452"/>
      <c r="DU14" s="452"/>
      <c r="DV14" s="452"/>
      <c r="DW14" s="452"/>
      <c r="DX14" s="452"/>
      <c r="DY14" s="452"/>
      <c r="DZ14" s="452"/>
      <c r="EA14" s="452"/>
      <c r="EB14" s="452"/>
      <c r="EC14" s="452"/>
      <c r="ED14" s="452"/>
      <c r="EE14" s="452"/>
      <c r="EF14" s="452"/>
      <c r="EG14" s="452"/>
      <c r="EH14" s="452"/>
      <c r="EI14" s="452"/>
      <c r="EJ14" s="452"/>
      <c r="EK14" s="452"/>
      <c r="EL14" s="452"/>
      <c r="EM14" s="452"/>
      <c r="EN14" s="452"/>
      <c r="EO14" s="452"/>
      <c r="EP14" s="452"/>
      <c r="EQ14" s="452"/>
      <c r="ER14" s="452"/>
      <c r="ES14" s="452"/>
      <c r="ET14" s="452"/>
      <c r="EU14" s="452"/>
      <c r="EV14" s="452"/>
      <c r="EW14" s="452"/>
      <c r="EX14" s="452"/>
      <c r="EY14" s="452"/>
      <c r="EZ14" s="452"/>
      <c r="FA14" s="452"/>
      <c r="FB14" s="452"/>
      <c r="FC14" s="452"/>
      <c r="FD14" s="452"/>
      <c r="FE14" s="452"/>
      <c r="FF14" s="452"/>
      <c r="FG14" s="452"/>
      <c r="FH14" s="452"/>
      <c r="FI14" s="452"/>
      <c r="FJ14" s="452"/>
      <c r="FK14" s="452"/>
      <c r="FL14" s="452"/>
      <c r="FM14" s="452"/>
      <c r="FN14" s="452"/>
      <c r="FO14" s="452"/>
      <c r="FP14" s="452"/>
      <c r="FQ14" s="452"/>
      <c r="FR14" s="452"/>
      <c r="FS14" s="452"/>
      <c r="FT14" s="452"/>
      <c r="FU14" s="452"/>
      <c r="FV14" s="452"/>
      <c r="FW14" s="452"/>
      <c r="FX14" s="452"/>
      <c r="FY14" s="452"/>
      <c r="FZ14" s="452"/>
      <c r="GA14" s="452"/>
      <c r="GB14" s="452"/>
      <c r="GC14" s="452"/>
      <c r="GD14" s="452"/>
      <c r="GE14" s="452"/>
      <c r="GF14" s="452"/>
      <c r="GG14" s="452"/>
      <c r="GH14" s="452"/>
      <c r="GI14" s="452"/>
      <c r="GJ14" s="452"/>
      <c r="GK14" s="452"/>
      <c r="GL14" s="452"/>
      <c r="GM14" s="452"/>
      <c r="GN14" s="452"/>
      <c r="GO14" s="452"/>
      <c r="GP14" s="452"/>
      <c r="GQ14" s="452"/>
      <c r="GR14" s="452"/>
      <c r="GS14" s="452"/>
      <c r="GT14" s="452"/>
      <c r="GU14" s="452"/>
      <c r="GV14" s="452"/>
      <c r="GW14" s="452"/>
      <c r="GX14" s="452"/>
      <c r="GY14" s="452"/>
      <c r="GZ14" s="452"/>
      <c r="HA14" s="452"/>
      <c r="HB14" s="452"/>
      <c r="HC14" s="452"/>
      <c r="HD14" s="452"/>
      <c r="HE14" s="452"/>
      <c r="HF14" s="452"/>
      <c r="HG14" s="452"/>
      <c r="HH14" s="452"/>
      <c r="HI14" s="452"/>
      <c r="HJ14" s="452"/>
      <c r="HK14" s="452"/>
      <c r="HL14" s="452"/>
      <c r="HM14" s="452"/>
      <c r="HN14" s="452"/>
      <c r="HO14" s="452"/>
      <c r="HP14" s="452"/>
      <c r="HQ14" s="452"/>
      <c r="HR14" s="452"/>
      <c r="HS14" s="452"/>
      <c r="HT14" s="452"/>
      <c r="HU14" s="452"/>
      <c r="HV14" s="452"/>
      <c r="HW14" s="452"/>
      <c r="HX14" s="452"/>
      <c r="HY14" s="452"/>
      <c r="HZ14" s="452"/>
      <c r="IA14" s="452"/>
      <c r="IB14" s="452"/>
      <c r="IC14" s="452"/>
      <c r="ID14" s="452"/>
      <c r="IE14" s="452"/>
      <c r="IF14" s="452"/>
      <c r="IG14" s="452"/>
      <c r="IH14" s="452"/>
      <c r="II14" s="452"/>
      <c r="IJ14" s="452"/>
      <c r="IK14" s="452"/>
      <c r="IL14" s="452"/>
      <c r="IM14" s="452"/>
      <c r="IN14" s="452"/>
      <c r="IO14" s="452"/>
      <c r="IP14" s="452"/>
      <c r="IQ14" s="452"/>
      <c r="IR14" s="452"/>
      <c r="IS14" s="452"/>
      <c r="IT14" s="452"/>
      <c r="IU14" s="452"/>
      <c r="IV14" s="452"/>
    </row>
    <row r="15" spans="1:256" ht="15.75" customHeight="1">
      <c r="A15" s="452" t="s">
        <v>1000</v>
      </c>
      <c r="B15" s="452"/>
      <c r="C15" s="452"/>
      <c r="D15" s="3439">
        <v>-1.319</v>
      </c>
      <c r="E15" s="1692"/>
      <c r="F15" s="1691">
        <v>5.64</v>
      </c>
      <c r="G15" s="1692"/>
      <c r="H15" s="1691">
        <v>11.138999999999999</v>
      </c>
      <c r="I15" s="1692"/>
      <c r="J15" s="1691">
        <v>0</v>
      </c>
      <c r="K15" s="1693"/>
      <c r="L15" s="1694">
        <f>ROUND(SUM(D15)+SUM(F15)-SUM(H15)+SUM(J15),3)</f>
        <v>-6.8179999999999996</v>
      </c>
      <c r="M15" s="456"/>
      <c r="N15" s="457"/>
      <c r="O15" s="458"/>
      <c r="P15" s="458"/>
      <c r="Q15" s="452"/>
      <c r="R15" s="452"/>
      <c r="S15" s="452"/>
      <c r="T15" s="452"/>
      <c r="U15" s="452"/>
      <c r="V15" s="452"/>
      <c r="W15" s="452"/>
      <c r="X15" s="452"/>
      <c r="Y15" s="452"/>
      <c r="Z15" s="452"/>
      <c r="AA15" s="452"/>
      <c r="AB15" s="452"/>
      <c r="AC15" s="452"/>
      <c r="AD15" s="452"/>
      <c r="AE15" s="452"/>
      <c r="AF15" s="452"/>
      <c r="AG15" s="452"/>
      <c r="AH15" s="452"/>
      <c r="AI15" s="452"/>
      <c r="AJ15" s="452"/>
      <c r="AK15" s="452"/>
      <c r="AL15" s="452"/>
      <c r="AM15" s="452"/>
      <c r="AN15" s="452"/>
      <c r="AO15" s="452"/>
      <c r="AP15" s="452"/>
      <c r="AQ15" s="452"/>
      <c r="AR15" s="452"/>
      <c r="AS15" s="452"/>
      <c r="AT15" s="452"/>
      <c r="AU15" s="452"/>
      <c r="AV15" s="452"/>
      <c r="AW15" s="452"/>
      <c r="AX15" s="452"/>
      <c r="AY15" s="452"/>
      <c r="AZ15" s="452"/>
      <c r="BA15" s="452"/>
      <c r="BB15" s="452"/>
      <c r="BC15" s="452"/>
      <c r="BD15" s="452"/>
      <c r="BE15" s="452"/>
      <c r="BF15" s="452"/>
      <c r="BG15" s="452"/>
      <c r="BH15" s="452"/>
      <c r="BI15" s="452"/>
      <c r="BJ15" s="452"/>
      <c r="BK15" s="452"/>
      <c r="BL15" s="452"/>
      <c r="BM15" s="452"/>
      <c r="BN15" s="452"/>
      <c r="BO15" s="452"/>
      <c r="BP15" s="452"/>
      <c r="BQ15" s="452"/>
      <c r="BR15" s="452"/>
      <c r="BS15" s="452"/>
      <c r="BT15" s="452"/>
      <c r="BU15" s="452"/>
      <c r="BV15" s="452"/>
      <c r="BW15" s="452"/>
      <c r="BX15" s="452"/>
      <c r="BY15" s="452"/>
      <c r="BZ15" s="452"/>
      <c r="CA15" s="452"/>
      <c r="CB15" s="452"/>
      <c r="CC15" s="452"/>
      <c r="CD15" s="452"/>
      <c r="CE15" s="452"/>
      <c r="CF15" s="452"/>
      <c r="CG15" s="452"/>
      <c r="CH15" s="452"/>
      <c r="CI15" s="452"/>
      <c r="CJ15" s="452"/>
      <c r="CK15" s="452"/>
      <c r="CL15" s="452"/>
      <c r="CM15" s="452"/>
      <c r="CN15" s="452"/>
      <c r="CO15" s="452"/>
      <c r="CP15" s="452"/>
      <c r="CQ15" s="452"/>
      <c r="CR15" s="452"/>
      <c r="CS15" s="452"/>
      <c r="CT15" s="452"/>
      <c r="CU15" s="452"/>
      <c r="CV15" s="452"/>
      <c r="CW15" s="452"/>
      <c r="CX15" s="452"/>
      <c r="CY15" s="452"/>
      <c r="CZ15" s="452"/>
      <c r="DA15" s="452"/>
      <c r="DB15" s="452"/>
      <c r="DC15" s="452"/>
      <c r="DD15" s="452"/>
      <c r="DE15" s="452"/>
      <c r="DF15" s="452"/>
      <c r="DG15" s="452"/>
      <c r="DH15" s="452"/>
      <c r="DI15" s="452"/>
      <c r="DJ15" s="452"/>
      <c r="DK15" s="452"/>
      <c r="DL15" s="452"/>
      <c r="DM15" s="452"/>
      <c r="DN15" s="452"/>
      <c r="DO15" s="452"/>
      <c r="DP15" s="452"/>
      <c r="DQ15" s="452"/>
      <c r="DR15" s="452"/>
      <c r="DS15" s="452"/>
      <c r="DT15" s="452"/>
      <c r="DU15" s="452"/>
      <c r="DV15" s="452"/>
      <c r="DW15" s="452"/>
      <c r="DX15" s="452"/>
      <c r="DY15" s="452"/>
      <c r="DZ15" s="452"/>
      <c r="EA15" s="452"/>
      <c r="EB15" s="452"/>
      <c r="EC15" s="452"/>
      <c r="ED15" s="452"/>
      <c r="EE15" s="452"/>
      <c r="EF15" s="452"/>
      <c r="EG15" s="452"/>
      <c r="EH15" s="452"/>
      <c r="EI15" s="452"/>
      <c r="EJ15" s="452"/>
      <c r="EK15" s="452"/>
      <c r="EL15" s="452"/>
      <c r="EM15" s="452"/>
      <c r="EN15" s="452"/>
      <c r="EO15" s="452"/>
      <c r="EP15" s="452"/>
      <c r="EQ15" s="452"/>
      <c r="ER15" s="452"/>
      <c r="ES15" s="452"/>
      <c r="ET15" s="452"/>
      <c r="EU15" s="452"/>
      <c r="EV15" s="452"/>
      <c r="EW15" s="452"/>
      <c r="EX15" s="452"/>
      <c r="EY15" s="452"/>
      <c r="EZ15" s="452"/>
      <c r="FA15" s="452"/>
      <c r="FB15" s="452"/>
      <c r="FC15" s="452"/>
      <c r="FD15" s="452"/>
      <c r="FE15" s="452"/>
      <c r="FF15" s="452"/>
      <c r="FG15" s="452"/>
      <c r="FH15" s="452"/>
      <c r="FI15" s="452"/>
      <c r="FJ15" s="452"/>
      <c r="FK15" s="452"/>
      <c r="FL15" s="452"/>
      <c r="FM15" s="452"/>
      <c r="FN15" s="452"/>
      <c r="FO15" s="452"/>
      <c r="FP15" s="452"/>
      <c r="FQ15" s="452"/>
      <c r="FR15" s="452"/>
      <c r="FS15" s="452"/>
      <c r="FT15" s="452"/>
      <c r="FU15" s="452"/>
      <c r="FV15" s="452"/>
      <c r="FW15" s="452"/>
      <c r="FX15" s="452"/>
      <c r="FY15" s="452"/>
      <c r="FZ15" s="452"/>
      <c r="GA15" s="452"/>
      <c r="GB15" s="452"/>
      <c r="GC15" s="452"/>
      <c r="GD15" s="452"/>
      <c r="GE15" s="452"/>
      <c r="GF15" s="452"/>
      <c r="GG15" s="452"/>
      <c r="GH15" s="452"/>
      <c r="GI15" s="452"/>
      <c r="GJ15" s="452"/>
      <c r="GK15" s="452"/>
      <c r="GL15" s="452"/>
      <c r="GM15" s="452"/>
      <c r="GN15" s="452"/>
      <c r="GO15" s="452"/>
      <c r="GP15" s="452"/>
      <c r="GQ15" s="452"/>
      <c r="GR15" s="452"/>
      <c r="GS15" s="452"/>
      <c r="GT15" s="452"/>
      <c r="GU15" s="452"/>
      <c r="GV15" s="452"/>
      <c r="GW15" s="452"/>
      <c r="GX15" s="452"/>
      <c r="GY15" s="452"/>
      <c r="GZ15" s="452"/>
      <c r="HA15" s="452"/>
      <c r="HB15" s="452"/>
      <c r="HC15" s="452"/>
      <c r="HD15" s="452"/>
      <c r="HE15" s="452"/>
      <c r="HF15" s="452"/>
      <c r="HG15" s="452"/>
      <c r="HH15" s="452"/>
      <c r="HI15" s="452"/>
      <c r="HJ15" s="452"/>
      <c r="HK15" s="452"/>
      <c r="HL15" s="452"/>
      <c r="HM15" s="452"/>
      <c r="HN15" s="452"/>
      <c r="HO15" s="452"/>
      <c r="HP15" s="452"/>
      <c r="HQ15" s="452"/>
      <c r="HR15" s="452"/>
      <c r="HS15" s="452"/>
      <c r="HT15" s="452"/>
      <c r="HU15" s="452"/>
      <c r="HV15" s="452"/>
      <c r="HW15" s="452"/>
      <c r="HX15" s="452"/>
      <c r="HY15" s="452"/>
      <c r="HZ15" s="452"/>
      <c r="IA15" s="452"/>
      <c r="IB15" s="452"/>
      <c r="IC15" s="452"/>
      <c r="ID15" s="452"/>
      <c r="IE15" s="452"/>
      <c r="IF15" s="452"/>
      <c r="IG15" s="452"/>
      <c r="IH15" s="452"/>
      <c r="II15" s="452"/>
      <c r="IJ15" s="452"/>
      <c r="IK15" s="452"/>
      <c r="IL15" s="452"/>
      <c r="IM15" s="452"/>
      <c r="IN15" s="452"/>
      <c r="IO15" s="452"/>
      <c r="IP15" s="452"/>
      <c r="IQ15" s="452"/>
      <c r="IR15" s="452"/>
      <c r="IS15" s="452"/>
      <c r="IT15" s="452"/>
      <c r="IU15" s="452"/>
      <c r="IV15" s="452"/>
    </row>
    <row r="16" spans="1:256" ht="6.75" customHeight="1">
      <c r="A16" s="448"/>
      <c r="B16" s="452"/>
      <c r="C16" s="452"/>
      <c r="D16" s="3440" t="s">
        <v>15</v>
      </c>
      <c r="E16" s="695"/>
      <c r="F16" s="696" t="s">
        <v>15</v>
      </c>
      <c r="G16" s="695"/>
      <c r="H16" s="696" t="s">
        <v>15</v>
      </c>
      <c r="I16" s="695"/>
      <c r="J16" s="697" t="s">
        <v>15</v>
      </c>
      <c r="K16" s="695"/>
      <c r="L16" s="698" t="s">
        <v>15</v>
      </c>
      <c r="M16" s="459"/>
      <c r="N16" s="452"/>
      <c r="O16" s="458"/>
      <c r="P16" s="458"/>
      <c r="Q16" s="452"/>
      <c r="R16" s="452"/>
      <c r="S16" s="452"/>
      <c r="T16" s="452"/>
      <c r="U16" s="452"/>
      <c r="V16" s="452"/>
      <c r="W16" s="452"/>
      <c r="X16" s="452"/>
      <c r="Y16" s="452"/>
      <c r="Z16" s="452"/>
      <c r="AA16" s="452"/>
      <c r="AB16" s="452"/>
      <c r="AC16" s="452"/>
      <c r="AD16" s="452"/>
      <c r="AE16" s="452"/>
      <c r="AF16" s="452"/>
      <c r="AG16" s="452"/>
      <c r="AH16" s="452"/>
      <c r="AI16" s="452"/>
      <c r="AJ16" s="452"/>
      <c r="AK16" s="452"/>
      <c r="AL16" s="452"/>
      <c r="AM16" s="452"/>
      <c r="AN16" s="452"/>
      <c r="AO16" s="452"/>
      <c r="AP16" s="452"/>
      <c r="AQ16" s="452"/>
      <c r="AR16" s="452"/>
      <c r="AS16" s="452"/>
      <c r="AT16" s="452"/>
      <c r="AU16" s="452"/>
      <c r="AV16" s="452"/>
      <c r="AW16" s="452"/>
      <c r="AX16" s="452"/>
      <c r="AY16" s="452"/>
      <c r="AZ16" s="452"/>
      <c r="BA16" s="452"/>
      <c r="BB16" s="452"/>
      <c r="BC16" s="452"/>
      <c r="BD16" s="452"/>
      <c r="BE16" s="452"/>
      <c r="BF16" s="452"/>
      <c r="BG16" s="452"/>
      <c r="BH16" s="452"/>
      <c r="BI16" s="452"/>
      <c r="BJ16" s="452"/>
      <c r="BK16" s="452"/>
      <c r="BL16" s="452"/>
      <c r="BM16" s="452"/>
      <c r="BN16" s="452"/>
      <c r="BO16" s="452"/>
      <c r="BP16" s="452"/>
      <c r="BQ16" s="452"/>
      <c r="BR16" s="452"/>
      <c r="BS16" s="452"/>
      <c r="BT16" s="452"/>
      <c r="BU16" s="452"/>
      <c r="BV16" s="452"/>
      <c r="BW16" s="452"/>
      <c r="BX16" s="452"/>
      <c r="BY16" s="452"/>
      <c r="BZ16" s="452"/>
      <c r="CA16" s="452"/>
      <c r="CB16" s="452"/>
      <c r="CC16" s="452"/>
      <c r="CD16" s="452"/>
      <c r="CE16" s="452"/>
      <c r="CF16" s="452"/>
      <c r="CG16" s="452"/>
      <c r="CH16" s="452"/>
      <c r="CI16" s="452"/>
      <c r="CJ16" s="452"/>
      <c r="CK16" s="452"/>
      <c r="CL16" s="452"/>
      <c r="CM16" s="452"/>
      <c r="CN16" s="452"/>
      <c r="CO16" s="452"/>
      <c r="CP16" s="452"/>
      <c r="CQ16" s="452"/>
      <c r="CR16" s="452"/>
      <c r="CS16" s="452"/>
      <c r="CT16" s="452"/>
      <c r="CU16" s="452"/>
      <c r="CV16" s="452"/>
      <c r="CW16" s="452"/>
      <c r="CX16" s="452"/>
      <c r="CY16" s="452"/>
      <c r="CZ16" s="452"/>
      <c r="DA16" s="452"/>
      <c r="DB16" s="452"/>
      <c r="DC16" s="452"/>
      <c r="DD16" s="452"/>
      <c r="DE16" s="452"/>
      <c r="DF16" s="452"/>
      <c r="DG16" s="452"/>
      <c r="DH16" s="452"/>
      <c r="DI16" s="452"/>
      <c r="DJ16" s="452"/>
      <c r="DK16" s="452"/>
      <c r="DL16" s="452"/>
      <c r="DM16" s="452"/>
      <c r="DN16" s="452"/>
      <c r="DO16" s="452"/>
      <c r="DP16" s="452"/>
      <c r="DQ16" s="452"/>
      <c r="DR16" s="452"/>
      <c r="DS16" s="452"/>
      <c r="DT16" s="452"/>
      <c r="DU16" s="452"/>
      <c r="DV16" s="452"/>
      <c r="DW16" s="452"/>
      <c r="DX16" s="452"/>
      <c r="DY16" s="452"/>
      <c r="DZ16" s="452"/>
      <c r="EA16" s="452"/>
      <c r="EB16" s="452"/>
      <c r="EC16" s="452"/>
      <c r="ED16" s="452"/>
      <c r="EE16" s="452"/>
      <c r="EF16" s="452"/>
      <c r="EG16" s="452"/>
      <c r="EH16" s="452"/>
      <c r="EI16" s="452"/>
      <c r="EJ16" s="452"/>
      <c r="EK16" s="452"/>
      <c r="EL16" s="452"/>
      <c r="EM16" s="452"/>
      <c r="EN16" s="452"/>
      <c r="EO16" s="452"/>
      <c r="EP16" s="452"/>
      <c r="EQ16" s="452"/>
      <c r="ER16" s="452"/>
      <c r="ES16" s="452"/>
      <c r="ET16" s="452"/>
      <c r="EU16" s="452"/>
      <c r="EV16" s="452"/>
      <c r="EW16" s="452"/>
      <c r="EX16" s="452"/>
      <c r="EY16" s="452"/>
      <c r="EZ16" s="452"/>
      <c r="FA16" s="452"/>
      <c r="FB16" s="452"/>
      <c r="FC16" s="452"/>
      <c r="FD16" s="452"/>
      <c r="FE16" s="452"/>
      <c r="FF16" s="452"/>
      <c r="FG16" s="452"/>
      <c r="FH16" s="452"/>
      <c r="FI16" s="452"/>
      <c r="FJ16" s="452"/>
      <c r="FK16" s="452"/>
      <c r="FL16" s="452"/>
      <c r="FM16" s="452"/>
      <c r="FN16" s="452"/>
      <c r="FO16" s="452"/>
      <c r="FP16" s="452"/>
      <c r="FQ16" s="452"/>
      <c r="FR16" s="452"/>
      <c r="FS16" s="452"/>
      <c r="FT16" s="452"/>
      <c r="FU16" s="452"/>
      <c r="FV16" s="452"/>
      <c r="FW16" s="452"/>
      <c r="FX16" s="452"/>
      <c r="FY16" s="452"/>
      <c r="FZ16" s="452"/>
      <c r="GA16" s="452"/>
      <c r="GB16" s="452"/>
      <c r="GC16" s="452"/>
      <c r="GD16" s="452"/>
      <c r="GE16" s="452"/>
      <c r="GF16" s="452"/>
      <c r="GG16" s="452"/>
      <c r="GH16" s="452"/>
      <c r="GI16" s="452"/>
      <c r="GJ16" s="452"/>
      <c r="GK16" s="452"/>
      <c r="GL16" s="452"/>
      <c r="GM16" s="452"/>
      <c r="GN16" s="452"/>
      <c r="GO16" s="452"/>
      <c r="GP16" s="452"/>
      <c r="GQ16" s="452"/>
      <c r="GR16" s="452"/>
      <c r="GS16" s="452"/>
      <c r="GT16" s="452"/>
      <c r="GU16" s="452"/>
      <c r="GV16" s="452"/>
      <c r="GW16" s="452"/>
      <c r="GX16" s="452"/>
      <c r="GY16" s="452"/>
      <c r="GZ16" s="452"/>
      <c r="HA16" s="452"/>
      <c r="HB16" s="452"/>
      <c r="HC16" s="452"/>
      <c r="HD16" s="452"/>
      <c r="HE16" s="452"/>
      <c r="HF16" s="452"/>
      <c r="HG16" s="452"/>
      <c r="HH16" s="452"/>
      <c r="HI16" s="452"/>
      <c r="HJ16" s="452"/>
      <c r="HK16" s="452"/>
      <c r="HL16" s="452"/>
      <c r="HM16" s="452"/>
      <c r="HN16" s="452"/>
      <c r="HO16" s="452"/>
      <c r="HP16" s="452"/>
      <c r="HQ16" s="452"/>
      <c r="HR16" s="452"/>
      <c r="HS16" s="452"/>
      <c r="HT16" s="452"/>
      <c r="HU16" s="452"/>
      <c r="HV16" s="452"/>
      <c r="HW16" s="452"/>
      <c r="HX16" s="452"/>
      <c r="HY16" s="452"/>
      <c r="HZ16" s="452"/>
      <c r="IA16" s="452"/>
      <c r="IB16" s="452"/>
      <c r="IC16" s="452"/>
      <c r="ID16" s="452"/>
      <c r="IE16" s="452"/>
      <c r="IF16" s="452"/>
      <c r="IG16" s="452"/>
      <c r="IH16" s="452"/>
      <c r="II16" s="452"/>
      <c r="IJ16" s="452"/>
      <c r="IK16" s="452"/>
      <c r="IL16" s="452"/>
      <c r="IM16" s="452"/>
      <c r="IN16" s="452"/>
      <c r="IO16" s="452"/>
      <c r="IP16" s="452"/>
      <c r="IQ16" s="452"/>
      <c r="IR16" s="452"/>
      <c r="IS16" s="452"/>
      <c r="IT16" s="452"/>
      <c r="IU16" s="452"/>
      <c r="IV16" s="452"/>
    </row>
    <row r="17" spans="1:256" ht="17.25" customHeight="1">
      <c r="A17" s="448" t="s">
        <v>371</v>
      </c>
      <c r="B17" s="452"/>
      <c r="C17" s="452"/>
      <c r="D17" s="699">
        <f>ROUND(SUM(D15),3)</f>
        <v>-1.319</v>
      </c>
      <c r="E17" s="700"/>
      <c r="F17" s="699">
        <f>ROUND(SUM(F15),3)</f>
        <v>5.64</v>
      </c>
      <c r="G17" s="700"/>
      <c r="H17" s="699">
        <f>ROUND(SUM(H15),3)</f>
        <v>11.138999999999999</v>
      </c>
      <c r="I17" s="700"/>
      <c r="J17" s="898">
        <f>ROUND(SUM(J15),3)</f>
        <v>0</v>
      </c>
      <c r="K17" s="700"/>
      <c r="L17" s="699">
        <f>ROUND(SUM(L15),3)</f>
        <v>-6.8179999999999996</v>
      </c>
      <c r="M17" s="460"/>
      <c r="N17" s="452"/>
      <c r="O17" s="458"/>
      <c r="P17" s="458"/>
      <c r="Q17" s="452"/>
      <c r="R17" s="452"/>
      <c r="S17" s="452"/>
      <c r="T17" s="452"/>
      <c r="U17" s="452"/>
      <c r="V17" s="452"/>
      <c r="W17" s="452"/>
      <c r="X17" s="452"/>
      <c r="Y17" s="452"/>
      <c r="Z17" s="452"/>
      <c r="AA17" s="452"/>
      <c r="AB17" s="452"/>
      <c r="AC17" s="452"/>
      <c r="AD17" s="452"/>
      <c r="AE17" s="452"/>
      <c r="AF17" s="452"/>
      <c r="AG17" s="452"/>
      <c r="AH17" s="452"/>
      <c r="AI17" s="452"/>
      <c r="AJ17" s="452"/>
      <c r="AK17" s="452"/>
      <c r="AL17" s="452"/>
      <c r="AM17" s="452"/>
      <c r="AN17" s="452"/>
      <c r="AO17" s="452"/>
      <c r="AP17" s="452"/>
      <c r="AQ17" s="452"/>
      <c r="AR17" s="452"/>
      <c r="AS17" s="452"/>
      <c r="AT17" s="452"/>
      <c r="AU17" s="452"/>
      <c r="AV17" s="452"/>
      <c r="AW17" s="452"/>
      <c r="AX17" s="452"/>
      <c r="AY17" s="452"/>
      <c r="AZ17" s="452"/>
      <c r="BA17" s="452"/>
      <c r="BB17" s="452"/>
      <c r="BC17" s="452"/>
      <c r="BD17" s="452"/>
      <c r="BE17" s="452"/>
      <c r="BF17" s="452"/>
      <c r="BG17" s="452"/>
      <c r="BH17" s="452"/>
      <c r="BI17" s="452"/>
      <c r="BJ17" s="452"/>
      <c r="BK17" s="452"/>
      <c r="BL17" s="452"/>
      <c r="BM17" s="452"/>
      <c r="BN17" s="452"/>
      <c r="BO17" s="452"/>
      <c r="BP17" s="452"/>
      <c r="BQ17" s="452"/>
      <c r="BR17" s="452"/>
      <c r="BS17" s="452"/>
      <c r="BT17" s="452"/>
      <c r="BU17" s="452"/>
      <c r="BV17" s="452"/>
      <c r="BW17" s="452"/>
      <c r="BX17" s="452"/>
      <c r="BY17" s="452"/>
      <c r="BZ17" s="452"/>
      <c r="CA17" s="452"/>
      <c r="CB17" s="452"/>
      <c r="CC17" s="452"/>
      <c r="CD17" s="452"/>
      <c r="CE17" s="452"/>
      <c r="CF17" s="452"/>
      <c r="CG17" s="452"/>
      <c r="CH17" s="452"/>
      <c r="CI17" s="452"/>
      <c r="CJ17" s="452"/>
      <c r="CK17" s="452"/>
      <c r="CL17" s="452"/>
      <c r="CM17" s="452"/>
      <c r="CN17" s="452"/>
      <c r="CO17" s="452"/>
      <c r="CP17" s="452"/>
      <c r="CQ17" s="452"/>
      <c r="CR17" s="452"/>
      <c r="CS17" s="452"/>
      <c r="CT17" s="452"/>
      <c r="CU17" s="452"/>
      <c r="CV17" s="452"/>
      <c r="CW17" s="452"/>
      <c r="CX17" s="452"/>
      <c r="CY17" s="452"/>
      <c r="CZ17" s="452"/>
      <c r="DA17" s="452"/>
      <c r="DB17" s="452"/>
      <c r="DC17" s="452"/>
      <c r="DD17" s="452"/>
      <c r="DE17" s="452"/>
      <c r="DF17" s="452"/>
      <c r="DG17" s="452"/>
      <c r="DH17" s="452"/>
      <c r="DI17" s="452"/>
      <c r="DJ17" s="452"/>
      <c r="DK17" s="452"/>
      <c r="DL17" s="452"/>
      <c r="DM17" s="452"/>
      <c r="DN17" s="452"/>
      <c r="DO17" s="452"/>
      <c r="DP17" s="452"/>
      <c r="DQ17" s="452"/>
      <c r="DR17" s="452"/>
      <c r="DS17" s="452"/>
      <c r="DT17" s="452"/>
      <c r="DU17" s="452"/>
      <c r="DV17" s="452"/>
      <c r="DW17" s="452"/>
      <c r="DX17" s="452"/>
      <c r="DY17" s="452"/>
      <c r="DZ17" s="452"/>
      <c r="EA17" s="452"/>
      <c r="EB17" s="452"/>
      <c r="EC17" s="452"/>
      <c r="ED17" s="452"/>
      <c r="EE17" s="452"/>
      <c r="EF17" s="452"/>
      <c r="EG17" s="452"/>
      <c r="EH17" s="452"/>
      <c r="EI17" s="452"/>
      <c r="EJ17" s="452"/>
      <c r="EK17" s="452"/>
      <c r="EL17" s="452"/>
      <c r="EM17" s="452"/>
      <c r="EN17" s="452"/>
      <c r="EO17" s="452"/>
      <c r="EP17" s="452"/>
      <c r="EQ17" s="452"/>
      <c r="ER17" s="452"/>
      <c r="ES17" s="452"/>
      <c r="ET17" s="452"/>
      <c r="EU17" s="452"/>
      <c r="EV17" s="452"/>
      <c r="EW17" s="452"/>
      <c r="EX17" s="452"/>
      <c r="EY17" s="452"/>
      <c r="EZ17" s="452"/>
      <c r="FA17" s="452"/>
      <c r="FB17" s="452"/>
      <c r="FC17" s="452"/>
      <c r="FD17" s="452"/>
      <c r="FE17" s="452"/>
      <c r="FF17" s="452"/>
      <c r="FG17" s="452"/>
      <c r="FH17" s="452"/>
      <c r="FI17" s="452"/>
      <c r="FJ17" s="452"/>
      <c r="FK17" s="452"/>
      <c r="FL17" s="452"/>
      <c r="FM17" s="452"/>
      <c r="FN17" s="452"/>
      <c r="FO17" s="452"/>
      <c r="FP17" s="452"/>
      <c r="FQ17" s="452"/>
      <c r="FR17" s="452"/>
      <c r="FS17" s="452"/>
      <c r="FT17" s="452"/>
      <c r="FU17" s="452"/>
      <c r="FV17" s="452"/>
      <c r="FW17" s="452"/>
      <c r="FX17" s="452"/>
      <c r="FY17" s="452"/>
      <c r="FZ17" s="452"/>
      <c r="GA17" s="452"/>
      <c r="GB17" s="452"/>
      <c r="GC17" s="452"/>
      <c r="GD17" s="452"/>
      <c r="GE17" s="452"/>
      <c r="GF17" s="452"/>
      <c r="GG17" s="452"/>
      <c r="GH17" s="452"/>
      <c r="GI17" s="452"/>
      <c r="GJ17" s="452"/>
      <c r="GK17" s="452"/>
      <c r="GL17" s="452"/>
      <c r="GM17" s="452"/>
      <c r="GN17" s="452"/>
      <c r="GO17" s="452"/>
      <c r="GP17" s="452"/>
      <c r="GQ17" s="452"/>
      <c r="GR17" s="452"/>
      <c r="GS17" s="452"/>
      <c r="GT17" s="452"/>
      <c r="GU17" s="452"/>
      <c r="GV17" s="452"/>
      <c r="GW17" s="452"/>
      <c r="GX17" s="452"/>
      <c r="GY17" s="452"/>
      <c r="GZ17" s="452"/>
      <c r="HA17" s="452"/>
      <c r="HB17" s="452"/>
      <c r="HC17" s="452"/>
      <c r="HD17" s="452"/>
      <c r="HE17" s="452"/>
      <c r="HF17" s="452"/>
      <c r="HG17" s="452"/>
      <c r="HH17" s="452"/>
      <c r="HI17" s="452"/>
      <c r="HJ17" s="452"/>
      <c r="HK17" s="452"/>
      <c r="HL17" s="452"/>
      <c r="HM17" s="452"/>
      <c r="HN17" s="452"/>
      <c r="HO17" s="452"/>
      <c r="HP17" s="452"/>
      <c r="HQ17" s="452"/>
      <c r="HR17" s="452"/>
      <c r="HS17" s="452"/>
      <c r="HT17" s="452"/>
      <c r="HU17" s="452"/>
      <c r="HV17" s="452"/>
      <c r="HW17" s="452"/>
      <c r="HX17" s="452"/>
      <c r="HY17" s="452"/>
      <c r="HZ17" s="452"/>
      <c r="IA17" s="452"/>
      <c r="IB17" s="452"/>
      <c r="IC17" s="452"/>
      <c r="ID17" s="452"/>
      <c r="IE17" s="452"/>
      <c r="IF17" s="452"/>
      <c r="IG17" s="452"/>
      <c r="IH17" s="452"/>
      <c r="II17" s="452"/>
      <c r="IJ17" s="452"/>
      <c r="IK17" s="452"/>
      <c r="IL17" s="452"/>
      <c r="IM17" s="452"/>
      <c r="IN17" s="452"/>
      <c r="IO17" s="452"/>
      <c r="IP17" s="452"/>
      <c r="IQ17" s="452"/>
      <c r="IR17" s="452"/>
      <c r="IS17" s="452"/>
      <c r="IT17" s="452"/>
      <c r="IU17" s="452"/>
      <c r="IV17" s="452"/>
    </row>
    <row r="18" spans="1:256" ht="12" customHeight="1">
      <c r="A18" s="448"/>
      <c r="B18" s="452"/>
      <c r="C18" s="452"/>
      <c r="D18" s="701"/>
      <c r="E18" s="445"/>
      <c r="F18" s="701"/>
      <c r="G18" s="445"/>
      <c r="H18" s="701"/>
      <c r="I18" s="445"/>
      <c r="J18" s="446"/>
      <c r="K18" s="445"/>
      <c r="L18" s="701"/>
      <c r="M18" s="459"/>
      <c r="N18" s="452"/>
      <c r="O18" s="458"/>
      <c r="P18" s="458"/>
      <c r="Q18" s="452"/>
      <c r="R18" s="452"/>
      <c r="S18" s="452"/>
      <c r="T18" s="452"/>
      <c r="U18" s="452"/>
      <c r="V18" s="452"/>
      <c r="W18" s="452"/>
      <c r="X18" s="452"/>
      <c r="Y18" s="452"/>
      <c r="Z18" s="452"/>
      <c r="AA18" s="452"/>
      <c r="AB18" s="452"/>
      <c r="AC18" s="452"/>
      <c r="AD18" s="452"/>
      <c r="AE18" s="452"/>
      <c r="AF18" s="452"/>
      <c r="AG18" s="452"/>
      <c r="AH18" s="452"/>
      <c r="AI18" s="452"/>
      <c r="AJ18" s="452"/>
      <c r="AK18" s="452"/>
      <c r="AL18" s="452"/>
      <c r="AM18" s="452"/>
      <c r="AN18" s="452"/>
      <c r="AO18" s="452"/>
      <c r="AP18" s="452"/>
      <c r="AQ18" s="452"/>
      <c r="AR18" s="452"/>
      <c r="AS18" s="452"/>
      <c r="AT18" s="452"/>
      <c r="AU18" s="452"/>
      <c r="AV18" s="452"/>
      <c r="AW18" s="452"/>
      <c r="AX18" s="452"/>
      <c r="AY18" s="452"/>
      <c r="AZ18" s="452"/>
      <c r="BA18" s="452"/>
      <c r="BB18" s="452"/>
      <c r="BC18" s="452"/>
      <c r="BD18" s="452"/>
      <c r="BE18" s="452"/>
      <c r="BF18" s="452"/>
      <c r="BG18" s="452"/>
      <c r="BH18" s="452"/>
      <c r="BI18" s="452"/>
      <c r="BJ18" s="452"/>
      <c r="BK18" s="452"/>
      <c r="BL18" s="452"/>
      <c r="BM18" s="452"/>
      <c r="BN18" s="452"/>
      <c r="BO18" s="452"/>
      <c r="BP18" s="452"/>
      <c r="BQ18" s="452"/>
      <c r="BR18" s="452"/>
      <c r="BS18" s="452"/>
      <c r="BT18" s="452"/>
      <c r="BU18" s="452"/>
      <c r="BV18" s="452"/>
      <c r="BW18" s="452"/>
      <c r="BX18" s="452"/>
      <c r="BY18" s="452"/>
      <c r="BZ18" s="452"/>
      <c r="CA18" s="452"/>
      <c r="CB18" s="452"/>
      <c r="CC18" s="452"/>
      <c r="CD18" s="452"/>
      <c r="CE18" s="452"/>
      <c r="CF18" s="452"/>
      <c r="CG18" s="452"/>
      <c r="CH18" s="452"/>
      <c r="CI18" s="452"/>
      <c r="CJ18" s="452"/>
      <c r="CK18" s="452"/>
      <c r="CL18" s="452"/>
      <c r="CM18" s="452"/>
      <c r="CN18" s="452"/>
      <c r="CO18" s="452"/>
      <c r="CP18" s="452"/>
      <c r="CQ18" s="452"/>
      <c r="CR18" s="452"/>
      <c r="CS18" s="452"/>
      <c r="CT18" s="452"/>
      <c r="CU18" s="452"/>
      <c r="CV18" s="452"/>
      <c r="CW18" s="452"/>
      <c r="CX18" s="452"/>
      <c r="CY18" s="452"/>
      <c r="CZ18" s="452"/>
      <c r="DA18" s="452"/>
      <c r="DB18" s="452"/>
      <c r="DC18" s="452"/>
      <c r="DD18" s="452"/>
      <c r="DE18" s="452"/>
      <c r="DF18" s="452"/>
      <c r="DG18" s="452"/>
      <c r="DH18" s="452"/>
      <c r="DI18" s="452"/>
      <c r="DJ18" s="452"/>
      <c r="DK18" s="452"/>
      <c r="DL18" s="452"/>
      <c r="DM18" s="452"/>
      <c r="DN18" s="452"/>
      <c r="DO18" s="452"/>
      <c r="DP18" s="452"/>
      <c r="DQ18" s="452"/>
      <c r="DR18" s="452"/>
      <c r="DS18" s="452"/>
      <c r="DT18" s="452"/>
      <c r="DU18" s="452"/>
      <c r="DV18" s="452"/>
      <c r="DW18" s="452"/>
      <c r="DX18" s="452"/>
      <c r="DY18" s="452"/>
      <c r="DZ18" s="452"/>
      <c r="EA18" s="452"/>
      <c r="EB18" s="452"/>
      <c r="EC18" s="452"/>
      <c r="ED18" s="452"/>
      <c r="EE18" s="452"/>
      <c r="EF18" s="452"/>
      <c r="EG18" s="452"/>
      <c r="EH18" s="452"/>
      <c r="EI18" s="452"/>
      <c r="EJ18" s="452"/>
      <c r="EK18" s="452"/>
      <c r="EL18" s="452"/>
      <c r="EM18" s="452"/>
      <c r="EN18" s="452"/>
      <c r="EO18" s="452"/>
      <c r="EP18" s="452"/>
      <c r="EQ18" s="452"/>
      <c r="ER18" s="452"/>
      <c r="ES18" s="452"/>
      <c r="ET18" s="452"/>
      <c r="EU18" s="452"/>
      <c r="EV18" s="452"/>
      <c r="EW18" s="452"/>
      <c r="EX18" s="452"/>
      <c r="EY18" s="452"/>
      <c r="EZ18" s="452"/>
      <c r="FA18" s="452"/>
      <c r="FB18" s="452"/>
      <c r="FC18" s="452"/>
      <c r="FD18" s="452"/>
      <c r="FE18" s="452"/>
      <c r="FF18" s="452"/>
      <c r="FG18" s="452"/>
      <c r="FH18" s="452"/>
      <c r="FI18" s="452"/>
      <c r="FJ18" s="452"/>
      <c r="FK18" s="452"/>
      <c r="FL18" s="452"/>
      <c r="FM18" s="452"/>
      <c r="FN18" s="452"/>
      <c r="FO18" s="452"/>
      <c r="FP18" s="452"/>
      <c r="FQ18" s="452"/>
      <c r="FR18" s="452"/>
      <c r="FS18" s="452"/>
      <c r="FT18" s="452"/>
      <c r="FU18" s="452"/>
      <c r="FV18" s="452"/>
      <c r="FW18" s="452"/>
      <c r="FX18" s="452"/>
      <c r="FY18" s="452"/>
      <c r="FZ18" s="452"/>
      <c r="GA18" s="452"/>
      <c r="GB18" s="452"/>
      <c r="GC18" s="452"/>
      <c r="GD18" s="452"/>
      <c r="GE18" s="452"/>
      <c r="GF18" s="452"/>
      <c r="GG18" s="452"/>
      <c r="GH18" s="452"/>
      <c r="GI18" s="452"/>
      <c r="GJ18" s="452"/>
      <c r="GK18" s="452"/>
      <c r="GL18" s="452"/>
      <c r="GM18" s="452"/>
      <c r="GN18" s="452"/>
      <c r="GO18" s="452"/>
      <c r="GP18" s="452"/>
      <c r="GQ18" s="452"/>
      <c r="GR18" s="452"/>
      <c r="GS18" s="452"/>
      <c r="GT18" s="452"/>
      <c r="GU18" s="452"/>
      <c r="GV18" s="452"/>
      <c r="GW18" s="452"/>
      <c r="GX18" s="452"/>
      <c r="GY18" s="452"/>
      <c r="GZ18" s="452"/>
      <c r="HA18" s="452"/>
      <c r="HB18" s="452"/>
      <c r="HC18" s="452"/>
      <c r="HD18" s="452"/>
      <c r="HE18" s="452"/>
      <c r="HF18" s="452"/>
      <c r="HG18" s="452"/>
      <c r="HH18" s="452"/>
      <c r="HI18" s="452"/>
      <c r="HJ18" s="452"/>
      <c r="HK18" s="452"/>
      <c r="HL18" s="452"/>
      <c r="HM18" s="452"/>
      <c r="HN18" s="452"/>
      <c r="HO18" s="452"/>
      <c r="HP18" s="452"/>
      <c r="HQ18" s="452"/>
      <c r="HR18" s="452"/>
      <c r="HS18" s="452"/>
      <c r="HT18" s="452"/>
      <c r="HU18" s="452"/>
      <c r="HV18" s="452"/>
      <c r="HW18" s="452"/>
      <c r="HX18" s="452"/>
      <c r="HY18" s="452"/>
      <c r="HZ18" s="452"/>
      <c r="IA18" s="452"/>
      <c r="IB18" s="452"/>
      <c r="IC18" s="452"/>
      <c r="ID18" s="452"/>
      <c r="IE18" s="452"/>
      <c r="IF18" s="452"/>
      <c r="IG18" s="452"/>
      <c r="IH18" s="452"/>
      <c r="II18" s="452"/>
      <c r="IJ18" s="452"/>
      <c r="IK18" s="452"/>
      <c r="IL18" s="452"/>
      <c r="IM18" s="452"/>
      <c r="IN18" s="452"/>
      <c r="IO18" s="452"/>
      <c r="IP18" s="452"/>
      <c r="IQ18" s="452"/>
      <c r="IR18" s="452"/>
      <c r="IS18" s="452"/>
      <c r="IT18" s="452"/>
      <c r="IU18" s="452"/>
      <c r="IV18" s="452"/>
    </row>
    <row r="19" spans="1:256" ht="18" customHeight="1">
      <c r="A19" s="461" t="s">
        <v>227</v>
      </c>
      <c r="B19" s="448"/>
      <c r="C19" s="448"/>
      <c r="D19" s="702"/>
      <c r="E19" s="702"/>
      <c r="F19" s="702"/>
      <c r="G19" s="702"/>
      <c r="H19" s="702"/>
      <c r="I19" s="702"/>
      <c r="J19" s="702"/>
      <c r="K19" s="702"/>
      <c r="L19" s="702"/>
      <c r="M19" s="450"/>
      <c r="N19" s="452"/>
      <c r="O19" s="452"/>
      <c r="P19" s="452"/>
      <c r="Q19" s="452"/>
      <c r="R19" s="452"/>
      <c r="S19" s="452"/>
      <c r="T19" s="452"/>
      <c r="U19" s="452"/>
      <c r="V19" s="452"/>
      <c r="W19" s="452"/>
      <c r="X19" s="452"/>
      <c r="Y19" s="452"/>
      <c r="Z19" s="452"/>
      <c r="AA19" s="452"/>
      <c r="AB19" s="452"/>
      <c r="AC19" s="452"/>
      <c r="AD19" s="452"/>
      <c r="AE19" s="452"/>
      <c r="AF19" s="452"/>
      <c r="AG19" s="452"/>
      <c r="AH19" s="452"/>
      <c r="AI19" s="452"/>
      <c r="AJ19" s="452"/>
      <c r="AK19" s="452"/>
      <c r="AL19" s="452"/>
      <c r="AM19" s="452"/>
      <c r="AN19" s="452"/>
      <c r="AO19" s="452"/>
      <c r="AP19" s="452"/>
      <c r="AQ19" s="452"/>
      <c r="AR19" s="452"/>
      <c r="AS19" s="452"/>
      <c r="AT19" s="452"/>
      <c r="AU19" s="452"/>
      <c r="AV19" s="452"/>
      <c r="AW19" s="452"/>
      <c r="AX19" s="452"/>
      <c r="AY19" s="452"/>
      <c r="AZ19" s="452"/>
      <c r="BA19" s="452"/>
      <c r="BB19" s="452"/>
      <c r="BC19" s="452"/>
      <c r="BD19" s="452"/>
      <c r="BE19" s="452"/>
      <c r="BF19" s="452"/>
      <c r="BG19" s="452"/>
      <c r="BH19" s="452"/>
      <c r="BI19" s="452"/>
      <c r="BJ19" s="452"/>
      <c r="BK19" s="452"/>
      <c r="BL19" s="452"/>
      <c r="BM19" s="452"/>
      <c r="BN19" s="452"/>
      <c r="BO19" s="452"/>
      <c r="BP19" s="452"/>
      <c r="BQ19" s="452"/>
      <c r="BR19" s="452"/>
      <c r="BS19" s="452"/>
      <c r="BT19" s="452"/>
      <c r="BU19" s="452"/>
      <c r="BV19" s="452"/>
      <c r="BW19" s="452"/>
      <c r="BX19" s="452"/>
      <c r="BY19" s="452"/>
      <c r="BZ19" s="452"/>
      <c r="CA19" s="452"/>
      <c r="CB19" s="452"/>
      <c r="CC19" s="452"/>
      <c r="CD19" s="452"/>
      <c r="CE19" s="452"/>
      <c r="CF19" s="452"/>
      <c r="CG19" s="452"/>
      <c r="CH19" s="452"/>
      <c r="CI19" s="452"/>
      <c r="CJ19" s="452"/>
      <c r="CK19" s="452"/>
      <c r="CL19" s="452"/>
      <c r="CM19" s="452"/>
      <c r="CN19" s="452"/>
      <c r="CO19" s="452"/>
      <c r="CP19" s="452"/>
      <c r="CQ19" s="452"/>
      <c r="CR19" s="452"/>
      <c r="CS19" s="452"/>
      <c r="CT19" s="452"/>
      <c r="CU19" s="452"/>
      <c r="CV19" s="452"/>
      <c r="CW19" s="452"/>
      <c r="CX19" s="452"/>
      <c r="CY19" s="452"/>
      <c r="CZ19" s="452"/>
      <c r="DA19" s="452"/>
      <c r="DB19" s="452"/>
      <c r="DC19" s="452"/>
      <c r="DD19" s="452"/>
      <c r="DE19" s="452"/>
      <c r="DF19" s="452"/>
      <c r="DG19" s="452"/>
      <c r="DH19" s="452"/>
      <c r="DI19" s="452"/>
      <c r="DJ19" s="452"/>
      <c r="DK19" s="452"/>
      <c r="DL19" s="452"/>
      <c r="DM19" s="452"/>
      <c r="DN19" s="452"/>
      <c r="DO19" s="452"/>
      <c r="DP19" s="452"/>
      <c r="DQ19" s="452"/>
      <c r="DR19" s="452"/>
      <c r="DS19" s="452"/>
      <c r="DT19" s="452"/>
      <c r="DU19" s="452"/>
      <c r="DV19" s="452"/>
      <c r="DW19" s="452"/>
      <c r="DX19" s="452"/>
      <c r="DY19" s="452"/>
      <c r="DZ19" s="452"/>
      <c r="EA19" s="452"/>
      <c r="EB19" s="452"/>
      <c r="EC19" s="452"/>
      <c r="ED19" s="452"/>
      <c r="EE19" s="452"/>
      <c r="EF19" s="452"/>
      <c r="EG19" s="452"/>
      <c r="EH19" s="452"/>
      <c r="EI19" s="452"/>
      <c r="EJ19" s="452"/>
      <c r="EK19" s="452"/>
      <c r="EL19" s="452"/>
      <c r="EM19" s="452"/>
      <c r="EN19" s="452"/>
      <c r="EO19" s="452"/>
      <c r="EP19" s="452"/>
      <c r="EQ19" s="452"/>
      <c r="ER19" s="452"/>
      <c r="ES19" s="452"/>
      <c r="ET19" s="452"/>
      <c r="EU19" s="452"/>
      <c r="EV19" s="452"/>
      <c r="EW19" s="452"/>
      <c r="EX19" s="452"/>
      <c r="EY19" s="452"/>
      <c r="EZ19" s="452"/>
      <c r="FA19" s="452"/>
      <c r="FB19" s="452"/>
      <c r="FC19" s="452"/>
      <c r="FD19" s="452"/>
      <c r="FE19" s="452"/>
      <c r="FF19" s="452"/>
      <c r="FG19" s="452"/>
      <c r="FH19" s="452"/>
      <c r="FI19" s="452"/>
      <c r="FJ19" s="452"/>
      <c r="FK19" s="452"/>
      <c r="FL19" s="452"/>
      <c r="FM19" s="452"/>
      <c r="FN19" s="452"/>
      <c r="FO19" s="452"/>
      <c r="FP19" s="452"/>
      <c r="FQ19" s="452"/>
      <c r="FR19" s="452"/>
      <c r="FS19" s="452"/>
      <c r="FT19" s="452"/>
      <c r="FU19" s="452"/>
      <c r="FV19" s="452"/>
      <c r="FW19" s="452"/>
      <c r="FX19" s="452"/>
      <c r="FY19" s="452"/>
      <c r="FZ19" s="452"/>
      <c r="GA19" s="452"/>
      <c r="GB19" s="452"/>
      <c r="GC19" s="452"/>
      <c r="GD19" s="452"/>
      <c r="GE19" s="452"/>
      <c r="GF19" s="452"/>
      <c r="GG19" s="452"/>
      <c r="GH19" s="452"/>
      <c r="GI19" s="452"/>
      <c r="GJ19" s="452"/>
      <c r="GK19" s="452"/>
      <c r="GL19" s="452"/>
      <c r="GM19" s="452"/>
      <c r="GN19" s="452"/>
      <c r="GO19" s="452"/>
      <c r="GP19" s="452"/>
      <c r="GQ19" s="452"/>
      <c r="GR19" s="452"/>
      <c r="GS19" s="452"/>
      <c r="GT19" s="452"/>
      <c r="GU19" s="452"/>
      <c r="GV19" s="452"/>
      <c r="GW19" s="452"/>
      <c r="GX19" s="452"/>
      <c r="GY19" s="452"/>
      <c r="GZ19" s="452"/>
      <c r="HA19" s="452"/>
      <c r="HB19" s="452"/>
      <c r="HC19" s="452"/>
      <c r="HD19" s="452"/>
      <c r="HE19" s="452"/>
      <c r="HF19" s="452"/>
      <c r="HG19" s="452"/>
      <c r="HH19" s="452"/>
      <c r="HI19" s="452"/>
      <c r="HJ19" s="452"/>
      <c r="HK19" s="452"/>
      <c r="HL19" s="452"/>
      <c r="HM19" s="452"/>
      <c r="HN19" s="452"/>
      <c r="HO19" s="452"/>
      <c r="HP19" s="452"/>
      <c r="HQ19" s="452"/>
      <c r="HR19" s="452"/>
      <c r="HS19" s="452"/>
      <c r="HT19" s="452"/>
      <c r="HU19" s="452"/>
      <c r="HV19" s="452"/>
      <c r="HW19" s="452"/>
      <c r="HX19" s="452"/>
      <c r="HY19" s="452"/>
      <c r="HZ19" s="452"/>
      <c r="IA19" s="452"/>
      <c r="IB19" s="452"/>
      <c r="IC19" s="452"/>
      <c r="ID19" s="452"/>
      <c r="IE19" s="452"/>
      <c r="IF19" s="452"/>
      <c r="IG19" s="452"/>
      <c r="IH19" s="452"/>
      <c r="II19" s="452"/>
      <c r="IJ19" s="452"/>
      <c r="IK19" s="452"/>
      <c r="IL19" s="452"/>
      <c r="IM19" s="452"/>
      <c r="IN19" s="452"/>
      <c r="IO19" s="452"/>
      <c r="IP19" s="452"/>
      <c r="IQ19" s="452"/>
      <c r="IR19" s="452"/>
      <c r="IS19" s="452"/>
      <c r="IT19" s="452"/>
      <c r="IU19" s="452"/>
      <c r="IV19" s="452"/>
    </row>
    <row r="20" spans="1:256" ht="7.5" customHeight="1">
      <c r="A20" s="448"/>
      <c r="B20" s="448"/>
      <c r="C20" s="448"/>
      <c r="D20" s="702"/>
      <c r="E20" s="702"/>
      <c r="F20" s="702"/>
      <c r="G20" s="702"/>
      <c r="H20" s="702"/>
      <c r="I20" s="702"/>
      <c r="J20" s="702"/>
      <c r="K20" s="702"/>
      <c r="L20" s="445"/>
      <c r="M20" s="450"/>
      <c r="N20" s="452"/>
      <c r="O20" s="452"/>
      <c r="P20" s="452"/>
      <c r="Q20" s="452"/>
      <c r="R20" s="452"/>
      <c r="S20" s="452"/>
      <c r="T20" s="452"/>
      <c r="U20" s="452"/>
      <c r="V20" s="452"/>
      <c r="W20" s="452"/>
      <c r="X20" s="452"/>
      <c r="Y20" s="452"/>
      <c r="Z20" s="452"/>
      <c r="AA20" s="452"/>
      <c r="AB20" s="452"/>
      <c r="AC20" s="452"/>
      <c r="AD20" s="452"/>
      <c r="AE20" s="452"/>
      <c r="AF20" s="452"/>
      <c r="AG20" s="452"/>
      <c r="AH20" s="452"/>
      <c r="AI20" s="452"/>
      <c r="AJ20" s="452"/>
      <c r="AK20" s="452"/>
      <c r="AL20" s="452"/>
      <c r="AM20" s="452"/>
      <c r="AN20" s="452"/>
      <c r="AO20" s="452"/>
      <c r="AP20" s="452"/>
      <c r="AQ20" s="452"/>
      <c r="AR20" s="452"/>
      <c r="AS20" s="452"/>
      <c r="AT20" s="452"/>
      <c r="AU20" s="452"/>
      <c r="AV20" s="452"/>
      <c r="AW20" s="452"/>
      <c r="AX20" s="452"/>
      <c r="AY20" s="452"/>
      <c r="AZ20" s="452"/>
      <c r="BA20" s="452"/>
      <c r="BB20" s="452"/>
      <c r="BC20" s="452"/>
      <c r="BD20" s="452"/>
      <c r="BE20" s="452"/>
      <c r="BF20" s="452"/>
      <c r="BG20" s="452"/>
      <c r="BH20" s="452"/>
      <c r="BI20" s="452"/>
      <c r="BJ20" s="452"/>
      <c r="BK20" s="452"/>
      <c r="BL20" s="452"/>
      <c r="BM20" s="452"/>
      <c r="BN20" s="452"/>
      <c r="BO20" s="452"/>
      <c r="BP20" s="452"/>
      <c r="BQ20" s="452"/>
      <c r="BR20" s="452"/>
      <c r="BS20" s="452"/>
      <c r="BT20" s="452"/>
      <c r="BU20" s="452"/>
      <c r="BV20" s="452"/>
      <c r="BW20" s="452"/>
      <c r="BX20" s="452"/>
      <c r="BY20" s="452"/>
      <c r="BZ20" s="452"/>
      <c r="CA20" s="452"/>
      <c r="CB20" s="452"/>
      <c r="CC20" s="452"/>
      <c r="CD20" s="452"/>
      <c r="CE20" s="452"/>
      <c r="CF20" s="452"/>
      <c r="CG20" s="452"/>
      <c r="CH20" s="452"/>
      <c r="CI20" s="452"/>
      <c r="CJ20" s="452"/>
      <c r="CK20" s="452"/>
      <c r="CL20" s="452"/>
      <c r="CM20" s="452"/>
      <c r="CN20" s="452"/>
      <c r="CO20" s="452"/>
      <c r="CP20" s="452"/>
      <c r="CQ20" s="452"/>
      <c r="CR20" s="452"/>
      <c r="CS20" s="452"/>
      <c r="CT20" s="452"/>
      <c r="CU20" s="452"/>
      <c r="CV20" s="452"/>
      <c r="CW20" s="452"/>
      <c r="CX20" s="452"/>
      <c r="CY20" s="452"/>
      <c r="CZ20" s="452"/>
      <c r="DA20" s="452"/>
      <c r="DB20" s="452"/>
      <c r="DC20" s="452"/>
      <c r="DD20" s="452"/>
      <c r="DE20" s="452"/>
      <c r="DF20" s="452"/>
      <c r="DG20" s="452"/>
      <c r="DH20" s="452"/>
      <c r="DI20" s="452"/>
      <c r="DJ20" s="452"/>
      <c r="DK20" s="452"/>
      <c r="DL20" s="452"/>
      <c r="DM20" s="452"/>
      <c r="DN20" s="452"/>
      <c r="DO20" s="452"/>
      <c r="DP20" s="452"/>
      <c r="DQ20" s="452"/>
      <c r="DR20" s="452"/>
      <c r="DS20" s="452"/>
      <c r="DT20" s="452"/>
      <c r="DU20" s="452"/>
      <c r="DV20" s="452"/>
      <c r="DW20" s="452"/>
      <c r="DX20" s="452"/>
      <c r="DY20" s="452"/>
      <c r="DZ20" s="452"/>
      <c r="EA20" s="452"/>
      <c r="EB20" s="452"/>
      <c r="EC20" s="452"/>
      <c r="ED20" s="452"/>
      <c r="EE20" s="452"/>
      <c r="EF20" s="452"/>
      <c r="EG20" s="452"/>
      <c r="EH20" s="452"/>
      <c r="EI20" s="452"/>
      <c r="EJ20" s="452"/>
      <c r="EK20" s="452"/>
      <c r="EL20" s="452"/>
      <c r="EM20" s="452"/>
      <c r="EN20" s="452"/>
      <c r="EO20" s="452"/>
      <c r="EP20" s="452"/>
      <c r="EQ20" s="452"/>
      <c r="ER20" s="452"/>
      <c r="ES20" s="452"/>
      <c r="ET20" s="452"/>
      <c r="EU20" s="452"/>
      <c r="EV20" s="452"/>
      <c r="EW20" s="452"/>
      <c r="EX20" s="452"/>
      <c r="EY20" s="452"/>
      <c r="EZ20" s="452"/>
      <c r="FA20" s="452"/>
      <c r="FB20" s="452"/>
      <c r="FC20" s="452"/>
      <c r="FD20" s="452"/>
      <c r="FE20" s="452"/>
      <c r="FF20" s="452"/>
      <c r="FG20" s="452"/>
      <c r="FH20" s="452"/>
      <c r="FI20" s="452"/>
      <c r="FJ20" s="452"/>
      <c r="FK20" s="452"/>
      <c r="FL20" s="452"/>
      <c r="FM20" s="452"/>
      <c r="FN20" s="452"/>
      <c r="FO20" s="452"/>
      <c r="FP20" s="452"/>
      <c r="FQ20" s="452"/>
      <c r="FR20" s="452"/>
      <c r="FS20" s="452"/>
      <c r="FT20" s="452"/>
      <c r="FU20" s="452"/>
      <c r="FV20" s="452"/>
      <c r="FW20" s="452"/>
      <c r="FX20" s="452"/>
      <c r="FY20" s="452"/>
      <c r="FZ20" s="452"/>
      <c r="GA20" s="452"/>
      <c r="GB20" s="452"/>
      <c r="GC20" s="452"/>
      <c r="GD20" s="452"/>
      <c r="GE20" s="452"/>
      <c r="GF20" s="452"/>
      <c r="GG20" s="452"/>
      <c r="GH20" s="452"/>
      <c r="GI20" s="452"/>
      <c r="GJ20" s="452"/>
      <c r="GK20" s="452"/>
      <c r="GL20" s="452"/>
      <c r="GM20" s="452"/>
      <c r="GN20" s="452"/>
      <c r="GO20" s="452"/>
      <c r="GP20" s="452"/>
      <c r="GQ20" s="452"/>
      <c r="GR20" s="452"/>
      <c r="GS20" s="452"/>
      <c r="GT20" s="452"/>
      <c r="GU20" s="452"/>
      <c r="GV20" s="452"/>
      <c r="GW20" s="452"/>
      <c r="GX20" s="452"/>
      <c r="GY20" s="452"/>
      <c r="GZ20" s="452"/>
      <c r="HA20" s="452"/>
      <c r="HB20" s="452"/>
      <c r="HC20" s="452"/>
      <c r="HD20" s="452"/>
      <c r="HE20" s="452"/>
      <c r="HF20" s="452"/>
      <c r="HG20" s="452"/>
      <c r="HH20" s="452"/>
      <c r="HI20" s="452"/>
      <c r="HJ20" s="452"/>
      <c r="HK20" s="452"/>
      <c r="HL20" s="452"/>
      <c r="HM20" s="452"/>
      <c r="HN20" s="452"/>
      <c r="HO20" s="452"/>
      <c r="HP20" s="452"/>
      <c r="HQ20" s="452"/>
      <c r="HR20" s="452"/>
      <c r="HS20" s="452"/>
      <c r="HT20" s="452"/>
      <c r="HU20" s="452"/>
      <c r="HV20" s="452"/>
      <c r="HW20" s="452"/>
      <c r="HX20" s="452"/>
      <c r="HY20" s="452"/>
      <c r="HZ20" s="452"/>
      <c r="IA20" s="452"/>
      <c r="IB20" s="452"/>
      <c r="IC20" s="452"/>
      <c r="ID20" s="452"/>
      <c r="IE20" s="452"/>
      <c r="IF20" s="452"/>
      <c r="IG20" s="452"/>
      <c r="IH20" s="452"/>
      <c r="II20" s="452"/>
      <c r="IJ20" s="452"/>
      <c r="IK20" s="452"/>
      <c r="IL20" s="452"/>
      <c r="IM20" s="452"/>
      <c r="IN20" s="452"/>
      <c r="IO20" s="452"/>
      <c r="IP20" s="452"/>
      <c r="IQ20" s="452"/>
      <c r="IR20" s="452"/>
      <c r="IS20" s="452"/>
      <c r="IT20" s="452"/>
      <c r="IU20" s="452"/>
      <c r="IV20" s="452"/>
    </row>
    <row r="21" spans="1:256" ht="16.5" customHeight="1">
      <c r="A21" s="703" t="s">
        <v>372</v>
      </c>
      <c r="B21" s="448"/>
      <c r="C21" s="470"/>
      <c r="D21" s="1695">
        <v>3.0060000000000002</v>
      </c>
      <c r="E21" s="1692"/>
      <c r="F21" s="1695">
        <v>1E-3</v>
      </c>
      <c r="G21" s="1692"/>
      <c r="H21" s="1695">
        <v>1.7000000000000001E-2</v>
      </c>
      <c r="I21" s="1692"/>
      <c r="J21" s="1695">
        <v>0</v>
      </c>
      <c r="K21" s="1693"/>
      <c r="L21" s="1696">
        <f>ROUND(SUM(D21)+SUM(F21)-SUM(H21)+SUM(J21),3)</f>
        <v>2.99</v>
      </c>
      <c r="M21" s="450"/>
      <c r="N21" s="452"/>
      <c r="O21" s="452"/>
      <c r="P21" s="452"/>
      <c r="Q21" s="452"/>
      <c r="R21" s="452"/>
      <c r="S21" s="452"/>
      <c r="T21" s="452"/>
      <c r="U21" s="452"/>
      <c r="V21" s="452"/>
      <c r="W21" s="452"/>
      <c r="X21" s="452"/>
      <c r="Y21" s="452"/>
      <c r="Z21" s="452"/>
      <c r="AA21" s="452"/>
      <c r="AB21" s="452"/>
      <c r="AC21" s="452"/>
      <c r="AD21" s="452"/>
      <c r="AE21" s="452"/>
      <c r="AF21" s="452"/>
      <c r="AG21" s="452"/>
      <c r="AH21" s="452"/>
      <c r="AI21" s="452"/>
      <c r="AJ21" s="452"/>
      <c r="AK21" s="452"/>
      <c r="AL21" s="452"/>
      <c r="AM21" s="452"/>
      <c r="AN21" s="452"/>
      <c r="AO21" s="452"/>
      <c r="AP21" s="452"/>
      <c r="AQ21" s="452"/>
      <c r="AR21" s="452"/>
      <c r="AS21" s="452"/>
      <c r="AT21" s="452"/>
      <c r="AU21" s="452"/>
      <c r="AV21" s="452"/>
      <c r="AW21" s="452"/>
      <c r="AX21" s="452"/>
      <c r="AY21" s="452"/>
      <c r="AZ21" s="452"/>
      <c r="BA21" s="452"/>
      <c r="BB21" s="452"/>
      <c r="BC21" s="452"/>
      <c r="BD21" s="452"/>
      <c r="BE21" s="452"/>
      <c r="BF21" s="452"/>
      <c r="BG21" s="452"/>
      <c r="BH21" s="452"/>
      <c r="BI21" s="452"/>
      <c r="BJ21" s="452"/>
      <c r="BK21" s="452"/>
      <c r="BL21" s="452"/>
      <c r="BM21" s="452"/>
      <c r="BN21" s="452"/>
      <c r="BO21" s="452"/>
      <c r="BP21" s="452"/>
      <c r="BQ21" s="452"/>
      <c r="BR21" s="452"/>
      <c r="BS21" s="452"/>
      <c r="BT21" s="452"/>
      <c r="BU21" s="452"/>
      <c r="BV21" s="452"/>
      <c r="BW21" s="452"/>
      <c r="BX21" s="452"/>
      <c r="BY21" s="452"/>
      <c r="BZ21" s="452"/>
      <c r="CA21" s="452"/>
      <c r="CB21" s="452"/>
      <c r="CC21" s="452"/>
      <c r="CD21" s="452"/>
      <c r="CE21" s="452"/>
      <c r="CF21" s="452"/>
      <c r="CG21" s="452"/>
      <c r="CH21" s="452"/>
      <c r="CI21" s="452"/>
      <c r="CJ21" s="452"/>
      <c r="CK21" s="452"/>
      <c r="CL21" s="452"/>
      <c r="CM21" s="452"/>
      <c r="CN21" s="452"/>
      <c r="CO21" s="452"/>
      <c r="CP21" s="452"/>
      <c r="CQ21" s="452"/>
      <c r="CR21" s="452"/>
      <c r="CS21" s="452"/>
      <c r="CT21" s="452"/>
      <c r="CU21" s="452"/>
      <c r="CV21" s="452"/>
      <c r="CW21" s="452"/>
      <c r="CX21" s="452"/>
      <c r="CY21" s="452"/>
      <c r="CZ21" s="452"/>
      <c r="DA21" s="452"/>
      <c r="DB21" s="452"/>
      <c r="DC21" s="452"/>
      <c r="DD21" s="452"/>
      <c r="DE21" s="452"/>
      <c r="DF21" s="452"/>
      <c r="DG21" s="452"/>
      <c r="DH21" s="452"/>
      <c r="DI21" s="452"/>
      <c r="DJ21" s="452"/>
      <c r="DK21" s="452"/>
      <c r="DL21" s="452"/>
      <c r="DM21" s="452"/>
      <c r="DN21" s="452"/>
      <c r="DO21" s="452"/>
      <c r="DP21" s="452"/>
      <c r="DQ21" s="452"/>
      <c r="DR21" s="452"/>
      <c r="DS21" s="452"/>
      <c r="DT21" s="452"/>
      <c r="DU21" s="452"/>
      <c r="DV21" s="452"/>
      <c r="DW21" s="452"/>
      <c r="DX21" s="452"/>
      <c r="DY21" s="452"/>
      <c r="DZ21" s="452"/>
      <c r="EA21" s="452"/>
      <c r="EB21" s="452"/>
      <c r="EC21" s="452"/>
      <c r="ED21" s="452"/>
      <c r="EE21" s="452"/>
      <c r="EF21" s="452"/>
      <c r="EG21" s="452"/>
      <c r="EH21" s="452"/>
      <c r="EI21" s="452"/>
      <c r="EJ21" s="452"/>
      <c r="EK21" s="452"/>
      <c r="EL21" s="452"/>
      <c r="EM21" s="452"/>
      <c r="EN21" s="452"/>
      <c r="EO21" s="452"/>
      <c r="EP21" s="452"/>
      <c r="EQ21" s="452"/>
      <c r="ER21" s="452"/>
      <c r="ES21" s="452"/>
      <c r="ET21" s="452"/>
      <c r="EU21" s="452"/>
      <c r="EV21" s="452"/>
      <c r="EW21" s="452"/>
      <c r="EX21" s="452"/>
      <c r="EY21" s="452"/>
      <c r="EZ21" s="452"/>
      <c r="FA21" s="452"/>
      <c r="FB21" s="452"/>
      <c r="FC21" s="452"/>
      <c r="FD21" s="452"/>
      <c r="FE21" s="452"/>
      <c r="FF21" s="452"/>
      <c r="FG21" s="452"/>
      <c r="FH21" s="452"/>
      <c r="FI21" s="452"/>
      <c r="FJ21" s="452"/>
      <c r="FK21" s="452"/>
      <c r="FL21" s="452"/>
      <c r="FM21" s="452"/>
      <c r="FN21" s="452"/>
      <c r="FO21" s="452"/>
      <c r="FP21" s="452"/>
      <c r="FQ21" s="452"/>
      <c r="FR21" s="452"/>
      <c r="FS21" s="452"/>
      <c r="FT21" s="452"/>
      <c r="FU21" s="452"/>
      <c r="FV21" s="452"/>
      <c r="FW21" s="452"/>
      <c r="FX21" s="452"/>
      <c r="FY21" s="452"/>
      <c r="FZ21" s="452"/>
      <c r="GA21" s="452"/>
      <c r="GB21" s="452"/>
      <c r="GC21" s="452"/>
      <c r="GD21" s="452"/>
      <c r="GE21" s="452"/>
      <c r="GF21" s="452"/>
      <c r="GG21" s="452"/>
      <c r="GH21" s="452"/>
      <c r="GI21" s="452"/>
      <c r="GJ21" s="452"/>
      <c r="GK21" s="452"/>
      <c r="GL21" s="452"/>
      <c r="GM21" s="452"/>
      <c r="GN21" s="452"/>
      <c r="GO21" s="452"/>
      <c r="GP21" s="452"/>
      <c r="GQ21" s="452"/>
      <c r="GR21" s="452"/>
      <c r="GS21" s="452"/>
      <c r="GT21" s="452"/>
      <c r="GU21" s="452"/>
      <c r="GV21" s="452"/>
      <c r="GW21" s="452"/>
      <c r="GX21" s="452"/>
      <c r="GY21" s="452"/>
      <c r="GZ21" s="452"/>
      <c r="HA21" s="452"/>
      <c r="HB21" s="452"/>
      <c r="HC21" s="452"/>
      <c r="HD21" s="452"/>
      <c r="HE21" s="452"/>
      <c r="HF21" s="452"/>
      <c r="HG21" s="452"/>
      <c r="HH21" s="452"/>
      <c r="HI21" s="452"/>
      <c r="HJ21" s="452"/>
      <c r="HK21" s="452"/>
      <c r="HL21" s="452"/>
      <c r="HM21" s="452"/>
      <c r="HN21" s="452"/>
      <c r="HO21" s="452"/>
      <c r="HP21" s="452"/>
      <c r="HQ21" s="452"/>
      <c r="HR21" s="452"/>
      <c r="HS21" s="452"/>
      <c r="HT21" s="452"/>
      <c r="HU21" s="452"/>
      <c r="HV21" s="452"/>
      <c r="HW21" s="452"/>
      <c r="HX21" s="452"/>
      <c r="HY21" s="452"/>
      <c r="HZ21" s="452"/>
      <c r="IA21" s="452"/>
      <c r="IB21" s="452"/>
      <c r="IC21" s="452"/>
      <c r="ID21" s="452"/>
      <c r="IE21" s="452"/>
      <c r="IF21" s="452"/>
      <c r="IG21" s="452"/>
      <c r="IH21" s="452"/>
      <c r="II21" s="452"/>
      <c r="IJ21" s="452"/>
      <c r="IK21" s="452"/>
      <c r="IL21" s="452"/>
      <c r="IM21" s="452"/>
      <c r="IN21" s="452"/>
      <c r="IO21" s="452"/>
      <c r="IP21" s="452"/>
      <c r="IQ21" s="452"/>
      <c r="IR21" s="452"/>
      <c r="IS21" s="452"/>
      <c r="IT21" s="452"/>
      <c r="IU21" s="452"/>
      <c r="IV21" s="452"/>
    </row>
    <row r="22" spans="1:256" ht="15.75" customHeight="1">
      <c r="A22" s="703" t="s">
        <v>373</v>
      </c>
      <c r="B22" s="448"/>
      <c r="C22" s="448"/>
      <c r="D22" s="1697">
        <v>11.228999999999999</v>
      </c>
      <c r="E22" s="1692"/>
      <c r="F22" s="1697">
        <v>7.3999999999999996E-2</v>
      </c>
      <c r="G22" s="1692"/>
      <c r="H22" s="1697">
        <v>0.02</v>
      </c>
      <c r="I22" s="1692"/>
      <c r="J22" s="1697">
        <v>0</v>
      </c>
      <c r="K22" s="1693"/>
      <c r="L22" s="1698">
        <f>ROUND(SUM(D22)+SUM(F22)-SUM(H22)+SUM(J22),3)</f>
        <v>11.282999999999999</v>
      </c>
      <c r="M22" s="450"/>
      <c r="N22" s="452"/>
      <c r="O22" s="452"/>
      <c r="P22" s="452"/>
      <c r="Q22" s="452"/>
      <c r="R22" s="452"/>
      <c r="S22" s="452"/>
      <c r="T22" s="452"/>
      <c r="U22" s="452"/>
      <c r="V22" s="452"/>
      <c r="W22" s="452"/>
      <c r="X22" s="452"/>
      <c r="Y22" s="452"/>
      <c r="Z22" s="452"/>
      <c r="AA22" s="452"/>
      <c r="AB22" s="452"/>
      <c r="AC22" s="452"/>
      <c r="AD22" s="452"/>
      <c r="AE22" s="452"/>
      <c r="AF22" s="452"/>
      <c r="AG22" s="452"/>
      <c r="AH22" s="452"/>
      <c r="AI22" s="452"/>
      <c r="AJ22" s="452"/>
      <c r="AK22" s="452"/>
      <c r="AL22" s="452"/>
      <c r="AM22" s="452"/>
      <c r="AN22" s="452"/>
      <c r="AO22" s="452"/>
      <c r="AP22" s="452"/>
      <c r="AQ22" s="452"/>
      <c r="AR22" s="452"/>
      <c r="AS22" s="452"/>
      <c r="AT22" s="452"/>
      <c r="AU22" s="452"/>
      <c r="AV22" s="452"/>
      <c r="AW22" s="452"/>
      <c r="AX22" s="452"/>
      <c r="AY22" s="452"/>
      <c r="AZ22" s="452"/>
      <c r="BA22" s="452"/>
      <c r="BB22" s="452"/>
      <c r="BC22" s="452"/>
      <c r="BD22" s="452"/>
      <c r="BE22" s="452"/>
      <c r="BF22" s="452"/>
      <c r="BG22" s="452"/>
      <c r="BH22" s="452"/>
      <c r="BI22" s="452"/>
      <c r="BJ22" s="452"/>
      <c r="BK22" s="452"/>
      <c r="BL22" s="452"/>
      <c r="BM22" s="452"/>
      <c r="BN22" s="452"/>
      <c r="BO22" s="452"/>
      <c r="BP22" s="452"/>
      <c r="BQ22" s="452"/>
      <c r="BR22" s="452"/>
      <c r="BS22" s="452"/>
      <c r="BT22" s="452"/>
      <c r="BU22" s="452"/>
      <c r="BV22" s="452"/>
      <c r="BW22" s="452"/>
      <c r="BX22" s="452"/>
      <c r="BY22" s="452"/>
      <c r="BZ22" s="452"/>
      <c r="CA22" s="452"/>
      <c r="CB22" s="452"/>
      <c r="CC22" s="452"/>
      <c r="CD22" s="452"/>
      <c r="CE22" s="452"/>
      <c r="CF22" s="452"/>
      <c r="CG22" s="452"/>
      <c r="CH22" s="452"/>
      <c r="CI22" s="452"/>
      <c r="CJ22" s="452"/>
      <c r="CK22" s="452"/>
      <c r="CL22" s="452"/>
      <c r="CM22" s="452"/>
      <c r="CN22" s="452"/>
      <c r="CO22" s="452"/>
      <c r="CP22" s="452"/>
      <c r="CQ22" s="452"/>
      <c r="CR22" s="452"/>
      <c r="CS22" s="452"/>
      <c r="CT22" s="452"/>
      <c r="CU22" s="452"/>
      <c r="CV22" s="452"/>
      <c r="CW22" s="452"/>
      <c r="CX22" s="452"/>
      <c r="CY22" s="452"/>
      <c r="CZ22" s="452"/>
      <c r="DA22" s="452"/>
      <c r="DB22" s="452"/>
      <c r="DC22" s="452"/>
      <c r="DD22" s="452"/>
      <c r="DE22" s="452"/>
      <c r="DF22" s="452"/>
      <c r="DG22" s="452"/>
      <c r="DH22" s="452"/>
      <c r="DI22" s="452"/>
      <c r="DJ22" s="452"/>
      <c r="DK22" s="452"/>
      <c r="DL22" s="452"/>
      <c r="DM22" s="452"/>
      <c r="DN22" s="452"/>
      <c r="DO22" s="452"/>
      <c r="DP22" s="452"/>
      <c r="DQ22" s="452"/>
      <c r="DR22" s="452"/>
      <c r="DS22" s="452"/>
      <c r="DT22" s="452"/>
      <c r="DU22" s="452"/>
      <c r="DV22" s="452"/>
      <c r="DW22" s="452"/>
      <c r="DX22" s="452"/>
      <c r="DY22" s="452"/>
      <c r="DZ22" s="452"/>
      <c r="EA22" s="452"/>
      <c r="EB22" s="452"/>
      <c r="EC22" s="452"/>
      <c r="ED22" s="452"/>
      <c r="EE22" s="452"/>
      <c r="EF22" s="452"/>
      <c r="EG22" s="452"/>
      <c r="EH22" s="452"/>
      <c r="EI22" s="452"/>
      <c r="EJ22" s="452"/>
      <c r="EK22" s="452"/>
      <c r="EL22" s="452"/>
      <c r="EM22" s="452"/>
      <c r="EN22" s="452"/>
      <c r="EO22" s="452"/>
      <c r="EP22" s="452"/>
      <c r="EQ22" s="452"/>
      <c r="ER22" s="452"/>
      <c r="ES22" s="452"/>
      <c r="ET22" s="452"/>
      <c r="EU22" s="452"/>
      <c r="EV22" s="452"/>
      <c r="EW22" s="452"/>
      <c r="EX22" s="452"/>
      <c r="EY22" s="452"/>
      <c r="EZ22" s="452"/>
      <c r="FA22" s="452"/>
      <c r="FB22" s="452"/>
      <c r="FC22" s="452"/>
      <c r="FD22" s="452"/>
      <c r="FE22" s="452"/>
      <c r="FF22" s="452"/>
      <c r="FG22" s="452"/>
      <c r="FH22" s="452"/>
      <c r="FI22" s="452"/>
      <c r="FJ22" s="452"/>
      <c r="FK22" s="452"/>
      <c r="FL22" s="452"/>
      <c r="FM22" s="452"/>
      <c r="FN22" s="452"/>
      <c r="FO22" s="452"/>
      <c r="FP22" s="452"/>
      <c r="FQ22" s="452"/>
      <c r="FR22" s="452"/>
      <c r="FS22" s="452"/>
      <c r="FT22" s="452"/>
      <c r="FU22" s="452"/>
      <c r="FV22" s="452"/>
      <c r="FW22" s="452"/>
      <c r="FX22" s="452"/>
      <c r="FY22" s="452"/>
      <c r="FZ22" s="452"/>
      <c r="GA22" s="452"/>
      <c r="GB22" s="452"/>
      <c r="GC22" s="452"/>
      <c r="GD22" s="452"/>
      <c r="GE22" s="452"/>
      <c r="GF22" s="452"/>
      <c r="GG22" s="452"/>
      <c r="GH22" s="452"/>
      <c r="GI22" s="452"/>
      <c r="GJ22" s="452"/>
      <c r="GK22" s="452"/>
      <c r="GL22" s="452"/>
      <c r="GM22" s="452"/>
      <c r="GN22" s="452"/>
      <c r="GO22" s="452"/>
      <c r="GP22" s="452"/>
      <c r="GQ22" s="452"/>
      <c r="GR22" s="452"/>
      <c r="GS22" s="452"/>
      <c r="GT22" s="452"/>
      <c r="GU22" s="452"/>
      <c r="GV22" s="452"/>
      <c r="GW22" s="452"/>
      <c r="GX22" s="452"/>
      <c r="GY22" s="452"/>
      <c r="GZ22" s="452"/>
      <c r="HA22" s="452"/>
      <c r="HB22" s="452"/>
      <c r="HC22" s="452"/>
      <c r="HD22" s="452"/>
      <c r="HE22" s="452"/>
      <c r="HF22" s="452"/>
      <c r="HG22" s="452"/>
      <c r="HH22" s="452"/>
      <c r="HI22" s="452"/>
      <c r="HJ22" s="452"/>
      <c r="HK22" s="452"/>
      <c r="HL22" s="452"/>
      <c r="HM22" s="452"/>
      <c r="HN22" s="452"/>
      <c r="HO22" s="452"/>
      <c r="HP22" s="452"/>
      <c r="HQ22" s="452"/>
      <c r="HR22" s="452"/>
      <c r="HS22" s="452"/>
      <c r="HT22" s="452"/>
      <c r="HU22" s="452"/>
      <c r="HV22" s="452"/>
      <c r="HW22" s="452"/>
      <c r="HX22" s="452"/>
      <c r="HY22" s="452"/>
      <c r="HZ22" s="452"/>
      <c r="IA22" s="452"/>
      <c r="IB22" s="452"/>
      <c r="IC22" s="452"/>
      <c r="ID22" s="452"/>
      <c r="IE22" s="452"/>
      <c r="IF22" s="452"/>
      <c r="IG22" s="452"/>
      <c r="IH22" s="452"/>
      <c r="II22" s="452"/>
      <c r="IJ22" s="452"/>
      <c r="IK22" s="452"/>
      <c r="IL22" s="452"/>
      <c r="IM22" s="452"/>
      <c r="IN22" s="452"/>
      <c r="IO22" s="452"/>
      <c r="IP22" s="452"/>
      <c r="IQ22" s="452"/>
      <c r="IR22" s="452"/>
      <c r="IS22" s="452"/>
      <c r="IT22" s="452"/>
      <c r="IU22" s="452"/>
      <c r="IV22" s="452"/>
    </row>
    <row r="23" spans="1:256" ht="6.75" customHeight="1">
      <c r="A23" s="703"/>
      <c r="B23" s="448"/>
      <c r="C23" s="448"/>
      <c r="D23" s="446"/>
      <c r="E23" s="445"/>
      <c r="F23" s="446" t="s">
        <v>15</v>
      </c>
      <c r="G23" s="445"/>
      <c r="H23" s="704"/>
      <c r="I23" s="445"/>
      <c r="J23" s="705"/>
      <c r="K23" s="445"/>
      <c r="L23" s="446"/>
      <c r="M23" s="450"/>
      <c r="N23" s="452"/>
      <c r="O23" s="452"/>
      <c r="P23" s="452"/>
      <c r="Q23" s="452"/>
      <c r="R23" s="452"/>
      <c r="S23" s="452"/>
      <c r="T23" s="452"/>
      <c r="U23" s="452"/>
      <c r="V23" s="452"/>
      <c r="W23" s="452"/>
      <c r="X23" s="452"/>
      <c r="Y23" s="452"/>
      <c r="Z23" s="452"/>
      <c r="AA23" s="452"/>
      <c r="AB23" s="452"/>
      <c r="AC23" s="452"/>
      <c r="AD23" s="452"/>
      <c r="AE23" s="452"/>
      <c r="AF23" s="452"/>
      <c r="AG23" s="452"/>
      <c r="AH23" s="452"/>
      <c r="AI23" s="452"/>
      <c r="AJ23" s="452"/>
      <c r="AK23" s="452"/>
      <c r="AL23" s="452"/>
      <c r="AM23" s="452"/>
      <c r="AN23" s="452"/>
      <c r="AO23" s="452"/>
      <c r="AP23" s="452"/>
      <c r="AQ23" s="452"/>
      <c r="AR23" s="452"/>
      <c r="AS23" s="452"/>
      <c r="AT23" s="452"/>
      <c r="AU23" s="452"/>
      <c r="AV23" s="452"/>
      <c r="AW23" s="452"/>
      <c r="AX23" s="452"/>
      <c r="AY23" s="452"/>
      <c r="AZ23" s="452"/>
      <c r="BA23" s="452"/>
      <c r="BB23" s="452"/>
      <c r="BC23" s="452"/>
      <c r="BD23" s="452"/>
      <c r="BE23" s="452"/>
      <c r="BF23" s="452"/>
      <c r="BG23" s="452"/>
      <c r="BH23" s="452"/>
      <c r="BI23" s="452"/>
      <c r="BJ23" s="452"/>
      <c r="BK23" s="452"/>
      <c r="BL23" s="452"/>
      <c r="BM23" s="452"/>
      <c r="BN23" s="452"/>
      <c r="BO23" s="452"/>
      <c r="BP23" s="452"/>
      <c r="BQ23" s="452"/>
      <c r="BR23" s="452"/>
      <c r="BS23" s="452"/>
      <c r="BT23" s="452"/>
      <c r="BU23" s="452"/>
      <c r="BV23" s="452"/>
      <c r="BW23" s="452"/>
      <c r="BX23" s="452"/>
      <c r="BY23" s="452"/>
      <c r="BZ23" s="452"/>
      <c r="CA23" s="452"/>
      <c r="CB23" s="452"/>
      <c r="CC23" s="452"/>
      <c r="CD23" s="452"/>
      <c r="CE23" s="452"/>
      <c r="CF23" s="452"/>
      <c r="CG23" s="452"/>
      <c r="CH23" s="452"/>
      <c r="CI23" s="452"/>
      <c r="CJ23" s="452"/>
      <c r="CK23" s="452"/>
      <c r="CL23" s="452"/>
      <c r="CM23" s="452"/>
      <c r="CN23" s="452"/>
      <c r="CO23" s="452"/>
      <c r="CP23" s="452"/>
      <c r="CQ23" s="452"/>
      <c r="CR23" s="452"/>
      <c r="CS23" s="452"/>
      <c r="CT23" s="452"/>
      <c r="CU23" s="452"/>
      <c r="CV23" s="452"/>
      <c r="CW23" s="452"/>
      <c r="CX23" s="452"/>
      <c r="CY23" s="452"/>
      <c r="CZ23" s="452"/>
      <c r="DA23" s="452"/>
      <c r="DB23" s="452"/>
      <c r="DC23" s="452"/>
      <c r="DD23" s="452"/>
      <c r="DE23" s="452"/>
      <c r="DF23" s="452"/>
      <c r="DG23" s="452"/>
      <c r="DH23" s="452"/>
      <c r="DI23" s="452"/>
      <c r="DJ23" s="452"/>
      <c r="DK23" s="452"/>
      <c r="DL23" s="452"/>
      <c r="DM23" s="452"/>
      <c r="DN23" s="452"/>
      <c r="DO23" s="452"/>
      <c r="DP23" s="452"/>
      <c r="DQ23" s="452"/>
      <c r="DR23" s="452"/>
      <c r="DS23" s="452"/>
      <c r="DT23" s="452"/>
      <c r="DU23" s="452"/>
      <c r="DV23" s="452"/>
      <c r="DW23" s="452"/>
      <c r="DX23" s="452"/>
      <c r="DY23" s="452"/>
      <c r="DZ23" s="452"/>
      <c r="EA23" s="452"/>
      <c r="EB23" s="452"/>
      <c r="EC23" s="452"/>
      <c r="ED23" s="452"/>
      <c r="EE23" s="452"/>
      <c r="EF23" s="452"/>
      <c r="EG23" s="452"/>
      <c r="EH23" s="452"/>
      <c r="EI23" s="452"/>
      <c r="EJ23" s="452"/>
      <c r="EK23" s="452"/>
      <c r="EL23" s="452"/>
      <c r="EM23" s="452"/>
      <c r="EN23" s="452"/>
      <c r="EO23" s="452"/>
      <c r="EP23" s="452"/>
      <c r="EQ23" s="452"/>
      <c r="ER23" s="452"/>
      <c r="ES23" s="452"/>
      <c r="ET23" s="452"/>
      <c r="EU23" s="452"/>
      <c r="EV23" s="452"/>
      <c r="EW23" s="452"/>
      <c r="EX23" s="452"/>
      <c r="EY23" s="452"/>
      <c r="EZ23" s="452"/>
      <c r="FA23" s="452"/>
      <c r="FB23" s="452"/>
      <c r="FC23" s="452"/>
      <c r="FD23" s="452"/>
      <c r="FE23" s="452"/>
      <c r="FF23" s="452"/>
      <c r="FG23" s="452"/>
      <c r="FH23" s="452"/>
      <c r="FI23" s="452"/>
      <c r="FJ23" s="452"/>
      <c r="FK23" s="452"/>
      <c r="FL23" s="452"/>
      <c r="FM23" s="452"/>
      <c r="FN23" s="452"/>
      <c r="FO23" s="452"/>
      <c r="FP23" s="452"/>
      <c r="FQ23" s="452"/>
      <c r="FR23" s="452"/>
      <c r="FS23" s="452"/>
      <c r="FT23" s="452"/>
      <c r="FU23" s="452"/>
      <c r="FV23" s="452"/>
      <c r="FW23" s="452"/>
      <c r="FX23" s="452"/>
      <c r="FY23" s="452"/>
      <c r="FZ23" s="452"/>
      <c r="GA23" s="452"/>
      <c r="GB23" s="452"/>
      <c r="GC23" s="452"/>
      <c r="GD23" s="452"/>
      <c r="GE23" s="452"/>
      <c r="GF23" s="452"/>
      <c r="GG23" s="452"/>
      <c r="GH23" s="452"/>
      <c r="GI23" s="452"/>
      <c r="GJ23" s="452"/>
      <c r="GK23" s="452"/>
      <c r="GL23" s="452"/>
      <c r="GM23" s="452"/>
      <c r="GN23" s="452"/>
      <c r="GO23" s="452"/>
      <c r="GP23" s="452"/>
      <c r="GQ23" s="452"/>
      <c r="GR23" s="452"/>
      <c r="GS23" s="452"/>
      <c r="GT23" s="452"/>
      <c r="GU23" s="452"/>
      <c r="GV23" s="452"/>
      <c r="GW23" s="452"/>
      <c r="GX23" s="452"/>
      <c r="GY23" s="452"/>
      <c r="GZ23" s="452"/>
      <c r="HA23" s="452"/>
      <c r="HB23" s="452"/>
      <c r="HC23" s="452"/>
      <c r="HD23" s="452"/>
      <c r="HE23" s="452"/>
      <c r="HF23" s="452"/>
      <c r="HG23" s="452"/>
      <c r="HH23" s="452"/>
      <c r="HI23" s="452"/>
      <c r="HJ23" s="452"/>
      <c r="HK23" s="452"/>
      <c r="HL23" s="452"/>
      <c r="HM23" s="452"/>
      <c r="HN23" s="452"/>
      <c r="HO23" s="452"/>
      <c r="HP23" s="452"/>
      <c r="HQ23" s="452"/>
      <c r="HR23" s="452"/>
      <c r="HS23" s="452"/>
      <c r="HT23" s="452"/>
      <c r="HU23" s="452"/>
      <c r="HV23" s="452"/>
      <c r="HW23" s="452"/>
      <c r="HX23" s="452"/>
      <c r="HY23" s="452"/>
      <c r="HZ23" s="452"/>
      <c r="IA23" s="452"/>
      <c r="IB23" s="452"/>
      <c r="IC23" s="452"/>
      <c r="ID23" s="452"/>
      <c r="IE23" s="452"/>
      <c r="IF23" s="452"/>
      <c r="IG23" s="452"/>
      <c r="IH23" s="452"/>
      <c r="II23" s="452"/>
      <c r="IJ23" s="452"/>
      <c r="IK23" s="452"/>
      <c r="IL23" s="452"/>
      <c r="IM23" s="452"/>
      <c r="IN23" s="452"/>
      <c r="IO23" s="452"/>
      <c r="IP23" s="452"/>
      <c r="IQ23" s="452"/>
      <c r="IR23" s="452"/>
      <c r="IS23" s="452"/>
      <c r="IT23" s="452"/>
      <c r="IU23" s="452"/>
      <c r="IV23" s="452"/>
    </row>
    <row r="24" spans="1:256" ht="17.25" customHeight="1">
      <c r="A24" s="454" t="s">
        <v>1201</v>
      </c>
      <c r="B24" s="448"/>
      <c r="C24" s="470"/>
      <c r="D24" s="706">
        <f>ROUND(SUM(D21:D22),3)</f>
        <v>14.234999999999999</v>
      </c>
      <c r="E24" s="702"/>
      <c r="F24" s="706">
        <f>ROUND(SUM(F21:F22),3)</f>
        <v>7.4999999999999997E-2</v>
      </c>
      <c r="G24" s="702"/>
      <c r="H24" s="706">
        <f>ROUND(SUM(H21:H22),3)</f>
        <v>3.6999999999999998E-2</v>
      </c>
      <c r="I24" s="702"/>
      <c r="J24" s="706">
        <f>ROUND(SUM(J21:J22),3)</f>
        <v>0</v>
      </c>
      <c r="K24" s="702"/>
      <c r="L24" s="706">
        <f>ROUND(SUM(L21:L22),3)</f>
        <v>14.273</v>
      </c>
      <c r="M24" s="462"/>
      <c r="N24" s="463"/>
      <c r="O24" s="452"/>
      <c r="P24" s="452"/>
      <c r="Q24" s="452"/>
      <c r="R24" s="452"/>
      <c r="S24" s="452"/>
      <c r="T24" s="452"/>
      <c r="U24" s="452"/>
      <c r="V24" s="452"/>
      <c r="W24" s="452"/>
      <c r="X24" s="452"/>
      <c r="Y24" s="452"/>
      <c r="Z24" s="452"/>
      <c r="AA24" s="452"/>
      <c r="AB24" s="452"/>
      <c r="AC24" s="452"/>
      <c r="AD24" s="452"/>
      <c r="AE24" s="452"/>
      <c r="AF24" s="452"/>
      <c r="AG24" s="452"/>
      <c r="AH24" s="452"/>
      <c r="AI24" s="452"/>
      <c r="AJ24" s="452"/>
      <c r="AK24" s="452"/>
      <c r="AL24" s="452"/>
      <c r="AM24" s="452"/>
      <c r="AN24" s="452"/>
      <c r="AO24" s="452"/>
      <c r="AP24" s="452"/>
      <c r="AQ24" s="452"/>
      <c r="AR24" s="452"/>
      <c r="AS24" s="452"/>
      <c r="AT24" s="452"/>
      <c r="AU24" s="452"/>
      <c r="AV24" s="452"/>
      <c r="AW24" s="452"/>
      <c r="AX24" s="452"/>
      <c r="AY24" s="452"/>
      <c r="AZ24" s="452"/>
      <c r="BA24" s="452"/>
      <c r="BB24" s="452"/>
      <c r="BC24" s="452"/>
      <c r="BD24" s="452"/>
      <c r="BE24" s="452"/>
      <c r="BF24" s="452"/>
      <c r="BG24" s="452"/>
      <c r="BH24" s="452"/>
      <c r="BI24" s="452"/>
      <c r="BJ24" s="452"/>
      <c r="BK24" s="452"/>
      <c r="BL24" s="452"/>
      <c r="BM24" s="452"/>
      <c r="BN24" s="452"/>
      <c r="BO24" s="452"/>
      <c r="BP24" s="452"/>
      <c r="BQ24" s="452"/>
      <c r="BR24" s="452"/>
      <c r="BS24" s="452"/>
      <c r="BT24" s="452"/>
      <c r="BU24" s="452"/>
      <c r="BV24" s="452"/>
      <c r="BW24" s="452"/>
      <c r="BX24" s="452"/>
      <c r="BY24" s="452"/>
      <c r="BZ24" s="452"/>
      <c r="CA24" s="452"/>
      <c r="CB24" s="452"/>
      <c r="CC24" s="452"/>
      <c r="CD24" s="452"/>
      <c r="CE24" s="452"/>
      <c r="CF24" s="452"/>
      <c r="CG24" s="452"/>
      <c r="CH24" s="452"/>
      <c r="CI24" s="452"/>
      <c r="CJ24" s="452"/>
      <c r="CK24" s="452"/>
      <c r="CL24" s="452"/>
      <c r="CM24" s="452"/>
      <c r="CN24" s="452"/>
      <c r="CO24" s="452"/>
      <c r="CP24" s="452"/>
      <c r="CQ24" s="452"/>
      <c r="CR24" s="452"/>
      <c r="CS24" s="452"/>
      <c r="CT24" s="452"/>
      <c r="CU24" s="452"/>
      <c r="CV24" s="452"/>
      <c r="CW24" s="452"/>
      <c r="CX24" s="452"/>
      <c r="CY24" s="452"/>
      <c r="CZ24" s="452"/>
      <c r="DA24" s="452"/>
      <c r="DB24" s="452"/>
      <c r="DC24" s="452"/>
      <c r="DD24" s="452"/>
      <c r="DE24" s="452"/>
      <c r="DF24" s="452"/>
      <c r="DG24" s="452"/>
      <c r="DH24" s="452"/>
      <c r="DI24" s="452"/>
      <c r="DJ24" s="452"/>
      <c r="DK24" s="452"/>
      <c r="DL24" s="452"/>
      <c r="DM24" s="452"/>
      <c r="DN24" s="452"/>
      <c r="DO24" s="452"/>
      <c r="DP24" s="452"/>
      <c r="DQ24" s="452"/>
      <c r="DR24" s="452"/>
      <c r="DS24" s="452"/>
      <c r="DT24" s="452"/>
      <c r="DU24" s="452"/>
      <c r="DV24" s="452"/>
      <c r="DW24" s="452"/>
      <c r="DX24" s="452"/>
      <c r="DY24" s="452"/>
      <c r="DZ24" s="452"/>
      <c r="EA24" s="452"/>
      <c r="EB24" s="452"/>
      <c r="EC24" s="452"/>
      <c r="ED24" s="452"/>
      <c r="EE24" s="452"/>
      <c r="EF24" s="452"/>
      <c r="EG24" s="452"/>
      <c r="EH24" s="452"/>
      <c r="EI24" s="452"/>
      <c r="EJ24" s="452"/>
      <c r="EK24" s="452"/>
      <c r="EL24" s="452"/>
      <c r="EM24" s="452"/>
      <c r="EN24" s="452"/>
      <c r="EO24" s="452"/>
      <c r="EP24" s="452"/>
      <c r="EQ24" s="452"/>
      <c r="ER24" s="452"/>
      <c r="ES24" s="452"/>
      <c r="ET24" s="452"/>
      <c r="EU24" s="452"/>
      <c r="EV24" s="452"/>
      <c r="EW24" s="452"/>
      <c r="EX24" s="452"/>
      <c r="EY24" s="452"/>
      <c r="EZ24" s="452"/>
      <c r="FA24" s="452"/>
      <c r="FB24" s="452"/>
      <c r="FC24" s="452"/>
      <c r="FD24" s="452"/>
      <c r="FE24" s="452"/>
      <c r="FF24" s="452"/>
      <c r="FG24" s="452"/>
      <c r="FH24" s="452"/>
      <c r="FI24" s="452"/>
      <c r="FJ24" s="452"/>
      <c r="FK24" s="452"/>
      <c r="FL24" s="452"/>
      <c r="FM24" s="452"/>
      <c r="FN24" s="452"/>
      <c r="FO24" s="452"/>
      <c r="FP24" s="452"/>
      <c r="FQ24" s="452"/>
      <c r="FR24" s="452"/>
      <c r="FS24" s="452"/>
      <c r="FT24" s="452"/>
      <c r="FU24" s="452"/>
      <c r="FV24" s="452"/>
      <c r="FW24" s="452"/>
      <c r="FX24" s="452"/>
      <c r="FY24" s="452"/>
      <c r="FZ24" s="452"/>
      <c r="GA24" s="452"/>
      <c r="GB24" s="452"/>
      <c r="GC24" s="452"/>
      <c r="GD24" s="452"/>
      <c r="GE24" s="452"/>
      <c r="GF24" s="452"/>
      <c r="GG24" s="452"/>
      <c r="GH24" s="452"/>
      <c r="GI24" s="452"/>
      <c r="GJ24" s="452"/>
      <c r="GK24" s="452"/>
      <c r="GL24" s="452"/>
      <c r="GM24" s="452"/>
      <c r="GN24" s="452"/>
      <c r="GO24" s="452"/>
      <c r="GP24" s="452"/>
      <c r="GQ24" s="452"/>
      <c r="GR24" s="452"/>
      <c r="GS24" s="452"/>
      <c r="GT24" s="452"/>
      <c r="GU24" s="452"/>
      <c r="GV24" s="452"/>
      <c r="GW24" s="452"/>
      <c r="GX24" s="452"/>
      <c r="GY24" s="452"/>
      <c r="GZ24" s="452"/>
      <c r="HA24" s="452"/>
      <c r="HB24" s="452"/>
      <c r="HC24" s="452"/>
      <c r="HD24" s="452"/>
      <c r="HE24" s="452"/>
      <c r="HF24" s="452"/>
      <c r="HG24" s="452"/>
      <c r="HH24" s="452"/>
      <c r="HI24" s="452"/>
      <c r="HJ24" s="452"/>
      <c r="HK24" s="452"/>
      <c r="HL24" s="452"/>
      <c r="HM24" s="452"/>
      <c r="HN24" s="452"/>
      <c r="HO24" s="452"/>
      <c r="HP24" s="452"/>
      <c r="HQ24" s="452"/>
      <c r="HR24" s="452"/>
      <c r="HS24" s="452"/>
      <c r="HT24" s="452"/>
      <c r="HU24" s="452"/>
      <c r="HV24" s="452"/>
      <c r="HW24" s="452"/>
      <c r="HX24" s="452"/>
      <c r="HY24" s="452"/>
      <c r="HZ24" s="452"/>
      <c r="IA24" s="452"/>
      <c r="IB24" s="452"/>
      <c r="IC24" s="452"/>
      <c r="ID24" s="452"/>
      <c r="IE24" s="452"/>
      <c r="IF24" s="452"/>
      <c r="IG24" s="452"/>
      <c r="IH24" s="452"/>
      <c r="II24" s="452"/>
      <c r="IJ24" s="452"/>
      <c r="IK24" s="452"/>
      <c r="IL24" s="452"/>
      <c r="IM24" s="452"/>
      <c r="IN24" s="452"/>
      <c r="IO24" s="452"/>
      <c r="IP24" s="452"/>
      <c r="IQ24" s="452"/>
      <c r="IR24" s="452"/>
      <c r="IS24" s="452"/>
      <c r="IT24" s="452"/>
      <c r="IU24" s="452"/>
      <c r="IV24" s="452"/>
    </row>
    <row r="25" spans="1:256" ht="12" customHeight="1">
      <c r="A25" s="448"/>
      <c r="B25" s="448"/>
      <c r="C25" s="448"/>
      <c r="D25" s="702"/>
      <c r="E25" s="700"/>
      <c r="F25" s="702"/>
      <c r="G25" s="700"/>
      <c r="H25" s="702"/>
      <c r="I25" s="700"/>
      <c r="J25" s="702"/>
      <c r="K25" s="700"/>
      <c r="L25" s="702"/>
      <c r="M25" s="450"/>
      <c r="N25" s="452"/>
      <c r="O25" s="452"/>
      <c r="P25" s="452"/>
      <c r="Q25" s="452"/>
      <c r="R25" s="452"/>
      <c r="S25" s="452"/>
      <c r="T25" s="452"/>
      <c r="U25" s="452"/>
      <c r="V25" s="452"/>
      <c r="W25" s="452"/>
      <c r="X25" s="452"/>
      <c r="Y25" s="452"/>
      <c r="Z25" s="452"/>
      <c r="AA25" s="452"/>
      <c r="AB25" s="452"/>
      <c r="AC25" s="452"/>
      <c r="AD25" s="452"/>
      <c r="AE25" s="452"/>
      <c r="AF25" s="452"/>
      <c r="AG25" s="452"/>
      <c r="AH25" s="452"/>
      <c r="AI25" s="452"/>
      <c r="AJ25" s="452"/>
      <c r="AK25" s="452"/>
      <c r="AL25" s="452"/>
      <c r="AM25" s="452"/>
      <c r="AN25" s="452"/>
      <c r="AO25" s="452"/>
      <c r="AP25" s="452"/>
      <c r="AQ25" s="452"/>
      <c r="AR25" s="452"/>
      <c r="AS25" s="452"/>
      <c r="AT25" s="452"/>
      <c r="AU25" s="452"/>
      <c r="AV25" s="452"/>
      <c r="AW25" s="452"/>
      <c r="AX25" s="452"/>
      <c r="AY25" s="452"/>
      <c r="AZ25" s="452"/>
      <c r="BA25" s="452"/>
      <c r="BB25" s="452"/>
      <c r="BC25" s="452"/>
      <c r="BD25" s="452"/>
      <c r="BE25" s="452"/>
      <c r="BF25" s="452"/>
      <c r="BG25" s="452"/>
      <c r="BH25" s="452"/>
      <c r="BI25" s="452"/>
      <c r="BJ25" s="452"/>
      <c r="BK25" s="452"/>
      <c r="BL25" s="452"/>
      <c r="BM25" s="452"/>
      <c r="BN25" s="452"/>
      <c r="BO25" s="452"/>
      <c r="BP25" s="452"/>
      <c r="BQ25" s="452"/>
      <c r="BR25" s="452"/>
      <c r="BS25" s="452"/>
      <c r="BT25" s="452"/>
      <c r="BU25" s="452"/>
      <c r="BV25" s="452"/>
      <c r="BW25" s="452"/>
      <c r="BX25" s="452"/>
      <c r="BY25" s="452"/>
      <c r="BZ25" s="452"/>
      <c r="CA25" s="452"/>
      <c r="CB25" s="452"/>
      <c r="CC25" s="452"/>
      <c r="CD25" s="452"/>
      <c r="CE25" s="452"/>
      <c r="CF25" s="452"/>
      <c r="CG25" s="452"/>
      <c r="CH25" s="452"/>
      <c r="CI25" s="452"/>
      <c r="CJ25" s="452"/>
      <c r="CK25" s="452"/>
      <c r="CL25" s="452"/>
      <c r="CM25" s="452"/>
      <c r="CN25" s="452"/>
      <c r="CO25" s="452"/>
      <c r="CP25" s="452"/>
      <c r="CQ25" s="452"/>
      <c r="CR25" s="452"/>
      <c r="CS25" s="452"/>
      <c r="CT25" s="452"/>
      <c r="CU25" s="452"/>
      <c r="CV25" s="452"/>
      <c r="CW25" s="452"/>
      <c r="CX25" s="452"/>
      <c r="CY25" s="452"/>
      <c r="CZ25" s="452"/>
      <c r="DA25" s="452"/>
      <c r="DB25" s="452"/>
      <c r="DC25" s="452"/>
      <c r="DD25" s="452"/>
      <c r="DE25" s="452"/>
      <c r="DF25" s="452"/>
      <c r="DG25" s="452"/>
      <c r="DH25" s="452"/>
      <c r="DI25" s="452"/>
      <c r="DJ25" s="452"/>
      <c r="DK25" s="452"/>
      <c r="DL25" s="452"/>
      <c r="DM25" s="452"/>
      <c r="DN25" s="452"/>
      <c r="DO25" s="452"/>
      <c r="DP25" s="452"/>
      <c r="DQ25" s="452"/>
      <c r="DR25" s="452"/>
      <c r="DS25" s="452"/>
      <c r="DT25" s="452"/>
      <c r="DU25" s="452"/>
      <c r="DV25" s="452"/>
      <c r="DW25" s="452"/>
      <c r="DX25" s="452"/>
      <c r="DY25" s="452"/>
      <c r="DZ25" s="452"/>
      <c r="EA25" s="452"/>
      <c r="EB25" s="452"/>
      <c r="EC25" s="452"/>
      <c r="ED25" s="452"/>
      <c r="EE25" s="452"/>
      <c r="EF25" s="452"/>
      <c r="EG25" s="452"/>
      <c r="EH25" s="452"/>
      <c r="EI25" s="452"/>
      <c r="EJ25" s="452"/>
      <c r="EK25" s="452"/>
      <c r="EL25" s="452"/>
      <c r="EM25" s="452"/>
      <c r="EN25" s="452"/>
      <c r="EO25" s="452"/>
      <c r="EP25" s="452"/>
      <c r="EQ25" s="452"/>
      <c r="ER25" s="452"/>
      <c r="ES25" s="452"/>
      <c r="ET25" s="452"/>
      <c r="EU25" s="452"/>
      <c r="EV25" s="452"/>
      <c r="EW25" s="452"/>
      <c r="EX25" s="452"/>
      <c r="EY25" s="452"/>
      <c r="EZ25" s="452"/>
      <c r="FA25" s="452"/>
      <c r="FB25" s="452"/>
      <c r="FC25" s="452"/>
      <c r="FD25" s="452"/>
      <c r="FE25" s="452"/>
      <c r="FF25" s="452"/>
      <c r="FG25" s="452"/>
      <c r="FH25" s="452"/>
      <c r="FI25" s="452"/>
      <c r="FJ25" s="452"/>
      <c r="FK25" s="452"/>
      <c r="FL25" s="452"/>
      <c r="FM25" s="452"/>
      <c r="FN25" s="452"/>
      <c r="FO25" s="452"/>
      <c r="FP25" s="452"/>
      <c r="FQ25" s="452"/>
      <c r="FR25" s="452"/>
      <c r="FS25" s="452"/>
      <c r="FT25" s="452"/>
      <c r="FU25" s="452"/>
      <c r="FV25" s="452"/>
      <c r="FW25" s="452"/>
      <c r="FX25" s="452"/>
      <c r="FY25" s="452"/>
      <c r="FZ25" s="452"/>
      <c r="GA25" s="452"/>
      <c r="GB25" s="452"/>
      <c r="GC25" s="452"/>
      <c r="GD25" s="452"/>
      <c r="GE25" s="452"/>
      <c r="GF25" s="452"/>
      <c r="GG25" s="452"/>
      <c r="GH25" s="452"/>
      <c r="GI25" s="452"/>
      <c r="GJ25" s="452"/>
      <c r="GK25" s="452"/>
      <c r="GL25" s="452"/>
      <c r="GM25" s="452"/>
      <c r="GN25" s="452"/>
      <c r="GO25" s="452"/>
      <c r="GP25" s="452"/>
      <c r="GQ25" s="452"/>
      <c r="GR25" s="452"/>
      <c r="GS25" s="452"/>
      <c r="GT25" s="452"/>
      <c r="GU25" s="452"/>
      <c r="GV25" s="452"/>
      <c r="GW25" s="452"/>
      <c r="GX25" s="452"/>
      <c r="GY25" s="452"/>
      <c r="GZ25" s="452"/>
      <c r="HA25" s="452"/>
      <c r="HB25" s="452"/>
      <c r="HC25" s="452"/>
      <c r="HD25" s="452"/>
      <c r="HE25" s="452"/>
      <c r="HF25" s="452"/>
      <c r="HG25" s="452"/>
      <c r="HH25" s="452"/>
      <c r="HI25" s="452"/>
      <c r="HJ25" s="452"/>
      <c r="HK25" s="452"/>
      <c r="HL25" s="452"/>
      <c r="HM25" s="452"/>
      <c r="HN25" s="452"/>
      <c r="HO25" s="452"/>
      <c r="HP25" s="452"/>
      <c r="HQ25" s="452"/>
      <c r="HR25" s="452"/>
      <c r="HS25" s="452"/>
      <c r="HT25" s="452"/>
      <c r="HU25" s="452"/>
      <c r="HV25" s="452"/>
      <c r="HW25" s="452"/>
      <c r="HX25" s="452"/>
      <c r="HY25" s="452"/>
      <c r="HZ25" s="452"/>
      <c r="IA25" s="452"/>
      <c r="IB25" s="452"/>
      <c r="IC25" s="452"/>
      <c r="ID25" s="452"/>
      <c r="IE25" s="452"/>
      <c r="IF25" s="452"/>
      <c r="IG25" s="452"/>
      <c r="IH25" s="452"/>
      <c r="II25" s="452"/>
      <c r="IJ25" s="452"/>
      <c r="IK25" s="452"/>
      <c r="IL25" s="452"/>
      <c r="IM25" s="452"/>
      <c r="IN25" s="452"/>
      <c r="IO25" s="452"/>
      <c r="IP25" s="452"/>
      <c r="IQ25" s="452"/>
      <c r="IR25" s="452"/>
      <c r="IS25" s="452"/>
      <c r="IT25" s="452"/>
      <c r="IU25" s="452"/>
      <c r="IV25" s="452"/>
    </row>
    <row r="26" spans="1:256" ht="18">
      <c r="A26" s="455" t="s">
        <v>374</v>
      </c>
      <c r="B26" s="448"/>
      <c r="C26" s="448"/>
      <c r="D26" s="700"/>
      <c r="E26" s="700"/>
      <c r="F26" s="700"/>
      <c r="G26" s="700"/>
      <c r="H26" s="700"/>
      <c r="I26" s="700"/>
      <c r="J26" s="700"/>
      <c r="K26" s="700"/>
      <c r="L26" s="700"/>
      <c r="M26" s="450"/>
      <c r="N26" s="452"/>
      <c r="O26" s="452"/>
      <c r="P26" s="452"/>
      <c r="Q26" s="452"/>
      <c r="R26" s="452"/>
      <c r="S26" s="452"/>
      <c r="T26" s="452"/>
      <c r="U26" s="452"/>
      <c r="V26" s="452"/>
      <c r="W26" s="452"/>
      <c r="X26" s="452"/>
      <c r="Y26" s="452"/>
      <c r="Z26" s="452"/>
      <c r="AA26" s="452"/>
      <c r="AB26" s="452"/>
      <c r="AC26" s="452"/>
      <c r="AD26" s="452"/>
      <c r="AE26" s="452"/>
      <c r="AF26" s="452"/>
      <c r="AG26" s="452"/>
      <c r="AH26" s="452"/>
      <c r="AI26" s="452"/>
      <c r="AJ26" s="452"/>
      <c r="AK26" s="452"/>
      <c r="AL26" s="452"/>
      <c r="AM26" s="452"/>
      <c r="AN26" s="452"/>
      <c r="AO26" s="452"/>
      <c r="AP26" s="452"/>
      <c r="AQ26" s="452"/>
      <c r="AR26" s="452"/>
      <c r="AS26" s="452"/>
      <c r="AT26" s="452"/>
      <c r="AU26" s="452"/>
      <c r="AV26" s="452"/>
      <c r="AW26" s="452"/>
      <c r="AX26" s="452"/>
      <c r="AY26" s="452"/>
      <c r="AZ26" s="452"/>
      <c r="BA26" s="452"/>
      <c r="BB26" s="452"/>
      <c r="BC26" s="452"/>
      <c r="BD26" s="452"/>
      <c r="BE26" s="452"/>
      <c r="BF26" s="452"/>
      <c r="BG26" s="452"/>
      <c r="BH26" s="452"/>
      <c r="BI26" s="452"/>
      <c r="BJ26" s="452"/>
      <c r="BK26" s="452"/>
      <c r="BL26" s="452"/>
      <c r="BM26" s="452"/>
      <c r="BN26" s="452"/>
      <c r="BO26" s="452"/>
      <c r="BP26" s="452"/>
      <c r="BQ26" s="452"/>
      <c r="BR26" s="452"/>
      <c r="BS26" s="452"/>
      <c r="BT26" s="452"/>
      <c r="BU26" s="452"/>
      <c r="BV26" s="452"/>
      <c r="BW26" s="452"/>
      <c r="BX26" s="452"/>
      <c r="BY26" s="452"/>
      <c r="BZ26" s="452"/>
      <c r="CA26" s="452"/>
      <c r="CB26" s="452"/>
      <c r="CC26" s="452"/>
      <c r="CD26" s="452"/>
      <c r="CE26" s="452"/>
      <c r="CF26" s="452"/>
      <c r="CG26" s="452"/>
      <c r="CH26" s="452"/>
      <c r="CI26" s="452"/>
      <c r="CJ26" s="452"/>
      <c r="CK26" s="452"/>
      <c r="CL26" s="452"/>
      <c r="CM26" s="452"/>
      <c r="CN26" s="452"/>
      <c r="CO26" s="452"/>
      <c r="CP26" s="452"/>
      <c r="CQ26" s="452"/>
      <c r="CR26" s="452"/>
      <c r="CS26" s="452"/>
      <c r="CT26" s="452"/>
      <c r="CU26" s="452"/>
      <c r="CV26" s="452"/>
      <c r="CW26" s="452"/>
      <c r="CX26" s="452"/>
      <c r="CY26" s="452"/>
      <c r="CZ26" s="452"/>
      <c r="DA26" s="452"/>
      <c r="DB26" s="452"/>
      <c r="DC26" s="452"/>
      <c r="DD26" s="452"/>
      <c r="DE26" s="452"/>
      <c r="DF26" s="452"/>
      <c r="DG26" s="452"/>
      <c r="DH26" s="452"/>
      <c r="DI26" s="452"/>
      <c r="DJ26" s="452"/>
      <c r="DK26" s="452"/>
      <c r="DL26" s="452"/>
      <c r="DM26" s="452"/>
      <c r="DN26" s="452"/>
      <c r="DO26" s="452"/>
      <c r="DP26" s="452"/>
      <c r="DQ26" s="452"/>
      <c r="DR26" s="452"/>
      <c r="DS26" s="452"/>
      <c r="DT26" s="452"/>
      <c r="DU26" s="452"/>
      <c r="DV26" s="452"/>
      <c r="DW26" s="452"/>
      <c r="DX26" s="452"/>
      <c r="DY26" s="452"/>
      <c r="DZ26" s="452"/>
      <c r="EA26" s="452"/>
      <c r="EB26" s="452"/>
      <c r="EC26" s="452"/>
      <c r="ED26" s="452"/>
      <c r="EE26" s="452"/>
      <c r="EF26" s="452"/>
      <c r="EG26" s="452"/>
      <c r="EH26" s="452"/>
      <c r="EI26" s="452"/>
      <c r="EJ26" s="452"/>
      <c r="EK26" s="452"/>
      <c r="EL26" s="452"/>
      <c r="EM26" s="452"/>
      <c r="EN26" s="452"/>
      <c r="EO26" s="452"/>
      <c r="EP26" s="452"/>
      <c r="EQ26" s="452"/>
      <c r="ER26" s="452"/>
      <c r="ES26" s="452"/>
      <c r="ET26" s="452"/>
      <c r="EU26" s="452"/>
      <c r="EV26" s="452"/>
      <c r="EW26" s="452"/>
      <c r="EX26" s="452"/>
      <c r="EY26" s="452"/>
      <c r="EZ26" s="452"/>
      <c r="FA26" s="452"/>
      <c r="FB26" s="452"/>
      <c r="FC26" s="452"/>
      <c r="FD26" s="452"/>
      <c r="FE26" s="452"/>
      <c r="FF26" s="452"/>
      <c r="FG26" s="452"/>
      <c r="FH26" s="452"/>
      <c r="FI26" s="452"/>
      <c r="FJ26" s="452"/>
      <c r="FK26" s="452"/>
      <c r="FL26" s="452"/>
      <c r="FM26" s="452"/>
      <c r="FN26" s="452"/>
      <c r="FO26" s="452"/>
      <c r="FP26" s="452"/>
      <c r="FQ26" s="452"/>
      <c r="FR26" s="452"/>
      <c r="FS26" s="452"/>
      <c r="FT26" s="452"/>
      <c r="FU26" s="452"/>
      <c r="FV26" s="452"/>
      <c r="FW26" s="452"/>
      <c r="FX26" s="452"/>
      <c r="FY26" s="452"/>
      <c r="FZ26" s="452"/>
      <c r="GA26" s="452"/>
      <c r="GB26" s="452"/>
      <c r="GC26" s="452"/>
      <c r="GD26" s="452"/>
      <c r="GE26" s="452"/>
      <c r="GF26" s="452"/>
      <c r="GG26" s="452"/>
      <c r="GH26" s="452"/>
      <c r="GI26" s="452"/>
      <c r="GJ26" s="452"/>
      <c r="GK26" s="452"/>
      <c r="GL26" s="452"/>
      <c r="GM26" s="452"/>
      <c r="GN26" s="452"/>
      <c r="GO26" s="452"/>
      <c r="GP26" s="452"/>
      <c r="GQ26" s="452"/>
      <c r="GR26" s="452"/>
      <c r="GS26" s="452"/>
      <c r="GT26" s="452"/>
      <c r="GU26" s="452"/>
      <c r="GV26" s="452"/>
      <c r="GW26" s="452"/>
      <c r="GX26" s="452"/>
      <c r="GY26" s="452"/>
      <c r="GZ26" s="452"/>
      <c r="HA26" s="452"/>
      <c r="HB26" s="452"/>
      <c r="HC26" s="452"/>
      <c r="HD26" s="452"/>
      <c r="HE26" s="452"/>
      <c r="HF26" s="452"/>
      <c r="HG26" s="452"/>
      <c r="HH26" s="452"/>
      <c r="HI26" s="452"/>
      <c r="HJ26" s="452"/>
      <c r="HK26" s="452"/>
      <c r="HL26" s="452"/>
      <c r="HM26" s="452"/>
      <c r="HN26" s="452"/>
      <c r="HO26" s="452"/>
      <c r="HP26" s="452"/>
      <c r="HQ26" s="452"/>
      <c r="HR26" s="452"/>
      <c r="HS26" s="452"/>
      <c r="HT26" s="452"/>
      <c r="HU26" s="452"/>
      <c r="HV26" s="452"/>
      <c r="HW26" s="452"/>
      <c r="HX26" s="452"/>
      <c r="HY26" s="452"/>
      <c r="HZ26" s="452"/>
      <c r="IA26" s="452"/>
      <c r="IB26" s="452"/>
      <c r="IC26" s="452"/>
      <c r="ID26" s="452"/>
      <c r="IE26" s="452"/>
      <c r="IF26" s="452"/>
      <c r="IG26" s="452"/>
      <c r="IH26" s="452"/>
      <c r="II26" s="452"/>
      <c r="IJ26" s="452"/>
      <c r="IK26" s="452"/>
      <c r="IL26" s="452"/>
      <c r="IM26" s="452"/>
      <c r="IN26" s="452"/>
      <c r="IO26" s="452"/>
      <c r="IP26" s="452"/>
      <c r="IQ26" s="452"/>
      <c r="IR26" s="452"/>
      <c r="IS26" s="452"/>
      <c r="IT26" s="452"/>
      <c r="IU26" s="452"/>
      <c r="IV26" s="452"/>
    </row>
    <row r="27" spans="1:256" ht="7.5" customHeight="1">
      <c r="A27" s="452" t="s">
        <v>15</v>
      </c>
      <c r="B27" s="452"/>
      <c r="C27" s="452"/>
      <c r="D27" s="445"/>
      <c r="E27" s="445"/>
      <c r="F27" s="445"/>
      <c r="G27" s="445"/>
      <c r="H27" s="445"/>
      <c r="I27" s="445"/>
      <c r="J27" s="445"/>
      <c r="K27" s="445"/>
      <c r="L27" s="445"/>
      <c r="M27" s="450"/>
      <c r="N27" s="452"/>
      <c r="O27" s="452"/>
      <c r="P27" s="452"/>
      <c r="Q27" s="452"/>
      <c r="R27" s="452"/>
      <c r="S27" s="452"/>
      <c r="T27" s="452"/>
      <c r="U27" s="452"/>
      <c r="V27" s="452"/>
      <c r="W27" s="452"/>
      <c r="X27" s="452"/>
      <c r="Y27" s="452"/>
      <c r="Z27" s="452"/>
      <c r="AA27" s="452"/>
      <c r="AB27" s="452"/>
      <c r="AC27" s="452"/>
      <c r="AD27" s="452"/>
      <c r="AE27" s="452"/>
      <c r="AF27" s="452"/>
      <c r="AG27" s="452"/>
      <c r="AH27" s="452"/>
      <c r="AI27" s="452"/>
      <c r="AJ27" s="452"/>
      <c r="AK27" s="452"/>
      <c r="AL27" s="452"/>
      <c r="AM27" s="452"/>
      <c r="AN27" s="452"/>
      <c r="AO27" s="452"/>
      <c r="AP27" s="452"/>
      <c r="AQ27" s="452"/>
      <c r="AR27" s="452"/>
      <c r="AS27" s="452"/>
      <c r="AT27" s="452"/>
      <c r="AU27" s="452"/>
      <c r="AV27" s="452"/>
      <c r="AW27" s="452"/>
      <c r="AX27" s="452"/>
      <c r="AY27" s="452"/>
      <c r="AZ27" s="452"/>
      <c r="BA27" s="452"/>
      <c r="BB27" s="452"/>
      <c r="BC27" s="452"/>
      <c r="BD27" s="452"/>
      <c r="BE27" s="452"/>
      <c r="BF27" s="452"/>
      <c r="BG27" s="452"/>
      <c r="BH27" s="452"/>
      <c r="BI27" s="452"/>
      <c r="BJ27" s="452"/>
      <c r="BK27" s="452"/>
      <c r="BL27" s="452"/>
      <c r="BM27" s="452"/>
      <c r="BN27" s="452"/>
      <c r="BO27" s="452"/>
      <c r="BP27" s="452"/>
      <c r="BQ27" s="452"/>
      <c r="BR27" s="452"/>
      <c r="BS27" s="452"/>
      <c r="BT27" s="452"/>
      <c r="BU27" s="452"/>
      <c r="BV27" s="452"/>
      <c r="BW27" s="452"/>
      <c r="BX27" s="452"/>
      <c r="BY27" s="452"/>
      <c r="BZ27" s="452"/>
      <c r="CA27" s="452"/>
      <c r="CB27" s="452"/>
      <c r="CC27" s="452"/>
      <c r="CD27" s="452"/>
      <c r="CE27" s="452"/>
      <c r="CF27" s="452"/>
      <c r="CG27" s="452"/>
      <c r="CH27" s="452"/>
      <c r="CI27" s="452"/>
      <c r="CJ27" s="452"/>
      <c r="CK27" s="452"/>
      <c r="CL27" s="452"/>
      <c r="CM27" s="452"/>
      <c r="CN27" s="452"/>
      <c r="CO27" s="452"/>
      <c r="CP27" s="452"/>
      <c r="CQ27" s="452"/>
      <c r="CR27" s="452"/>
      <c r="CS27" s="452"/>
      <c r="CT27" s="452"/>
      <c r="CU27" s="452"/>
      <c r="CV27" s="452"/>
      <c r="CW27" s="452"/>
      <c r="CX27" s="452"/>
      <c r="CY27" s="452"/>
      <c r="CZ27" s="452"/>
      <c r="DA27" s="452"/>
      <c r="DB27" s="452"/>
      <c r="DC27" s="452"/>
      <c r="DD27" s="452"/>
      <c r="DE27" s="452"/>
      <c r="DF27" s="452"/>
      <c r="DG27" s="452"/>
      <c r="DH27" s="452"/>
      <c r="DI27" s="452"/>
      <c r="DJ27" s="452"/>
      <c r="DK27" s="452"/>
      <c r="DL27" s="452"/>
      <c r="DM27" s="452"/>
      <c r="DN27" s="452"/>
      <c r="DO27" s="452"/>
      <c r="DP27" s="452"/>
      <c r="DQ27" s="452"/>
      <c r="DR27" s="452"/>
      <c r="DS27" s="452"/>
      <c r="DT27" s="452"/>
      <c r="DU27" s="452"/>
      <c r="DV27" s="452"/>
      <c r="DW27" s="452"/>
      <c r="DX27" s="452"/>
      <c r="DY27" s="452"/>
      <c r="DZ27" s="452"/>
      <c r="EA27" s="452"/>
      <c r="EB27" s="452"/>
      <c r="EC27" s="452"/>
      <c r="ED27" s="452"/>
      <c r="EE27" s="452"/>
      <c r="EF27" s="452"/>
      <c r="EG27" s="452"/>
      <c r="EH27" s="452"/>
      <c r="EI27" s="452"/>
      <c r="EJ27" s="452"/>
      <c r="EK27" s="452"/>
      <c r="EL27" s="452"/>
      <c r="EM27" s="452"/>
      <c r="EN27" s="452"/>
      <c r="EO27" s="452"/>
      <c r="EP27" s="452"/>
      <c r="EQ27" s="452"/>
      <c r="ER27" s="452"/>
      <c r="ES27" s="452"/>
      <c r="ET27" s="452"/>
      <c r="EU27" s="452"/>
      <c r="EV27" s="452"/>
      <c r="EW27" s="452"/>
      <c r="EX27" s="452"/>
      <c r="EY27" s="452"/>
      <c r="EZ27" s="452"/>
      <c r="FA27" s="452"/>
      <c r="FB27" s="452"/>
      <c r="FC27" s="452"/>
      <c r="FD27" s="452"/>
      <c r="FE27" s="452"/>
      <c r="FF27" s="452"/>
      <c r="FG27" s="452"/>
      <c r="FH27" s="452"/>
      <c r="FI27" s="452"/>
      <c r="FJ27" s="452"/>
      <c r="FK27" s="452"/>
      <c r="FL27" s="452"/>
      <c r="FM27" s="452"/>
      <c r="FN27" s="452"/>
      <c r="FO27" s="452"/>
      <c r="FP27" s="452"/>
      <c r="FQ27" s="452"/>
      <c r="FR27" s="452"/>
      <c r="FS27" s="452"/>
      <c r="FT27" s="452"/>
      <c r="FU27" s="452"/>
      <c r="FV27" s="452"/>
      <c r="FW27" s="452"/>
      <c r="FX27" s="452"/>
      <c r="FY27" s="452"/>
      <c r="FZ27" s="452"/>
      <c r="GA27" s="452"/>
      <c r="GB27" s="452"/>
      <c r="GC27" s="452"/>
      <c r="GD27" s="452"/>
      <c r="GE27" s="452"/>
      <c r="GF27" s="452"/>
      <c r="GG27" s="452"/>
      <c r="GH27" s="452"/>
      <c r="GI27" s="452"/>
      <c r="GJ27" s="452"/>
      <c r="GK27" s="452"/>
      <c r="GL27" s="452"/>
      <c r="GM27" s="452"/>
      <c r="GN27" s="452"/>
      <c r="GO27" s="452"/>
      <c r="GP27" s="452"/>
      <c r="GQ27" s="452"/>
      <c r="GR27" s="452"/>
      <c r="GS27" s="452"/>
      <c r="GT27" s="452"/>
      <c r="GU27" s="452"/>
      <c r="GV27" s="452"/>
      <c r="GW27" s="452"/>
      <c r="GX27" s="452"/>
      <c r="GY27" s="452"/>
      <c r="GZ27" s="452"/>
      <c r="HA27" s="452"/>
      <c r="HB27" s="452"/>
      <c r="HC27" s="452"/>
      <c r="HD27" s="452"/>
      <c r="HE27" s="452"/>
      <c r="HF27" s="452"/>
      <c r="HG27" s="452"/>
      <c r="HH27" s="452"/>
      <c r="HI27" s="452"/>
      <c r="HJ27" s="452"/>
      <c r="HK27" s="452"/>
      <c r="HL27" s="452"/>
      <c r="HM27" s="452"/>
      <c r="HN27" s="452"/>
      <c r="HO27" s="452"/>
      <c r="HP27" s="452"/>
      <c r="HQ27" s="452"/>
      <c r="HR27" s="452"/>
      <c r="HS27" s="452"/>
      <c r="HT27" s="452"/>
      <c r="HU27" s="452"/>
      <c r="HV27" s="452"/>
      <c r="HW27" s="452"/>
      <c r="HX27" s="452"/>
      <c r="HY27" s="452"/>
      <c r="HZ27" s="452"/>
      <c r="IA27" s="452"/>
      <c r="IB27" s="452"/>
      <c r="IC27" s="452"/>
      <c r="ID27" s="452"/>
      <c r="IE27" s="452"/>
      <c r="IF27" s="452"/>
      <c r="IG27" s="452"/>
      <c r="IH27" s="452"/>
      <c r="II27" s="452"/>
      <c r="IJ27" s="452"/>
      <c r="IK27" s="452"/>
      <c r="IL27" s="452"/>
      <c r="IM27" s="452"/>
      <c r="IN27" s="452"/>
      <c r="IO27" s="452"/>
      <c r="IP27" s="452"/>
      <c r="IQ27" s="452"/>
      <c r="IR27" s="452"/>
      <c r="IS27" s="452"/>
      <c r="IT27" s="452"/>
      <c r="IU27" s="452"/>
      <c r="IV27" s="452"/>
    </row>
    <row r="28" spans="1:256" ht="16.5" customHeight="1">
      <c r="A28" s="452" t="s">
        <v>991</v>
      </c>
      <c r="B28" s="452"/>
      <c r="C28" s="452" t="s">
        <v>15</v>
      </c>
      <c r="D28" s="1695">
        <v>17.973000000000003</v>
      </c>
      <c r="E28" s="1692"/>
      <c r="F28" s="1695">
        <v>-0.158</v>
      </c>
      <c r="G28" s="1692"/>
      <c r="H28" s="1695">
        <v>0</v>
      </c>
      <c r="I28" s="1692"/>
      <c r="J28" s="1695">
        <v>0</v>
      </c>
      <c r="K28" s="1693"/>
      <c r="L28" s="1696">
        <f t="shared" ref="L28:L44" si="0">ROUND(SUM(D28)+SUM(F28)-SUM(H28)+SUM(J28),3)</f>
        <v>17.815000000000001</v>
      </c>
      <c r="M28" s="459"/>
      <c r="N28" s="452"/>
      <c r="O28" s="452"/>
      <c r="P28" s="452"/>
      <c r="Q28" s="452"/>
      <c r="R28" s="452"/>
      <c r="S28" s="452"/>
      <c r="T28" s="452"/>
      <c r="U28" s="452"/>
      <c r="V28" s="452"/>
      <c r="W28" s="452"/>
      <c r="X28" s="452"/>
      <c r="Y28" s="452"/>
      <c r="Z28" s="452"/>
      <c r="AA28" s="452"/>
      <c r="AB28" s="452"/>
      <c r="AC28" s="452"/>
      <c r="AD28" s="452"/>
      <c r="AE28" s="452"/>
      <c r="AF28" s="452"/>
      <c r="AG28" s="452"/>
      <c r="AH28" s="452"/>
      <c r="AI28" s="452"/>
      <c r="AJ28" s="452"/>
      <c r="AK28" s="452"/>
      <c r="AL28" s="452"/>
      <c r="AM28" s="452"/>
      <c r="AN28" s="452"/>
      <c r="AO28" s="452"/>
      <c r="AP28" s="452"/>
      <c r="AQ28" s="452"/>
      <c r="AR28" s="452"/>
      <c r="AS28" s="452"/>
      <c r="AT28" s="452"/>
      <c r="AU28" s="452"/>
      <c r="AV28" s="452"/>
      <c r="AW28" s="452"/>
      <c r="AX28" s="452"/>
      <c r="AY28" s="452"/>
      <c r="AZ28" s="452"/>
      <c r="BA28" s="452"/>
      <c r="BB28" s="452"/>
      <c r="BC28" s="452"/>
      <c r="BD28" s="452"/>
      <c r="BE28" s="452"/>
      <c r="BF28" s="452"/>
      <c r="BG28" s="452"/>
      <c r="BH28" s="452"/>
      <c r="BI28" s="452"/>
      <c r="BJ28" s="452"/>
      <c r="BK28" s="452"/>
      <c r="BL28" s="452"/>
      <c r="BM28" s="452"/>
      <c r="BN28" s="452"/>
      <c r="BO28" s="452"/>
      <c r="BP28" s="452"/>
      <c r="BQ28" s="452"/>
      <c r="BR28" s="452"/>
      <c r="BS28" s="452"/>
      <c r="BT28" s="452"/>
      <c r="BU28" s="452"/>
      <c r="BV28" s="452"/>
      <c r="BW28" s="452"/>
      <c r="BX28" s="452"/>
      <c r="BY28" s="452"/>
      <c r="BZ28" s="452"/>
      <c r="CA28" s="452"/>
      <c r="CB28" s="452"/>
      <c r="CC28" s="452"/>
      <c r="CD28" s="452"/>
      <c r="CE28" s="452"/>
      <c r="CF28" s="452"/>
      <c r="CG28" s="452"/>
      <c r="CH28" s="452"/>
      <c r="CI28" s="452"/>
      <c r="CJ28" s="452"/>
      <c r="CK28" s="452"/>
      <c r="CL28" s="452"/>
      <c r="CM28" s="452"/>
      <c r="CN28" s="452"/>
      <c r="CO28" s="452"/>
      <c r="CP28" s="452"/>
      <c r="CQ28" s="452"/>
      <c r="CR28" s="452"/>
      <c r="CS28" s="452"/>
      <c r="CT28" s="452"/>
      <c r="CU28" s="452"/>
      <c r="CV28" s="452"/>
      <c r="CW28" s="452"/>
      <c r="CX28" s="452"/>
      <c r="CY28" s="452"/>
      <c r="CZ28" s="452"/>
      <c r="DA28" s="452"/>
      <c r="DB28" s="452"/>
      <c r="DC28" s="452"/>
      <c r="DD28" s="452"/>
      <c r="DE28" s="452"/>
      <c r="DF28" s="452"/>
      <c r="DG28" s="452"/>
      <c r="DH28" s="452"/>
      <c r="DI28" s="452"/>
      <c r="DJ28" s="452"/>
      <c r="DK28" s="452"/>
      <c r="DL28" s="452"/>
      <c r="DM28" s="452"/>
      <c r="DN28" s="452"/>
      <c r="DO28" s="452"/>
      <c r="DP28" s="452"/>
      <c r="DQ28" s="452"/>
      <c r="DR28" s="452"/>
      <c r="DS28" s="452"/>
      <c r="DT28" s="452"/>
      <c r="DU28" s="452"/>
      <c r="DV28" s="452"/>
      <c r="DW28" s="452"/>
      <c r="DX28" s="452"/>
      <c r="DY28" s="452"/>
      <c r="DZ28" s="452"/>
      <c r="EA28" s="452"/>
      <c r="EB28" s="452"/>
      <c r="EC28" s="452"/>
      <c r="ED28" s="452"/>
      <c r="EE28" s="452"/>
      <c r="EF28" s="452"/>
      <c r="EG28" s="452"/>
      <c r="EH28" s="452"/>
      <c r="EI28" s="452"/>
      <c r="EJ28" s="452"/>
      <c r="EK28" s="452"/>
      <c r="EL28" s="452"/>
      <c r="EM28" s="452"/>
      <c r="EN28" s="452"/>
      <c r="EO28" s="452"/>
      <c r="EP28" s="452"/>
      <c r="EQ28" s="452"/>
      <c r="ER28" s="452"/>
      <c r="ES28" s="452"/>
      <c r="ET28" s="452"/>
      <c r="EU28" s="452"/>
      <c r="EV28" s="452"/>
      <c r="EW28" s="452"/>
      <c r="EX28" s="452"/>
      <c r="EY28" s="452"/>
      <c r="EZ28" s="452"/>
      <c r="FA28" s="452"/>
      <c r="FB28" s="452"/>
      <c r="FC28" s="452"/>
      <c r="FD28" s="452"/>
      <c r="FE28" s="452"/>
      <c r="FF28" s="452"/>
      <c r="FG28" s="452"/>
      <c r="FH28" s="452"/>
      <c r="FI28" s="452"/>
      <c r="FJ28" s="452"/>
      <c r="FK28" s="452"/>
      <c r="FL28" s="452"/>
      <c r="FM28" s="452"/>
      <c r="FN28" s="452"/>
      <c r="FO28" s="452"/>
      <c r="FP28" s="452"/>
      <c r="FQ28" s="452"/>
      <c r="FR28" s="452"/>
      <c r="FS28" s="452"/>
      <c r="FT28" s="452"/>
      <c r="FU28" s="452"/>
      <c r="FV28" s="452"/>
      <c r="FW28" s="452"/>
      <c r="FX28" s="452"/>
      <c r="FY28" s="452"/>
      <c r="FZ28" s="452"/>
      <c r="GA28" s="452"/>
      <c r="GB28" s="452"/>
      <c r="GC28" s="452"/>
      <c r="GD28" s="452"/>
      <c r="GE28" s="452"/>
      <c r="GF28" s="452"/>
      <c r="GG28" s="452"/>
      <c r="GH28" s="452"/>
      <c r="GI28" s="452"/>
      <c r="GJ28" s="452"/>
      <c r="GK28" s="452"/>
      <c r="GL28" s="452"/>
      <c r="GM28" s="452"/>
      <c r="GN28" s="452"/>
      <c r="GO28" s="452"/>
      <c r="GP28" s="452"/>
      <c r="GQ28" s="452"/>
      <c r="GR28" s="452"/>
      <c r="GS28" s="452"/>
      <c r="GT28" s="452"/>
      <c r="GU28" s="452"/>
      <c r="GV28" s="452"/>
      <c r="GW28" s="452"/>
      <c r="GX28" s="452"/>
      <c r="GY28" s="452"/>
      <c r="GZ28" s="452"/>
      <c r="HA28" s="452"/>
      <c r="HB28" s="452"/>
      <c r="HC28" s="452"/>
      <c r="HD28" s="452"/>
      <c r="HE28" s="452"/>
      <c r="HF28" s="452"/>
      <c r="HG28" s="452"/>
      <c r="HH28" s="452"/>
      <c r="HI28" s="452"/>
      <c r="HJ28" s="452"/>
      <c r="HK28" s="452"/>
      <c r="HL28" s="452"/>
      <c r="HM28" s="452"/>
      <c r="HN28" s="452"/>
      <c r="HO28" s="452"/>
      <c r="HP28" s="452"/>
      <c r="HQ28" s="452"/>
      <c r="HR28" s="452"/>
      <c r="HS28" s="452"/>
      <c r="HT28" s="452"/>
      <c r="HU28" s="452"/>
      <c r="HV28" s="452"/>
      <c r="HW28" s="452"/>
      <c r="HX28" s="452"/>
      <c r="HY28" s="452"/>
      <c r="HZ28" s="452"/>
      <c r="IA28" s="452"/>
      <c r="IB28" s="452"/>
      <c r="IC28" s="452"/>
      <c r="ID28" s="452"/>
      <c r="IE28" s="452"/>
      <c r="IF28" s="452"/>
      <c r="IG28" s="452"/>
      <c r="IH28" s="452"/>
      <c r="II28" s="452"/>
      <c r="IJ28" s="452"/>
      <c r="IK28" s="452"/>
      <c r="IL28" s="452"/>
      <c r="IM28" s="452"/>
      <c r="IN28" s="452"/>
      <c r="IO28" s="452"/>
      <c r="IP28" s="452"/>
      <c r="IQ28" s="452"/>
      <c r="IR28" s="452"/>
      <c r="IS28" s="452"/>
      <c r="IT28" s="452"/>
      <c r="IU28" s="452"/>
      <c r="IV28" s="452"/>
    </row>
    <row r="29" spans="1:256" ht="15.75" customHeight="1">
      <c r="A29" s="703" t="s">
        <v>375</v>
      </c>
      <c r="B29" s="452"/>
      <c r="C29" s="452"/>
      <c r="D29" s="1695">
        <v>0.53800000000000003</v>
      </c>
      <c r="E29" s="1692"/>
      <c r="F29" s="1695">
        <v>0</v>
      </c>
      <c r="G29" s="1692"/>
      <c r="H29" s="1695">
        <v>0</v>
      </c>
      <c r="I29" s="1692"/>
      <c r="J29" s="1695">
        <v>0</v>
      </c>
      <c r="K29" s="1693"/>
      <c r="L29" s="1696">
        <f t="shared" si="0"/>
        <v>0.53800000000000003</v>
      </c>
      <c r="M29" s="459"/>
      <c r="N29" s="452"/>
      <c r="O29" s="452"/>
      <c r="P29" s="452"/>
      <c r="Q29" s="452"/>
      <c r="R29" s="452"/>
      <c r="S29" s="452"/>
      <c r="T29" s="452"/>
      <c r="U29" s="452"/>
      <c r="V29" s="452"/>
      <c r="W29" s="452"/>
      <c r="X29" s="452"/>
      <c r="Y29" s="452"/>
      <c r="Z29" s="452"/>
      <c r="AA29" s="452"/>
      <c r="AB29" s="452"/>
      <c r="AC29" s="452"/>
      <c r="AD29" s="452"/>
      <c r="AE29" s="452"/>
      <c r="AF29" s="452"/>
      <c r="AG29" s="452"/>
      <c r="AH29" s="452"/>
      <c r="AI29" s="452"/>
      <c r="AJ29" s="452"/>
      <c r="AK29" s="452"/>
      <c r="AL29" s="452"/>
      <c r="AM29" s="452"/>
      <c r="AN29" s="452"/>
      <c r="AO29" s="452"/>
      <c r="AP29" s="452"/>
      <c r="AQ29" s="452"/>
      <c r="AR29" s="452"/>
      <c r="AS29" s="452"/>
      <c r="AT29" s="452"/>
      <c r="AU29" s="452"/>
      <c r="AV29" s="452"/>
      <c r="AW29" s="452"/>
      <c r="AX29" s="452"/>
      <c r="AY29" s="452"/>
      <c r="AZ29" s="452"/>
      <c r="BA29" s="452"/>
      <c r="BB29" s="452"/>
      <c r="BC29" s="452"/>
      <c r="BD29" s="452"/>
      <c r="BE29" s="452"/>
      <c r="BF29" s="452"/>
      <c r="BG29" s="452"/>
      <c r="BH29" s="452"/>
      <c r="BI29" s="452"/>
      <c r="BJ29" s="452"/>
      <c r="BK29" s="452"/>
      <c r="BL29" s="452"/>
      <c r="BM29" s="452"/>
      <c r="BN29" s="452"/>
      <c r="BO29" s="452"/>
      <c r="BP29" s="452"/>
      <c r="BQ29" s="452"/>
      <c r="BR29" s="452"/>
      <c r="BS29" s="452"/>
      <c r="BT29" s="452"/>
      <c r="BU29" s="452"/>
      <c r="BV29" s="452"/>
      <c r="BW29" s="452"/>
      <c r="BX29" s="452"/>
      <c r="BY29" s="452"/>
      <c r="BZ29" s="452"/>
      <c r="CA29" s="452"/>
      <c r="CB29" s="452"/>
      <c r="CC29" s="452"/>
      <c r="CD29" s="452"/>
      <c r="CE29" s="452"/>
      <c r="CF29" s="452"/>
      <c r="CG29" s="452"/>
      <c r="CH29" s="452"/>
      <c r="CI29" s="452"/>
      <c r="CJ29" s="452"/>
      <c r="CK29" s="452"/>
      <c r="CL29" s="452"/>
      <c r="CM29" s="452"/>
      <c r="CN29" s="452"/>
      <c r="CO29" s="452"/>
      <c r="CP29" s="452"/>
      <c r="CQ29" s="452"/>
      <c r="CR29" s="452"/>
      <c r="CS29" s="452"/>
      <c r="CT29" s="452"/>
      <c r="CU29" s="452"/>
      <c r="CV29" s="452"/>
      <c r="CW29" s="452"/>
      <c r="CX29" s="452"/>
      <c r="CY29" s="452"/>
      <c r="CZ29" s="452"/>
      <c r="DA29" s="452"/>
      <c r="DB29" s="452"/>
      <c r="DC29" s="452"/>
      <c r="DD29" s="452"/>
      <c r="DE29" s="452"/>
      <c r="DF29" s="452"/>
      <c r="DG29" s="452"/>
      <c r="DH29" s="452"/>
      <c r="DI29" s="452"/>
      <c r="DJ29" s="452"/>
      <c r="DK29" s="452"/>
      <c r="DL29" s="452"/>
      <c r="DM29" s="452"/>
      <c r="DN29" s="452"/>
      <c r="DO29" s="452"/>
      <c r="DP29" s="452"/>
      <c r="DQ29" s="452"/>
      <c r="DR29" s="452"/>
      <c r="DS29" s="452"/>
      <c r="DT29" s="452"/>
      <c r="DU29" s="452"/>
      <c r="DV29" s="452"/>
      <c r="DW29" s="452"/>
      <c r="DX29" s="452"/>
      <c r="DY29" s="452"/>
      <c r="DZ29" s="452"/>
      <c r="EA29" s="452"/>
      <c r="EB29" s="452"/>
      <c r="EC29" s="452"/>
      <c r="ED29" s="452"/>
      <c r="EE29" s="452"/>
      <c r="EF29" s="452"/>
      <c r="EG29" s="452"/>
      <c r="EH29" s="452"/>
      <c r="EI29" s="452"/>
      <c r="EJ29" s="452"/>
      <c r="EK29" s="452"/>
      <c r="EL29" s="452"/>
      <c r="EM29" s="452"/>
      <c r="EN29" s="452"/>
      <c r="EO29" s="452"/>
      <c r="EP29" s="452"/>
      <c r="EQ29" s="452"/>
      <c r="ER29" s="452"/>
      <c r="ES29" s="452"/>
      <c r="ET29" s="452"/>
      <c r="EU29" s="452"/>
      <c r="EV29" s="452"/>
      <c r="EW29" s="452"/>
      <c r="EX29" s="452"/>
      <c r="EY29" s="452"/>
      <c r="EZ29" s="452"/>
      <c r="FA29" s="452"/>
      <c r="FB29" s="452"/>
      <c r="FC29" s="452"/>
      <c r="FD29" s="452"/>
      <c r="FE29" s="452"/>
      <c r="FF29" s="452"/>
      <c r="FG29" s="452"/>
      <c r="FH29" s="452"/>
      <c r="FI29" s="452"/>
      <c r="FJ29" s="452"/>
      <c r="FK29" s="452"/>
      <c r="FL29" s="452"/>
      <c r="FM29" s="452"/>
      <c r="FN29" s="452"/>
      <c r="FO29" s="452"/>
      <c r="FP29" s="452"/>
      <c r="FQ29" s="452"/>
      <c r="FR29" s="452"/>
      <c r="FS29" s="452"/>
      <c r="FT29" s="452"/>
      <c r="FU29" s="452"/>
      <c r="FV29" s="452"/>
      <c r="FW29" s="452"/>
      <c r="FX29" s="452"/>
      <c r="FY29" s="452"/>
      <c r="FZ29" s="452"/>
      <c r="GA29" s="452"/>
      <c r="GB29" s="452"/>
      <c r="GC29" s="452"/>
      <c r="GD29" s="452"/>
      <c r="GE29" s="452"/>
      <c r="GF29" s="452"/>
      <c r="GG29" s="452"/>
      <c r="GH29" s="452"/>
      <c r="GI29" s="452"/>
      <c r="GJ29" s="452"/>
      <c r="GK29" s="452"/>
      <c r="GL29" s="452"/>
      <c r="GM29" s="452"/>
      <c r="GN29" s="452"/>
      <c r="GO29" s="452"/>
      <c r="GP29" s="452"/>
      <c r="GQ29" s="452"/>
      <c r="GR29" s="452"/>
      <c r="GS29" s="452"/>
      <c r="GT29" s="452"/>
      <c r="GU29" s="452"/>
      <c r="GV29" s="452"/>
      <c r="GW29" s="452"/>
      <c r="GX29" s="452"/>
      <c r="GY29" s="452"/>
      <c r="GZ29" s="452"/>
      <c r="HA29" s="452"/>
      <c r="HB29" s="452"/>
      <c r="HC29" s="452"/>
      <c r="HD29" s="452"/>
      <c r="HE29" s="452"/>
      <c r="HF29" s="452"/>
      <c r="HG29" s="452"/>
      <c r="HH29" s="452"/>
      <c r="HI29" s="452"/>
      <c r="HJ29" s="452"/>
      <c r="HK29" s="452"/>
      <c r="HL29" s="452"/>
      <c r="HM29" s="452"/>
      <c r="HN29" s="452"/>
      <c r="HO29" s="452"/>
      <c r="HP29" s="452"/>
      <c r="HQ29" s="452"/>
      <c r="HR29" s="452"/>
      <c r="HS29" s="452"/>
      <c r="HT29" s="452"/>
      <c r="HU29" s="452"/>
      <c r="HV29" s="452"/>
      <c r="HW29" s="452"/>
      <c r="HX29" s="452"/>
      <c r="HY29" s="452"/>
      <c r="HZ29" s="452"/>
      <c r="IA29" s="452"/>
      <c r="IB29" s="452"/>
      <c r="IC29" s="452"/>
      <c r="ID29" s="452"/>
      <c r="IE29" s="452"/>
      <c r="IF29" s="452"/>
      <c r="IG29" s="452"/>
      <c r="IH29" s="452"/>
      <c r="II29" s="452"/>
      <c r="IJ29" s="452"/>
      <c r="IK29" s="452"/>
      <c r="IL29" s="452"/>
      <c r="IM29" s="452"/>
      <c r="IN29" s="452"/>
      <c r="IO29" s="452"/>
      <c r="IP29" s="452"/>
      <c r="IQ29" s="452"/>
      <c r="IR29" s="452"/>
      <c r="IS29" s="452"/>
      <c r="IT29" s="452"/>
      <c r="IU29" s="452"/>
      <c r="IV29" s="452"/>
    </row>
    <row r="30" spans="1:256" ht="16.5" customHeight="1">
      <c r="A30" s="452" t="s">
        <v>376</v>
      </c>
      <c r="B30" s="452"/>
      <c r="C30" s="452"/>
      <c r="D30" s="1695">
        <v>1145.6410000000001</v>
      </c>
      <c r="E30" s="1692"/>
      <c r="F30" s="1695">
        <v>841.64800000000002</v>
      </c>
      <c r="G30" s="1692"/>
      <c r="H30" s="1695">
        <v>904.92</v>
      </c>
      <c r="I30" s="1692"/>
      <c r="J30" s="1695">
        <v>0</v>
      </c>
      <c r="K30" s="1693"/>
      <c r="L30" s="1696">
        <f t="shared" si="0"/>
        <v>1082.3689999999999</v>
      </c>
      <c r="M30" s="459"/>
      <c r="N30" s="452"/>
      <c r="O30" s="452"/>
      <c r="P30" s="452"/>
      <c r="Q30" s="452"/>
      <c r="R30" s="452"/>
      <c r="S30" s="452"/>
      <c r="T30" s="452"/>
      <c r="U30" s="452"/>
      <c r="V30" s="452"/>
      <c r="W30" s="452"/>
      <c r="X30" s="452"/>
      <c r="Y30" s="452"/>
      <c r="Z30" s="452"/>
      <c r="AA30" s="452"/>
      <c r="AB30" s="452"/>
      <c r="AC30" s="452"/>
      <c r="AD30" s="452"/>
      <c r="AE30" s="452"/>
      <c r="AF30" s="452"/>
      <c r="AG30" s="452"/>
      <c r="AH30" s="452"/>
      <c r="AI30" s="452"/>
      <c r="AJ30" s="452"/>
      <c r="AK30" s="452"/>
      <c r="AL30" s="452"/>
      <c r="AM30" s="452"/>
      <c r="AN30" s="452"/>
      <c r="AO30" s="452"/>
      <c r="AP30" s="452"/>
      <c r="AQ30" s="452"/>
      <c r="AR30" s="452"/>
      <c r="AS30" s="452"/>
      <c r="AT30" s="452"/>
      <c r="AU30" s="452"/>
      <c r="AV30" s="452"/>
      <c r="AW30" s="452"/>
      <c r="AX30" s="452"/>
      <c r="AY30" s="452"/>
      <c r="AZ30" s="452"/>
      <c r="BA30" s="452"/>
      <c r="BB30" s="452"/>
      <c r="BC30" s="452"/>
      <c r="BD30" s="452"/>
      <c r="BE30" s="452"/>
      <c r="BF30" s="452"/>
      <c r="BG30" s="452"/>
      <c r="BH30" s="452"/>
      <c r="BI30" s="452"/>
      <c r="BJ30" s="452"/>
      <c r="BK30" s="452"/>
      <c r="BL30" s="452"/>
      <c r="BM30" s="452"/>
      <c r="BN30" s="452"/>
      <c r="BO30" s="452"/>
      <c r="BP30" s="452"/>
      <c r="BQ30" s="452"/>
      <c r="BR30" s="452"/>
      <c r="BS30" s="452"/>
      <c r="BT30" s="452"/>
      <c r="BU30" s="452"/>
      <c r="BV30" s="452"/>
      <c r="BW30" s="452"/>
      <c r="BX30" s="452"/>
      <c r="BY30" s="452"/>
      <c r="BZ30" s="452"/>
      <c r="CA30" s="452"/>
      <c r="CB30" s="452"/>
      <c r="CC30" s="452"/>
      <c r="CD30" s="452"/>
      <c r="CE30" s="452"/>
      <c r="CF30" s="452"/>
      <c r="CG30" s="452"/>
      <c r="CH30" s="452"/>
      <c r="CI30" s="452"/>
      <c r="CJ30" s="452"/>
      <c r="CK30" s="452"/>
      <c r="CL30" s="452"/>
      <c r="CM30" s="452"/>
      <c r="CN30" s="452"/>
      <c r="CO30" s="452"/>
      <c r="CP30" s="452"/>
      <c r="CQ30" s="452"/>
      <c r="CR30" s="452"/>
      <c r="CS30" s="452"/>
      <c r="CT30" s="452"/>
      <c r="CU30" s="452"/>
      <c r="CV30" s="452"/>
      <c r="CW30" s="452"/>
      <c r="CX30" s="452"/>
      <c r="CY30" s="452"/>
      <c r="CZ30" s="452"/>
      <c r="DA30" s="452"/>
      <c r="DB30" s="452"/>
      <c r="DC30" s="452"/>
      <c r="DD30" s="452"/>
      <c r="DE30" s="452"/>
      <c r="DF30" s="452"/>
      <c r="DG30" s="452"/>
      <c r="DH30" s="452"/>
      <c r="DI30" s="452"/>
      <c r="DJ30" s="452"/>
      <c r="DK30" s="452"/>
      <c r="DL30" s="452"/>
      <c r="DM30" s="452"/>
      <c r="DN30" s="452"/>
      <c r="DO30" s="452"/>
      <c r="DP30" s="452"/>
      <c r="DQ30" s="452"/>
      <c r="DR30" s="452"/>
      <c r="DS30" s="452"/>
      <c r="DT30" s="452"/>
      <c r="DU30" s="452"/>
      <c r="DV30" s="452"/>
      <c r="DW30" s="452"/>
      <c r="DX30" s="452"/>
      <c r="DY30" s="452"/>
      <c r="DZ30" s="452"/>
      <c r="EA30" s="452"/>
      <c r="EB30" s="452"/>
      <c r="EC30" s="452"/>
      <c r="ED30" s="452"/>
      <c r="EE30" s="452"/>
      <c r="EF30" s="452"/>
      <c r="EG30" s="452"/>
      <c r="EH30" s="452"/>
      <c r="EI30" s="452"/>
      <c r="EJ30" s="452"/>
      <c r="EK30" s="452"/>
      <c r="EL30" s="452"/>
      <c r="EM30" s="452"/>
      <c r="EN30" s="452"/>
      <c r="EO30" s="452"/>
      <c r="EP30" s="452"/>
      <c r="EQ30" s="452"/>
      <c r="ER30" s="452"/>
      <c r="ES30" s="452"/>
      <c r="ET30" s="452"/>
      <c r="EU30" s="452"/>
      <c r="EV30" s="452"/>
      <c r="EW30" s="452"/>
      <c r="EX30" s="452"/>
      <c r="EY30" s="452"/>
      <c r="EZ30" s="452"/>
      <c r="FA30" s="452"/>
      <c r="FB30" s="452"/>
      <c r="FC30" s="452"/>
      <c r="FD30" s="452"/>
      <c r="FE30" s="452"/>
      <c r="FF30" s="452"/>
      <c r="FG30" s="452"/>
      <c r="FH30" s="452"/>
      <c r="FI30" s="452"/>
      <c r="FJ30" s="452"/>
      <c r="FK30" s="452"/>
      <c r="FL30" s="452"/>
      <c r="FM30" s="452"/>
      <c r="FN30" s="452"/>
      <c r="FO30" s="452"/>
      <c r="FP30" s="452"/>
      <c r="FQ30" s="452"/>
      <c r="FR30" s="452"/>
      <c r="FS30" s="452"/>
      <c r="FT30" s="452"/>
      <c r="FU30" s="452"/>
      <c r="FV30" s="452"/>
      <c r="FW30" s="452"/>
      <c r="FX30" s="452"/>
      <c r="FY30" s="452"/>
      <c r="FZ30" s="452"/>
      <c r="GA30" s="452"/>
      <c r="GB30" s="452"/>
      <c r="GC30" s="452"/>
      <c r="GD30" s="452"/>
      <c r="GE30" s="452"/>
      <c r="GF30" s="452"/>
      <c r="GG30" s="452"/>
      <c r="GH30" s="452"/>
      <c r="GI30" s="452"/>
      <c r="GJ30" s="452"/>
      <c r="GK30" s="452"/>
      <c r="GL30" s="452"/>
      <c r="GM30" s="452"/>
      <c r="GN30" s="452"/>
      <c r="GO30" s="452"/>
      <c r="GP30" s="452"/>
      <c r="GQ30" s="452"/>
      <c r="GR30" s="452"/>
      <c r="GS30" s="452"/>
      <c r="GT30" s="452"/>
      <c r="GU30" s="452"/>
      <c r="GV30" s="452"/>
      <c r="GW30" s="452"/>
      <c r="GX30" s="452"/>
      <c r="GY30" s="452"/>
      <c r="GZ30" s="452"/>
      <c r="HA30" s="452"/>
      <c r="HB30" s="452"/>
      <c r="HC30" s="452"/>
      <c r="HD30" s="452"/>
      <c r="HE30" s="452"/>
      <c r="HF30" s="452"/>
      <c r="HG30" s="452"/>
      <c r="HH30" s="452"/>
      <c r="HI30" s="452"/>
      <c r="HJ30" s="452"/>
      <c r="HK30" s="452"/>
      <c r="HL30" s="452"/>
      <c r="HM30" s="452"/>
      <c r="HN30" s="452"/>
      <c r="HO30" s="452"/>
      <c r="HP30" s="452"/>
      <c r="HQ30" s="452"/>
      <c r="HR30" s="452"/>
      <c r="HS30" s="452"/>
      <c r="HT30" s="452"/>
      <c r="HU30" s="452"/>
      <c r="HV30" s="452"/>
      <c r="HW30" s="452"/>
      <c r="HX30" s="452"/>
      <c r="HY30" s="452"/>
      <c r="HZ30" s="452"/>
      <c r="IA30" s="452"/>
      <c r="IB30" s="452"/>
      <c r="IC30" s="452"/>
      <c r="ID30" s="452"/>
      <c r="IE30" s="452"/>
      <c r="IF30" s="452"/>
      <c r="IG30" s="452"/>
      <c r="IH30" s="452"/>
      <c r="II30" s="452"/>
      <c r="IJ30" s="452"/>
      <c r="IK30" s="452"/>
      <c r="IL30" s="452"/>
      <c r="IM30" s="452"/>
      <c r="IN30" s="452"/>
      <c r="IO30" s="452"/>
      <c r="IP30" s="452"/>
      <c r="IQ30" s="452"/>
      <c r="IR30" s="452"/>
      <c r="IS30" s="452"/>
      <c r="IT30" s="452"/>
      <c r="IU30" s="452"/>
      <c r="IV30" s="452"/>
    </row>
    <row r="31" spans="1:256" ht="16.5" customHeight="1">
      <c r="A31" s="452" t="s">
        <v>377</v>
      </c>
      <c r="B31" s="452"/>
      <c r="C31" s="452" t="s">
        <v>15</v>
      </c>
      <c r="D31" s="1695">
        <v>14.997999999999999</v>
      </c>
      <c r="E31" s="1692"/>
      <c r="F31" s="1695">
        <v>97.182000000000002</v>
      </c>
      <c r="G31" s="1692"/>
      <c r="H31" s="1695">
        <v>96.878</v>
      </c>
      <c r="I31" s="1692"/>
      <c r="J31" s="1695">
        <v>0</v>
      </c>
      <c r="K31" s="1693"/>
      <c r="L31" s="1696">
        <f>ROUND(SUM(D31)+SUM(F31)-SUM(H31)+SUM(J31),3)</f>
        <v>15.302</v>
      </c>
      <c r="M31" s="459"/>
      <c r="N31" s="452"/>
      <c r="O31" s="452"/>
      <c r="P31" s="452"/>
      <c r="Q31" s="452"/>
      <c r="R31" s="452"/>
      <c r="S31" s="452"/>
      <c r="T31" s="452"/>
      <c r="U31" s="452"/>
      <c r="V31" s="452"/>
      <c r="W31" s="452"/>
      <c r="X31" s="452"/>
      <c r="Y31" s="452"/>
      <c r="Z31" s="452"/>
      <c r="AA31" s="452"/>
      <c r="AB31" s="452"/>
      <c r="AC31" s="452"/>
      <c r="AD31" s="452"/>
      <c r="AE31" s="452"/>
      <c r="AF31" s="452"/>
      <c r="AG31" s="452"/>
      <c r="AH31" s="452"/>
      <c r="AI31" s="452"/>
      <c r="AJ31" s="452"/>
      <c r="AK31" s="452"/>
      <c r="AL31" s="452"/>
      <c r="AM31" s="452"/>
      <c r="AN31" s="452"/>
      <c r="AO31" s="452"/>
      <c r="AP31" s="452"/>
      <c r="AQ31" s="452"/>
      <c r="AR31" s="452"/>
      <c r="AS31" s="452"/>
      <c r="AT31" s="452"/>
      <c r="AU31" s="452"/>
      <c r="AV31" s="452"/>
      <c r="AW31" s="452"/>
      <c r="AX31" s="452"/>
      <c r="AY31" s="452"/>
      <c r="AZ31" s="452"/>
      <c r="BA31" s="452"/>
      <c r="BB31" s="452"/>
      <c r="BC31" s="452"/>
      <c r="BD31" s="452"/>
      <c r="BE31" s="452"/>
      <c r="BF31" s="452"/>
      <c r="BG31" s="452"/>
      <c r="BH31" s="452"/>
      <c r="BI31" s="452"/>
      <c r="BJ31" s="452"/>
      <c r="BK31" s="452"/>
      <c r="BL31" s="452"/>
      <c r="BM31" s="452"/>
      <c r="BN31" s="452"/>
      <c r="BO31" s="452"/>
      <c r="BP31" s="452"/>
      <c r="BQ31" s="452"/>
      <c r="BR31" s="452"/>
      <c r="BS31" s="452"/>
      <c r="BT31" s="452"/>
      <c r="BU31" s="452"/>
      <c r="BV31" s="452"/>
      <c r="BW31" s="452"/>
      <c r="BX31" s="452"/>
      <c r="BY31" s="452"/>
      <c r="BZ31" s="452"/>
      <c r="CA31" s="452"/>
      <c r="CB31" s="452"/>
      <c r="CC31" s="452"/>
      <c r="CD31" s="452"/>
      <c r="CE31" s="452"/>
      <c r="CF31" s="452"/>
      <c r="CG31" s="452"/>
      <c r="CH31" s="452"/>
      <c r="CI31" s="452"/>
      <c r="CJ31" s="452"/>
      <c r="CK31" s="452"/>
      <c r="CL31" s="452"/>
      <c r="CM31" s="452"/>
      <c r="CN31" s="452"/>
      <c r="CO31" s="452"/>
      <c r="CP31" s="452"/>
      <c r="CQ31" s="452"/>
      <c r="CR31" s="452"/>
      <c r="CS31" s="452"/>
      <c r="CT31" s="452"/>
      <c r="CU31" s="452"/>
      <c r="CV31" s="452"/>
      <c r="CW31" s="452"/>
      <c r="CX31" s="452"/>
      <c r="CY31" s="452"/>
      <c r="CZ31" s="452"/>
      <c r="DA31" s="452"/>
      <c r="DB31" s="452"/>
      <c r="DC31" s="452"/>
      <c r="DD31" s="452"/>
      <c r="DE31" s="452"/>
      <c r="DF31" s="452"/>
      <c r="DG31" s="452"/>
      <c r="DH31" s="452"/>
      <c r="DI31" s="452"/>
      <c r="DJ31" s="452"/>
      <c r="DK31" s="452"/>
      <c r="DL31" s="452"/>
      <c r="DM31" s="452"/>
      <c r="DN31" s="452"/>
      <c r="DO31" s="452"/>
      <c r="DP31" s="452"/>
      <c r="DQ31" s="452"/>
      <c r="DR31" s="452"/>
      <c r="DS31" s="452"/>
      <c r="DT31" s="452"/>
      <c r="DU31" s="452"/>
      <c r="DV31" s="452"/>
      <c r="DW31" s="452"/>
      <c r="DX31" s="452"/>
      <c r="DY31" s="452"/>
      <c r="DZ31" s="452"/>
      <c r="EA31" s="452"/>
      <c r="EB31" s="452"/>
      <c r="EC31" s="452"/>
      <c r="ED31" s="452"/>
      <c r="EE31" s="452"/>
      <c r="EF31" s="452"/>
      <c r="EG31" s="452"/>
      <c r="EH31" s="452"/>
      <c r="EI31" s="452"/>
      <c r="EJ31" s="452"/>
      <c r="EK31" s="452"/>
      <c r="EL31" s="452"/>
      <c r="EM31" s="452"/>
      <c r="EN31" s="452"/>
      <c r="EO31" s="452"/>
      <c r="EP31" s="452"/>
      <c r="EQ31" s="452"/>
      <c r="ER31" s="452"/>
      <c r="ES31" s="452"/>
      <c r="ET31" s="452"/>
      <c r="EU31" s="452"/>
      <c r="EV31" s="452"/>
      <c r="EW31" s="452"/>
      <c r="EX31" s="452"/>
      <c r="EY31" s="452"/>
      <c r="EZ31" s="452"/>
      <c r="FA31" s="452"/>
      <c r="FB31" s="452"/>
      <c r="FC31" s="452"/>
      <c r="FD31" s="452"/>
      <c r="FE31" s="452"/>
      <c r="FF31" s="452"/>
      <c r="FG31" s="452"/>
      <c r="FH31" s="452"/>
      <c r="FI31" s="452"/>
      <c r="FJ31" s="452"/>
      <c r="FK31" s="452"/>
      <c r="FL31" s="452"/>
      <c r="FM31" s="452"/>
      <c r="FN31" s="452"/>
      <c r="FO31" s="452"/>
      <c r="FP31" s="452"/>
      <c r="FQ31" s="452"/>
      <c r="FR31" s="452"/>
      <c r="FS31" s="452"/>
      <c r="FT31" s="452"/>
      <c r="FU31" s="452"/>
      <c r="FV31" s="452"/>
      <c r="FW31" s="452"/>
      <c r="FX31" s="452"/>
      <c r="FY31" s="452"/>
      <c r="FZ31" s="452"/>
      <c r="GA31" s="452"/>
      <c r="GB31" s="452"/>
      <c r="GC31" s="452"/>
      <c r="GD31" s="452"/>
      <c r="GE31" s="452"/>
      <c r="GF31" s="452"/>
      <c r="GG31" s="452"/>
      <c r="GH31" s="452"/>
      <c r="GI31" s="452"/>
      <c r="GJ31" s="452"/>
      <c r="GK31" s="452"/>
      <c r="GL31" s="452"/>
      <c r="GM31" s="452"/>
      <c r="GN31" s="452"/>
      <c r="GO31" s="452"/>
      <c r="GP31" s="452"/>
      <c r="GQ31" s="452"/>
      <c r="GR31" s="452"/>
      <c r="GS31" s="452"/>
      <c r="GT31" s="452"/>
      <c r="GU31" s="452"/>
      <c r="GV31" s="452"/>
      <c r="GW31" s="452"/>
      <c r="GX31" s="452"/>
      <c r="GY31" s="452"/>
      <c r="GZ31" s="452"/>
      <c r="HA31" s="452"/>
      <c r="HB31" s="452"/>
      <c r="HC31" s="452"/>
      <c r="HD31" s="452"/>
      <c r="HE31" s="452"/>
      <c r="HF31" s="452"/>
      <c r="HG31" s="452"/>
      <c r="HH31" s="452"/>
      <c r="HI31" s="452"/>
      <c r="HJ31" s="452"/>
      <c r="HK31" s="452"/>
      <c r="HL31" s="452"/>
      <c r="HM31" s="452"/>
      <c r="HN31" s="452"/>
      <c r="HO31" s="452"/>
      <c r="HP31" s="452"/>
      <c r="HQ31" s="452"/>
      <c r="HR31" s="452"/>
      <c r="HS31" s="452"/>
      <c r="HT31" s="452"/>
      <c r="HU31" s="452"/>
      <c r="HV31" s="452"/>
      <c r="HW31" s="452"/>
      <c r="HX31" s="452"/>
      <c r="HY31" s="452"/>
      <c r="HZ31" s="452"/>
      <c r="IA31" s="452"/>
      <c r="IB31" s="452"/>
      <c r="IC31" s="452"/>
      <c r="ID31" s="452"/>
      <c r="IE31" s="452"/>
      <c r="IF31" s="452"/>
      <c r="IG31" s="452"/>
      <c r="IH31" s="452"/>
      <c r="II31" s="452"/>
      <c r="IJ31" s="452"/>
      <c r="IK31" s="452"/>
      <c r="IL31" s="452"/>
      <c r="IM31" s="452"/>
      <c r="IN31" s="452"/>
      <c r="IO31" s="452"/>
      <c r="IP31" s="452"/>
      <c r="IQ31" s="452"/>
      <c r="IR31" s="452"/>
      <c r="IS31" s="452"/>
      <c r="IT31" s="452"/>
      <c r="IU31" s="452"/>
      <c r="IV31" s="452"/>
    </row>
    <row r="32" spans="1:256" ht="16.5" customHeight="1">
      <c r="A32" s="452" t="s">
        <v>1003</v>
      </c>
      <c r="B32" s="452"/>
      <c r="C32" s="452"/>
      <c r="D32" s="1695">
        <v>36.944000000000003</v>
      </c>
      <c r="E32" s="1692"/>
      <c r="F32" s="1695">
        <v>354.53399999999999</v>
      </c>
      <c r="G32" s="1692"/>
      <c r="H32" s="1695">
        <v>351.41399999999999</v>
      </c>
      <c r="I32" s="1692"/>
      <c r="J32" s="1695">
        <v>0</v>
      </c>
      <c r="K32" s="1693"/>
      <c r="L32" s="1696">
        <f t="shared" si="0"/>
        <v>40.064</v>
      </c>
      <c r="M32" s="459"/>
      <c r="N32" s="397"/>
      <c r="O32" s="452"/>
      <c r="P32" s="452"/>
      <c r="Q32" s="452"/>
      <c r="R32" s="452"/>
      <c r="S32" s="452"/>
      <c r="T32" s="452"/>
      <c r="U32" s="452"/>
      <c r="V32" s="452"/>
      <c r="W32" s="452"/>
      <c r="X32" s="452"/>
      <c r="Y32" s="452"/>
      <c r="Z32" s="452"/>
      <c r="AA32" s="452"/>
      <c r="AB32" s="452"/>
      <c r="AC32" s="452"/>
      <c r="AD32" s="452"/>
      <c r="AE32" s="452"/>
      <c r="AF32" s="452"/>
      <c r="AG32" s="452"/>
      <c r="AH32" s="452"/>
      <c r="AI32" s="452"/>
      <c r="AJ32" s="452"/>
      <c r="AK32" s="452"/>
      <c r="AL32" s="452"/>
      <c r="AM32" s="452"/>
      <c r="AN32" s="452"/>
      <c r="AO32" s="452"/>
      <c r="AP32" s="452"/>
      <c r="AQ32" s="452"/>
      <c r="AR32" s="452"/>
      <c r="AS32" s="452"/>
      <c r="AT32" s="452"/>
      <c r="AU32" s="452"/>
      <c r="AV32" s="452"/>
      <c r="AW32" s="452"/>
      <c r="AX32" s="452"/>
      <c r="AY32" s="452"/>
      <c r="AZ32" s="452"/>
      <c r="BA32" s="452"/>
      <c r="BB32" s="452"/>
      <c r="BC32" s="452"/>
      <c r="BD32" s="452"/>
      <c r="BE32" s="452"/>
      <c r="BF32" s="452"/>
      <c r="BG32" s="452"/>
      <c r="BH32" s="452"/>
      <c r="BI32" s="452"/>
      <c r="BJ32" s="452"/>
      <c r="BK32" s="452"/>
      <c r="BL32" s="452"/>
      <c r="BM32" s="452"/>
      <c r="BN32" s="452"/>
      <c r="BO32" s="452"/>
      <c r="BP32" s="452"/>
      <c r="BQ32" s="452"/>
      <c r="BR32" s="452"/>
      <c r="BS32" s="452"/>
      <c r="BT32" s="452"/>
      <c r="BU32" s="452"/>
      <c r="BV32" s="452"/>
      <c r="BW32" s="452"/>
      <c r="BX32" s="452"/>
      <c r="BY32" s="452"/>
      <c r="BZ32" s="452"/>
      <c r="CA32" s="452"/>
      <c r="CB32" s="452"/>
      <c r="CC32" s="452"/>
      <c r="CD32" s="452"/>
      <c r="CE32" s="452"/>
      <c r="CF32" s="452"/>
      <c r="CG32" s="452"/>
      <c r="CH32" s="452"/>
      <c r="CI32" s="452"/>
      <c r="CJ32" s="452"/>
      <c r="CK32" s="452"/>
      <c r="CL32" s="452"/>
      <c r="CM32" s="452"/>
      <c r="CN32" s="452"/>
      <c r="CO32" s="452"/>
      <c r="CP32" s="452"/>
      <c r="CQ32" s="452"/>
      <c r="CR32" s="452"/>
      <c r="CS32" s="452"/>
      <c r="CT32" s="452"/>
      <c r="CU32" s="452"/>
      <c r="CV32" s="452"/>
      <c r="CW32" s="452"/>
      <c r="CX32" s="452"/>
      <c r="CY32" s="452"/>
      <c r="CZ32" s="452"/>
      <c r="DA32" s="452"/>
      <c r="DB32" s="452"/>
      <c r="DC32" s="452"/>
      <c r="DD32" s="452"/>
      <c r="DE32" s="452"/>
      <c r="DF32" s="452"/>
      <c r="DG32" s="452"/>
      <c r="DH32" s="452"/>
      <c r="DI32" s="452"/>
      <c r="DJ32" s="452"/>
      <c r="DK32" s="452"/>
      <c r="DL32" s="452"/>
      <c r="DM32" s="452"/>
      <c r="DN32" s="452"/>
      <c r="DO32" s="452"/>
      <c r="DP32" s="452"/>
      <c r="DQ32" s="452"/>
      <c r="DR32" s="452"/>
      <c r="DS32" s="452"/>
      <c r="DT32" s="452"/>
      <c r="DU32" s="452"/>
      <c r="DV32" s="452"/>
      <c r="DW32" s="452"/>
      <c r="DX32" s="452"/>
      <c r="DY32" s="452"/>
      <c r="DZ32" s="452"/>
      <c r="EA32" s="452"/>
      <c r="EB32" s="452"/>
      <c r="EC32" s="452"/>
      <c r="ED32" s="452"/>
      <c r="EE32" s="452"/>
      <c r="EF32" s="452"/>
      <c r="EG32" s="452"/>
      <c r="EH32" s="452"/>
      <c r="EI32" s="452"/>
      <c r="EJ32" s="452"/>
      <c r="EK32" s="452"/>
      <c r="EL32" s="452"/>
      <c r="EM32" s="452"/>
      <c r="EN32" s="452"/>
      <c r="EO32" s="452"/>
      <c r="EP32" s="452"/>
      <c r="EQ32" s="452"/>
      <c r="ER32" s="452"/>
      <c r="ES32" s="452"/>
      <c r="ET32" s="452"/>
      <c r="EU32" s="452"/>
      <c r="EV32" s="452"/>
      <c r="EW32" s="452"/>
      <c r="EX32" s="452"/>
      <c r="EY32" s="452"/>
      <c r="EZ32" s="452"/>
      <c r="FA32" s="452"/>
      <c r="FB32" s="452"/>
      <c r="FC32" s="452"/>
      <c r="FD32" s="452"/>
      <c r="FE32" s="452"/>
      <c r="FF32" s="452"/>
      <c r="FG32" s="452"/>
      <c r="FH32" s="452"/>
      <c r="FI32" s="452"/>
      <c r="FJ32" s="452"/>
      <c r="FK32" s="452"/>
      <c r="FL32" s="452"/>
      <c r="FM32" s="452"/>
      <c r="FN32" s="452"/>
      <c r="FO32" s="452"/>
      <c r="FP32" s="452"/>
      <c r="FQ32" s="452"/>
      <c r="FR32" s="452"/>
      <c r="FS32" s="452"/>
      <c r="FT32" s="452"/>
      <c r="FU32" s="452"/>
      <c r="FV32" s="452"/>
      <c r="FW32" s="452"/>
      <c r="FX32" s="452"/>
      <c r="FY32" s="452"/>
      <c r="FZ32" s="452"/>
      <c r="GA32" s="452"/>
      <c r="GB32" s="452"/>
      <c r="GC32" s="452"/>
      <c r="GD32" s="452"/>
      <c r="GE32" s="452"/>
      <c r="GF32" s="452"/>
      <c r="GG32" s="452"/>
      <c r="GH32" s="452"/>
      <c r="GI32" s="452"/>
      <c r="GJ32" s="452"/>
      <c r="GK32" s="452"/>
      <c r="GL32" s="452"/>
      <c r="GM32" s="452"/>
      <c r="GN32" s="452"/>
      <c r="GO32" s="452"/>
      <c r="GP32" s="452"/>
      <c r="GQ32" s="452"/>
      <c r="GR32" s="452"/>
      <c r="GS32" s="452"/>
      <c r="GT32" s="452"/>
      <c r="GU32" s="452"/>
      <c r="GV32" s="452"/>
      <c r="GW32" s="452"/>
      <c r="GX32" s="452"/>
      <c r="GY32" s="452"/>
      <c r="GZ32" s="452"/>
      <c r="HA32" s="452"/>
      <c r="HB32" s="452"/>
      <c r="HC32" s="452"/>
      <c r="HD32" s="452"/>
      <c r="HE32" s="452"/>
      <c r="HF32" s="452"/>
      <c r="HG32" s="452"/>
      <c r="HH32" s="452"/>
      <c r="HI32" s="452"/>
      <c r="HJ32" s="452"/>
      <c r="HK32" s="452"/>
      <c r="HL32" s="452"/>
      <c r="HM32" s="452"/>
      <c r="HN32" s="452"/>
      <c r="HO32" s="452"/>
      <c r="HP32" s="452"/>
      <c r="HQ32" s="452"/>
      <c r="HR32" s="452"/>
      <c r="HS32" s="452"/>
      <c r="HT32" s="452"/>
      <c r="HU32" s="452"/>
      <c r="HV32" s="452"/>
      <c r="HW32" s="452"/>
      <c r="HX32" s="452"/>
      <c r="HY32" s="452"/>
      <c r="HZ32" s="452"/>
      <c r="IA32" s="452"/>
      <c r="IB32" s="452"/>
      <c r="IC32" s="452"/>
      <c r="ID32" s="452"/>
      <c r="IE32" s="452"/>
      <c r="IF32" s="452"/>
      <c r="IG32" s="452"/>
      <c r="IH32" s="452"/>
      <c r="II32" s="452"/>
      <c r="IJ32" s="452"/>
      <c r="IK32" s="452"/>
      <c r="IL32" s="452"/>
      <c r="IM32" s="452"/>
      <c r="IN32" s="452"/>
      <c r="IO32" s="452"/>
      <c r="IP32" s="452"/>
      <c r="IQ32" s="452"/>
      <c r="IR32" s="452"/>
      <c r="IS32" s="452"/>
      <c r="IT32" s="452"/>
      <c r="IU32" s="452"/>
      <c r="IV32" s="452"/>
    </row>
    <row r="33" spans="1:256" ht="16.5" customHeight="1">
      <c r="A33" s="452" t="s">
        <v>378</v>
      </c>
      <c r="B33" s="452"/>
      <c r="C33" s="452" t="s">
        <v>15</v>
      </c>
      <c r="D33" s="1695">
        <v>16.920999999999999</v>
      </c>
      <c r="E33" s="1692"/>
      <c r="F33" s="1695">
        <v>5.0490000000000004</v>
      </c>
      <c r="G33" s="1692"/>
      <c r="H33" s="1695">
        <v>5.7169999999999996</v>
      </c>
      <c r="I33" s="1692"/>
      <c r="J33" s="1695">
        <v>0</v>
      </c>
      <c r="K33" s="1693"/>
      <c r="L33" s="1696">
        <f t="shared" si="0"/>
        <v>16.253</v>
      </c>
      <c r="M33" s="459"/>
      <c r="N33" s="452"/>
      <c r="O33" s="452"/>
      <c r="P33" s="452"/>
      <c r="Q33" s="452"/>
      <c r="R33" s="452"/>
      <c r="S33" s="452"/>
      <c r="T33" s="452"/>
      <c r="U33" s="452"/>
      <c r="V33" s="452"/>
      <c r="W33" s="452"/>
      <c r="X33" s="452"/>
      <c r="Y33" s="452"/>
      <c r="Z33" s="452"/>
      <c r="AA33" s="452"/>
      <c r="AB33" s="452"/>
      <c r="AC33" s="452"/>
      <c r="AD33" s="452"/>
      <c r="AE33" s="452"/>
      <c r="AF33" s="452"/>
      <c r="AG33" s="452"/>
      <c r="AH33" s="452"/>
      <c r="AI33" s="452"/>
      <c r="AJ33" s="452"/>
      <c r="AK33" s="452"/>
      <c r="AL33" s="452"/>
      <c r="AM33" s="452"/>
      <c r="AN33" s="452"/>
      <c r="AO33" s="452"/>
      <c r="AP33" s="452"/>
      <c r="AQ33" s="452"/>
      <c r="AR33" s="452"/>
      <c r="AS33" s="452"/>
      <c r="AT33" s="452"/>
      <c r="AU33" s="452"/>
      <c r="AV33" s="452"/>
      <c r="AW33" s="452"/>
      <c r="AX33" s="452"/>
      <c r="AY33" s="452"/>
      <c r="AZ33" s="452"/>
      <c r="BA33" s="452"/>
      <c r="BB33" s="452"/>
      <c r="BC33" s="452"/>
      <c r="BD33" s="452"/>
      <c r="BE33" s="452"/>
      <c r="BF33" s="452"/>
      <c r="BG33" s="452"/>
      <c r="BH33" s="452"/>
      <c r="BI33" s="452"/>
      <c r="BJ33" s="452"/>
      <c r="BK33" s="452"/>
      <c r="BL33" s="452"/>
      <c r="BM33" s="452"/>
      <c r="BN33" s="452"/>
      <c r="BO33" s="452"/>
      <c r="BP33" s="452"/>
      <c r="BQ33" s="452"/>
      <c r="BR33" s="452"/>
      <c r="BS33" s="452"/>
      <c r="BT33" s="452"/>
      <c r="BU33" s="452"/>
      <c r="BV33" s="452"/>
      <c r="BW33" s="452"/>
      <c r="BX33" s="452"/>
      <c r="BY33" s="452"/>
      <c r="BZ33" s="452"/>
      <c r="CA33" s="452"/>
      <c r="CB33" s="452"/>
      <c r="CC33" s="452"/>
      <c r="CD33" s="452"/>
      <c r="CE33" s="452"/>
      <c r="CF33" s="452"/>
      <c r="CG33" s="452"/>
      <c r="CH33" s="452"/>
      <c r="CI33" s="452"/>
      <c r="CJ33" s="452"/>
      <c r="CK33" s="452"/>
      <c r="CL33" s="452"/>
      <c r="CM33" s="452"/>
      <c r="CN33" s="452"/>
      <c r="CO33" s="452"/>
      <c r="CP33" s="452"/>
      <c r="CQ33" s="452"/>
      <c r="CR33" s="452"/>
      <c r="CS33" s="452"/>
      <c r="CT33" s="452"/>
      <c r="CU33" s="452"/>
      <c r="CV33" s="452"/>
      <c r="CW33" s="452"/>
      <c r="CX33" s="452"/>
      <c r="CY33" s="452"/>
      <c r="CZ33" s="452"/>
      <c r="DA33" s="452"/>
      <c r="DB33" s="452"/>
      <c r="DC33" s="452"/>
      <c r="DD33" s="452"/>
      <c r="DE33" s="452"/>
      <c r="DF33" s="452"/>
      <c r="DG33" s="452"/>
      <c r="DH33" s="452"/>
      <c r="DI33" s="452"/>
      <c r="DJ33" s="452"/>
      <c r="DK33" s="452"/>
      <c r="DL33" s="452"/>
      <c r="DM33" s="452"/>
      <c r="DN33" s="452"/>
      <c r="DO33" s="452"/>
      <c r="DP33" s="452"/>
      <c r="DQ33" s="452"/>
      <c r="DR33" s="452"/>
      <c r="DS33" s="452"/>
      <c r="DT33" s="452"/>
      <c r="DU33" s="452"/>
      <c r="DV33" s="452"/>
      <c r="DW33" s="452"/>
      <c r="DX33" s="452"/>
      <c r="DY33" s="452"/>
      <c r="DZ33" s="452"/>
      <c r="EA33" s="452"/>
      <c r="EB33" s="452"/>
      <c r="EC33" s="452"/>
      <c r="ED33" s="452"/>
      <c r="EE33" s="452"/>
      <c r="EF33" s="452"/>
      <c r="EG33" s="452"/>
      <c r="EH33" s="452"/>
      <c r="EI33" s="452"/>
      <c r="EJ33" s="452"/>
      <c r="EK33" s="452"/>
      <c r="EL33" s="452"/>
      <c r="EM33" s="452"/>
      <c r="EN33" s="452"/>
      <c r="EO33" s="452"/>
      <c r="EP33" s="452"/>
      <c r="EQ33" s="452"/>
      <c r="ER33" s="452"/>
      <c r="ES33" s="452"/>
      <c r="ET33" s="452"/>
      <c r="EU33" s="452"/>
      <c r="EV33" s="452"/>
      <c r="EW33" s="452"/>
      <c r="EX33" s="452"/>
      <c r="EY33" s="452"/>
      <c r="EZ33" s="452"/>
      <c r="FA33" s="452"/>
      <c r="FB33" s="452"/>
      <c r="FC33" s="452"/>
      <c r="FD33" s="452"/>
      <c r="FE33" s="452"/>
      <c r="FF33" s="452"/>
      <c r="FG33" s="452"/>
      <c r="FH33" s="452"/>
      <c r="FI33" s="452"/>
      <c r="FJ33" s="452"/>
      <c r="FK33" s="452"/>
      <c r="FL33" s="452"/>
      <c r="FM33" s="452"/>
      <c r="FN33" s="452"/>
      <c r="FO33" s="452"/>
      <c r="FP33" s="452"/>
      <c r="FQ33" s="452"/>
      <c r="FR33" s="452"/>
      <c r="FS33" s="452"/>
      <c r="FT33" s="452"/>
      <c r="FU33" s="452"/>
      <c r="FV33" s="452"/>
      <c r="FW33" s="452"/>
      <c r="FX33" s="452"/>
      <c r="FY33" s="452"/>
      <c r="FZ33" s="452"/>
      <c r="GA33" s="452"/>
      <c r="GB33" s="452"/>
      <c r="GC33" s="452"/>
      <c r="GD33" s="452"/>
      <c r="GE33" s="452"/>
      <c r="GF33" s="452"/>
      <c r="GG33" s="452"/>
      <c r="GH33" s="452"/>
      <c r="GI33" s="452"/>
      <c r="GJ33" s="452"/>
      <c r="GK33" s="452"/>
      <c r="GL33" s="452"/>
      <c r="GM33" s="452"/>
      <c r="GN33" s="452"/>
      <c r="GO33" s="452"/>
      <c r="GP33" s="452"/>
      <c r="GQ33" s="452"/>
      <c r="GR33" s="452"/>
      <c r="GS33" s="452"/>
      <c r="GT33" s="452"/>
      <c r="GU33" s="452"/>
      <c r="GV33" s="452"/>
      <c r="GW33" s="452"/>
      <c r="GX33" s="452"/>
      <c r="GY33" s="452"/>
      <c r="GZ33" s="452"/>
      <c r="HA33" s="452"/>
      <c r="HB33" s="452"/>
      <c r="HC33" s="452"/>
      <c r="HD33" s="452"/>
      <c r="HE33" s="452"/>
      <c r="HF33" s="452"/>
      <c r="HG33" s="452"/>
      <c r="HH33" s="452"/>
      <c r="HI33" s="452"/>
      <c r="HJ33" s="452"/>
      <c r="HK33" s="452"/>
      <c r="HL33" s="452"/>
      <c r="HM33" s="452"/>
      <c r="HN33" s="452"/>
      <c r="HO33" s="452"/>
      <c r="HP33" s="452"/>
      <c r="HQ33" s="452"/>
      <c r="HR33" s="452"/>
      <c r="HS33" s="452"/>
      <c r="HT33" s="452"/>
      <c r="HU33" s="452"/>
      <c r="HV33" s="452"/>
      <c r="HW33" s="452"/>
      <c r="HX33" s="452"/>
      <c r="HY33" s="452"/>
      <c r="HZ33" s="452"/>
      <c r="IA33" s="452"/>
      <c r="IB33" s="452"/>
      <c r="IC33" s="452"/>
      <c r="ID33" s="452"/>
      <c r="IE33" s="452"/>
      <c r="IF33" s="452"/>
      <c r="IG33" s="452"/>
      <c r="IH33" s="452"/>
      <c r="II33" s="452"/>
      <c r="IJ33" s="452"/>
      <c r="IK33" s="452"/>
      <c r="IL33" s="452"/>
      <c r="IM33" s="452"/>
      <c r="IN33" s="452"/>
      <c r="IO33" s="452"/>
      <c r="IP33" s="452"/>
      <c r="IQ33" s="452"/>
      <c r="IR33" s="452"/>
      <c r="IS33" s="452"/>
      <c r="IT33" s="452"/>
      <c r="IU33" s="452"/>
      <c r="IV33" s="452"/>
    </row>
    <row r="34" spans="1:256" ht="15.75" customHeight="1">
      <c r="A34" s="452" t="s">
        <v>379</v>
      </c>
      <c r="B34" s="452"/>
      <c r="C34" s="452"/>
      <c r="D34" s="1695">
        <v>0.67900000000000005</v>
      </c>
      <c r="E34" s="1692"/>
      <c r="F34" s="1695">
        <v>0.76700000000000002</v>
      </c>
      <c r="G34" s="1692"/>
      <c r="H34" s="1695">
        <v>0.76600000000000001</v>
      </c>
      <c r="I34" s="1692"/>
      <c r="J34" s="1695">
        <v>0</v>
      </c>
      <c r="K34" s="1693"/>
      <c r="L34" s="1696">
        <f t="shared" si="0"/>
        <v>0.68</v>
      </c>
      <c r="M34" s="459"/>
      <c r="N34" s="452"/>
      <c r="O34" s="452"/>
      <c r="P34" s="452"/>
      <c r="Q34" s="452"/>
      <c r="R34" s="452"/>
      <c r="S34" s="452"/>
      <c r="T34" s="452"/>
      <c r="U34" s="452"/>
      <c r="V34" s="452"/>
      <c r="W34" s="452"/>
      <c r="X34" s="452"/>
      <c r="Y34" s="452"/>
      <c r="Z34" s="452"/>
      <c r="AA34" s="452"/>
      <c r="AB34" s="452"/>
      <c r="AC34" s="452"/>
      <c r="AD34" s="452"/>
      <c r="AE34" s="452"/>
      <c r="AF34" s="452"/>
      <c r="AG34" s="452"/>
      <c r="AH34" s="452"/>
      <c r="AI34" s="452"/>
      <c r="AJ34" s="452"/>
      <c r="AK34" s="452"/>
      <c r="AL34" s="452"/>
      <c r="AM34" s="452"/>
      <c r="AN34" s="452"/>
      <c r="AO34" s="452"/>
      <c r="AP34" s="452"/>
      <c r="AQ34" s="452"/>
      <c r="AR34" s="452"/>
      <c r="AS34" s="452"/>
      <c r="AT34" s="452"/>
      <c r="AU34" s="452"/>
      <c r="AV34" s="452"/>
      <c r="AW34" s="452"/>
      <c r="AX34" s="452"/>
      <c r="AY34" s="452"/>
      <c r="AZ34" s="452"/>
      <c r="BA34" s="452"/>
      <c r="BB34" s="452"/>
      <c r="BC34" s="452"/>
      <c r="BD34" s="452"/>
      <c r="BE34" s="452"/>
      <c r="BF34" s="452"/>
      <c r="BG34" s="452"/>
      <c r="BH34" s="452"/>
      <c r="BI34" s="452"/>
      <c r="BJ34" s="452"/>
      <c r="BK34" s="452"/>
      <c r="BL34" s="452"/>
      <c r="BM34" s="452"/>
      <c r="BN34" s="452"/>
      <c r="BO34" s="452"/>
      <c r="BP34" s="452"/>
      <c r="BQ34" s="452"/>
      <c r="BR34" s="452"/>
      <c r="BS34" s="452"/>
      <c r="BT34" s="452"/>
      <c r="BU34" s="452"/>
      <c r="BV34" s="452"/>
      <c r="BW34" s="452"/>
      <c r="BX34" s="452"/>
      <c r="BY34" s="452"/>
      <c r="BZ34" s="452"/>
      <c r="CA34" s="452"/>
      <c r="CB34" s="452"/>
      <c r="CC34" s="452"/>
      <c r="CD34" s="452"/>
      <c r="CE34" s="452"/>
      <c r="CF34" s="452"/>
      <c r="CG34" s="452"/>
      <c r="CH34" s="452"/>
      <c r="CI34" s="452"/>
      <c r="CJ34" s="452"/>
      <c r="CK34" s="452"/>
      <c r="CL34" s="452"/>
      <c r="CM34" s="452"/>
      <c r="CN34" s="452"/>
      <c r="CO34" s="452"/>
      <c r="CP34" s="452"/>
      <c r="CQ34" s="452"/>
      <c r="CR34" s="452"/>
      <c r="CS34" s="452"/>
      <c r="CT34" s="452"/>
      <c r="CU34" s="452"/>
      <c r="CV34" s="452"/>
      <c r="CW34" s="452"/>
      <c r="CX34" s="452"/>
      <c r="CY34" s="452"/>
      <c r="CZ34" s="452"/>
      <c r="DA34" s="452"/>
      <c r="DB34" s="452"/>
      <c r="DC34" s="452"/>
      <c r="DD34" s="452"/>
      <c r="DE34" s="452"/>
      <c r="DF34" s="452"/>
      <c r="DG34" s="452"/>
      <c r="DH34" s="452"/>
      <c r="DI34" s="452"/>
      <c r="DJ34" s="452"/>
      <c r="DK34" s="452"/>
      <c r="DL34" s="452"/>
      <c r="DM34" s="452"/>
      <c r="DN34" s="452"/>
      <c r="DO34" s="452"/>
      <c r="DP34" s="452"/>
      <c r="DQ34" s="452"/>
      <c r="DR34" s="452"/>
      <c r="DS34" s="452"/>
      <c r="DT34" s="452"/>
      <c r="DU34" s="452"/>
      <c r="DV34" s="452"/>
      <c r="DW34" s="452"/>
      <c r="DX34" s="452"/>
      <c r="DY34" s="452"/>
      <c r="DZ34" s="452"/>
      <c r="EA34" s="452"/>
      <c r="EB34" s="452"/>
      <c r="EC34" s="452"/>
      <c r="ED34" s="452"/>
      <c r="EE34" s="452"/>
      <c r="EF34" s="452"/>
      <c r="EG34" s="452"/>
      <c r="EH34" s="452"/>
      <c r="EI34" s="452"/>
      <c r="EJ34" s="452"/>
      <c r="EK34" s="452"/>
      <c r="EL34" s="452"/>
      <c r="EM34" s="452"/>
      <c r="EN34" s="452"/>
      <c r="EO34" s="452"/>
      <c r="EP34" s="452"/>
      <c r="EQ34" s="452"/>
      <c r="ER34" s="452"/>
      <c r="ES34" s="452"/>
      <c r="ET34" s="452"/>
      <c r="EU34" s="452"/>
      <c r="EV34" s="452"/>
      <c r="EW34" s="452"/>
      <c r="EX34" s="452"/>
      <c r="EY34" s="452"/>
      <c r="EZ34" s="452"/>
      <c r="FA34" s="452"/>
      <c r="FB34" s="452"/>
      <c r="FC34" s="452"/>
      <c r="FD34" s="452"/>
      <c r="FE34" s="452"/>
      <c r="FF34" s="452"/>
      <c r="FG34" s="452"/>
      <c r="FH34" s="452"/>
      <c r="FI34" s="452"/>
      <c r="FJ34" s="452"/>
      <c r="FK34" s="452"/>
      <c r="FL34" s="452"/>
      <c r="FM34" s="452"/>
      <c r="FN34" s="452"/>
      <c r="FO34" s="452"/>
      <c r="FP34" s="452"/>
      <c r="FQ34" s="452"/>
      <c r="FR34" s="452"/>
      <c r="FS34" s="452"/>
      <c r="FT34" s="452"/>
      <c r="FU34" s="452"/>
      <c r="FV34" s="452"/>
      <c r="FW34" s="452"/>
      <c r="FX34" s="452"/>
      <c r="FY34" s="452"/>
      <c r="FZ34" s="452"/>
      <c r="GA34" s="452"/>
      <c r="GB34" s="452"/>
      <c r="GC34" s="452"/>
      <c r="GD34" s="452"/>
      <c r="GE34" s="452"/>
      <c r="GF34" s="452"/>
      <c r="GG34" s="452"/>
      <c r="GH34" s="452"/>
      <c r="GI34" s="452"/>
      <c r="GJ34" s="452"/>
      <c r="GK34" s="452"/>
      <c r="GL34" s="452"/>
      <c r="GM34" s="452"/>
      <c r="GN34" s="452"/>
      <c r="GO34" s="452"/>
      <c r="GP34" s="452"/>
      <c r="GQ34" s="452"/>
      <c r="GR34" s="452"/>
      <c r="GS34" s="452"/>
      <c r="GT34" s="452"/>
      <c r="GU34" s="452"/>
      <c r="GV34" s="452"/>
      <c r="GW34" s="452"/>
      <c r="GX34" s="452"/>
      <c r="GY34" s="452"/>
      <c r="GZ34" s="452"/>
      <c r="HA34" s="452"/>
      <c r="HB34" s="452"/>
      <c r="HC34" s="452"/>
      <c r="HD34" s="452"/>
      <c r="HE34" s="452"/>
      <c r="HF34" s="452"/>
      <c r="HG34" s="452"/>
      <c r="HH34" s="452"/>
      <c r="HI34" s="452"/>
      <c r="HJ34" s="452"/>
      <c r="HK34" s="452"/>
      <c r="HL34" s="452"/>
      <c r="HM34" s="452"/>
      <c r="HN34" s="452"/>
      <c r="HO34" s="452"/>
      <c r="HP34" s="452"/>
      <c r="HQ34" s="452"/>
      <c r="HR34" s="452"/>
      <c r="HS34" s="452"/>
      <c r="HT34" s="452"/>
      <c r="HU34" s="452"/>
      <c r="HV34" s="452"/>
      <c r="HW34" s="452"/>
      <c r="HX34" s="452"/>
      <c r="HY34" s="452"/>
      <c r="HZ34" s="452"/>
      <c r="IA34" s="452"/>
      <c r="IB34" s="452"/>
      <c r="IC34" s="452"/>
      <c r="ID34" s="452"/>
      <c r="IE34" s="452"/>
      <c r="IF34" s="452"/>
      <c r="IG34" s="452"/>
      <c r="IH34" s="452"/>
      <c r="II34" s="452"/>
      <c r="IJ34" s="452"/>
      <c r="IK34" s="452"/>
      <c r="IL34" s="452"/>
      <c r="IM34" s="452"/>
      <c r="IN34" s="452"/>
      <c r="IO34" s="452"/>
      <c r="IP34" s="452"/>
      <c r="IQ34" s="452"/>
      <c r="IR34" s="452"/>
      <c r="IS34" s="452"/>
      <c r="IT34" s="452"/>
      <c r="IU34" s="452"/>
      <c r="IV34" s="452"/>
    </row>
    <row r="35" spans="1:256" ht="15.75" customHeight="1">
      <c r="A35" s="452" t="s">
        <v>380</v>
      </c>
      <c r="B35" s="452"/>
      <c r="C35" s="452"/>
      <c r="D35" s="1695">
        <v>695.72299999999996</v>
      </c>
      <c r="E35" s="1692"/>
      <c r="F35" s="1695">
        <v>121.94199999999999</v>
      </c>
      <c r="G35" s="1692"/>
      <c r="H35" s="1695">
        <v>101.797</v>
      </c>
      <c r="I35" s="1692"/>
      <c r="J35" s="1695">
        <v>0</v>
      </c>
      <c r="K35" s="1693"/>
      <c r="L35" s="1696">
        <f t="shared" si="0"/>
        <v>715.86800000000005</v>
      </c>
      <c r="M35" s="464"/>
      <c r="N35" s="452"/>
      <c r="O35" s="452"/>
      <c r="P35" s="452"/>
      <c r="Q35" s="452"/>
      <c r="R35" s="452"/>
      <c r="S35" s="452"/>
      <c r="T35" s="452"/>
      <c r="U35" s="452"/>
      <c r="V35" s="452"/>
      <c r="W35" s="452"/>
      <c r="X35" s="452"/>
      <c r="Y35" s="452"/>
      <c r="Z35" s="452"/>
      <c r="AA35" s="452"/>
      <c r="AB35" s="452"/>
      <c r="AC35" s="452"/>
      <c r="AD35" s="452"/>
      <c r="AE35" s="452"/>
      <c r="AF35" s="452"/>
      <c r="AG35" s="452"/>
      <c r="AH35" s="452"/>
      <c r="AI35" s="452"/>
      <c r="AJ35" s="452"/>
      <c r="AK35" s="452"/>
      <c r="AL35" s="452"/>
      <c r="AM35" s="452"/>
      <c r="AN35" s="452"/>
      <c r="AO35" s="452"/>
      <c r="AP35" s="452"/>
      <c r="AQ35" s="452"/>
      <c r="AR35" s="452"/>
      <c r="AS35" s="452"/>
      <c r="AT35" s="452"/>
      <c r="AU35" s="452"/>
      <c r="AV35" s="452"/>
      <c r="AW35" s="452"/>
      <c r="AX35" s="452"/>
      <c r="AY35" s="452"/>
      <c r="AZ35" s="452"/>
      <c r="BA35" s="452"/>
      <c r="BB35" s="452"/>
      <c r="BC35" s="452"/>
      <c r="BD35" s="452"/>
      <c r="BE35" s="452"/>
      <c r="BF35" s="452"/>
      <c r="BG35" s="452"/>
      <c r="BH35" s="452"/>
      <c r="BI35" s="452"/>
      <c r="BJ35" s="452"/>
      <c r="BK35" s="452"/>
      <c r="BL35" s="452"/>
      <c r="BM35" s="452"/>
      <c r="BN35" s="452"/>
      <c r="BO35" s="452"/>
      <c r="BP35" s="452"/>
      <c r="BQ35" s="452"/>
      <c r="BR35" s="452"/>
      <c r="BS35" s="452"/>
      <c r="BT35" s="452"/>
      <c r="BU35" s="452"/>
      <c r="BV35" s="452"/>
      <c r="BW35" s="452"/>
      <c r="BX35" s="452"/>
      <c r="BY35" s="452"/>
      <c r="BZ35" s="452"/>
      <c r="CA35" s="452"/>
      <c r="CB35" s="452"/>
      <c r="CC35" s="452"/>
      <c r="CD35" s="452"/>
      <c r="CE35" s="452"/>
      <c r="CF35" s="452"/>
      <c r="CG35" s="452"/>
      <c r="CH35" s="452"/>
      <c r="CI35" s="452"/>
      <c r="CJ35" s="452"/>
      <c r="CK35" s="452"/>
      <c r="CL35" s="452"/>
      <c r="CM35" s="452"/>
      <c r="CN35" s="452"/>
      <c r="CO35" s="452"/>
      <c r="CP35" s="452"/>
      <c r="CQ35" s="452"/>
      <c r="CR35" s="452"/>
      <c r="CS35" s="452"/>
      <c r="CT35" s="452"/>
      <c r="CU35" s="452"/>
      <c r="CV35" s="452"/>
      <c r="CW35" s="452"/>
      <c r="CX35" s="452"/>
      <c r="CY35" s="452"/>
      <c r="CZ35" s="452"/>
      <c r="DA35" s="452"/>
      <c r="DB35" s="452"/>
      <c r="DC35" s="452"/>
      <c r="DD35" s="452"/>
      <c r="DE35" s="452"/>
      <c r="DF35" s="452"/>
      <c r="DG35" s="452"/>
      <c r="DH35" s="452"/>
      <c r="DI35" s="452"/>
      <c r="DJ35" s="452"/>
      <c r="DK35" s="452"/>
      <c r="DL35" s="452"/>
      <c r="DM35" s="452"/>
      <c r="DN35" s="452"/>
      <c r="DO35" s="452"/>
      <c r="DP35" s="452"/>
      <c r="DQ35" s="452"/>
      <c r="DR35" s="452"/>
      <c r="DS35" s="452"/>
      <c r="DT35" s="452"/>
      <c r="DU35" s="452"/>
      <c r="DV35" s="452"/>
      <c r="DW35" s="452"/>
      <c r="DX35" s="452"/>
      <c r="DY35" s="452"/>
      <c r="DZ35" s="452"/>
      <c r="EA35" s="452"/>
      <c r="EB35" s="452"/>
      <c r="EC35" s="452"/>
      <c r="ED35" s="452"/>
      <c r="EE35" s="452"/>
      <c r="EF35" s="452"/>
      <c r="EG35" s="452"/>
      <c r="EH35" s="452"/>
      <c r="EI35" s="452"/>
      <c r="EJ35" s="452"/>
      <c r="EK35" s="452"/>
      <c r="EL35" s="452"/>
      <c r="EM35" s="452"/>
      <c r="EN35" s="452"/>
      <c r="EO35" s="452"/>
      <c r="EP35" s="452"/>
      <c r="EQ35" s="452"/>
      <c r="ER35" s="452"/>
      <c r="ES35" s="452"/>
      <c r="ET35" s="452"/>
      <c r="EU35" s="452"/>
      <c r="EV35" s="452"/>
      <c r="EW35" s="452"/>
      <c r="EX35" s="452"/>
      <c r="EY35" s="452"/>
      <c r="EZ35" s="452"/>
      <c r="FA35" s="452"/>
      <c r="FB35" s="452"/>
      <c r="FC35" s="452"/>
      <c r="FD35" s="452"/>
      <c r="FE35" s="452"/>
      <c r="FF35" s="452"/>
      <c r="FG35" s="452"/>
      <c r="FH35" s="452"/>
      <c r="FI35" s="452"/>
      <c r="FJ35" s="452"/>
      <c r="FK35" s="452"/>
      <c r="FL35" s="452"/>
      <c r="FM35" s="452"/>
      <c r="FN35" s="452"/>
      <c r="FO35" s="452"/>
      <c r="FP35" s="452"/>
      <c r="FQ35" s="452"/>
      <c r="FR35" s="452"/>
      <c r="FS35" s="452"/>
      <c r="FT35" s="452"/>
      <c r="FU35" s="452"/>
      <c r="FV35" s="452"/>
      <c r="FW35" s="452"/>
      <c r="FX35" s="452"/>
      <c r="FY35" s="452"/>
      <c r="FZ35" s="452"/>
      <c r="GA35" s="452"/>
      <c r="GB35" s="452"/>
      <c r="GC35" s="452"/>
      <c r="GD35" s="452"/>
      <c r="GE35" s="452"/>
      <c r="GF35" s="452"/>
      <c r="GG35" s="452"/>
      <c r="GH35" s="452"/>
      <c r="GI35" s="452"/>
      <c r="GJ35" s="452"/>
      <c r="GK35" s="452"/>
      <c r="GL35" s="452"/>
      <c r="GM35" s="452"/>
      <c r="GN35" s="452"/>
      <c r="GO35" s="452"/>
      <c r="GP35" s="452"/>
      <c r="GQ35" s="452"/>
      <c r="GR35" s="452"/>
      <c r="GS35" s="452"/>
      <c r="GT35" s="452"/>
      <c r="GU35" s="452"/>
      <c r="GV35" s="452"/>
      <c r="GW35" s="452"/>
      <c r="GX35" s="452"/>
      <c r="GY35" s="452"/>
      <c r="GZ35" s="452"/>
      <c r="HA35" s="452"/>
      <c r="HB35" s="452"/>
      <c r="HC35" s="452"/>
      <c r="HD35" s="452"/>
      <c r="HE35" s="452"/>
      <c r="HF35" s="452"/>
      <c r="HG35" s="452"/>
      <c r="HH35" s="452"/>
      <c r="HI35" s="452"/>
      <c r="HJ35" s="452"/>
      <c r="HK35" s="452"/>
      <c r="HL35" s="452"/>
      <c r="HM35" s="452"/>
      <c r="HN35" s="452"/>
      <c r="HO35" s="452"/>
      <c r="HP35" s="452"/>
      <c r="HQ35" s="452"/>
      <c r="HR35" s="452"/>
      <c r="HS35" s="452"/>
      <c r="HT35" s="452"/>
      <c r="HU35" s="452"/>
      <c r="HV35" s="452"/>
      <c r="HW35" s="452"/>
      <c r="HX35" s="452"/>
      <c r="HY35" s="452"/>
      <c r="HZ35" s="452"/>
      <c r="IA35" s="452"/>
      <c r="IB35" s="452"/>
      <c r="IC35" s="452"/>
      <c r="ID35" s="452"/>
      <c r="IE35" s="452"/>
      <c r="IF35" s="452"/>
      <c r="IG35" s="452"/>
      <c r="IH35" s="452"/>
      <c r="II35" s="452"/>
      <c r="IJ35" s="452"/>
      <c r="IK35" s="452"/>
      <c r="IL35" s="452"/>
      <c r="IM35" s="452"/>
      <c r="IN35" s="452"/>
      <c r="IO35" s="452"/>
      <c r="IP35" s="452"/>
      <c r="IQ35" s="452"/>
      <c r="IR35" s="452"/>
      <c r="IS35" s="452"/>
      <c r="IT35" s="452"/>
      <c r="IU35" s="452"/>
      <c r="IV35" s="452"/>
    </row>
    <row r="36" spans="1:256" ht="16.5" customHeight="1">
      <c r="A36" s="452" t="s">
        <v>381</v>
      </c>
      <c r="B36" s="452"/>
      <c r="C36" s="452"/>
      <c r="D36" s="1695">
        <v>0.14599999999999999</v>
      </c>
      <c r="E36" s="1692"/>
      <c r="F36" s="1695">
        <v>0</v>
      </c>
      <c r="G36" s="1692"/>
      <c r="H36" s="1695">
        <v>0</v>
      </c>
      <c r="I36" s="1692"/>
      <c r="J36" s="1695">
        <v>0</v>
      </c>
      <c r="K36" s="1693"/>
      <c r="L36" s="1696">
        <f t="shared" si="0"/>
        <v>0.14599999999999999</v>
      </c>
      <c r="M36" s="459"/>
      <c r="N36" s="452"/>
      <c r="O36" s="452"/>
      <c r="P36" s="452"/>
      <c r="Q36" s="452"/>
      <c r="R36" s="452"/>
      <c r="S36" s="452"/>
      <c r="T36" s="452"/>
      <c r="U36" s="452"/>
      <c r="V36" s="452"/>
      <c r="W36" s="452"/>
      <c r="X36" s="452"/>
      <c r="Y36" s="452"/>
      <c r="Z36" s="452"/>
      <c r="AA36" s="452"/>
      <c r="AB36" s="452"/>
      <c r="AC36" s="452"/>
      <c r="AD36" s="452"/>
      <c r="AE36" s="452"/>
      <c r="AF36" s="452"/>
      <c r="AG36" s="452"/>
      <c r="AH36" s="452"/>
      <c r="AI36" s="452"/>
      <c r="AJ36" s="452"/>
      <c r="AK36" s="452"/>
      <c r="AL36" s="452"/>
      <c r="AM36" s="452"/>
      <c r="AN36" s="452"/>
      <c r="AO36" s="452"/>
      <c r="AP36" s="452"/>
      <c r="AQ36" s="452"/>
      <c r="AR36" s="452"/>
      <c r="AS36" s="452"/>
      <c r="AT36" s="452"/>
      <c r="AU36" s="452"/>
      <c r="AV36" s="452"/>
      <c r="AW36" s="452"/>
      <c r="AX36" s="452"/>
      <c r="AY36" s="452"/>
      <c r="AZ36" s="452"/>
      <c r="BA36" s="452"/>
      <c r="BB36" s="452"/>
      <c r="BC36" s="452"/>
      <c r="BD36" s="452"/>
      <c r="BE36" s="452"/>
      <c r="BF36" s="452"/>
      <c r="BG36" s="452"/>
      <c r="BH36" s="452"/>
      <c r="BI36" s="452"/>
      <c r="BJ36" s="452"/>
      <c r="BK36" s="452"/>
      <c r="BL36" s="452"/>
      <c r="BM36" s="452"/>
      <c r="BN36" s="452"/>
      <c r="BO36" s="452"/>
      <c r="BP36" s="452"/>
      <c r="BQ36" s="452"/>
      <c r="BR36" s="452"/>
      <c r="BS36" s="452"/>
      <c r="BT36" s="452"/>
      <c r="BU36" s="452"/>
      <c r="BV36" s="452"/>
      <c r="BW36" s="452"/>
      <c r="BX36" s="452"/>
      <c r="BY36" s="452"/>
      <c r="BZ36" s="452"/>
      <c r="CA36" s="452"/>
      <c r="CB36" s="452"/>
      <c r="CC36" s="452"/>
      <c r="CD36" s="452"/>
      <c r="CE36" s="452"/>
      <c r="CF36" s="452"/>
      <c r="CG36" s="452"/>
      <c r="CH36" s="452"/>
      <c r="CI36" s="452"/>
      <c r="CJ36" s="452"/>
      <c r="CK36" s="452"/>
      <c r="CL36" s="452"/>
      <c r="CM36" s="452"/>
      <c r="CN36" s="452"/>
      <c r="CO36" s="452"/>
      <c r="CP36" s="452"/>
      <c r="CQ36" s="452"/>
      <c r="CR36" s="452"/>
      <c r="CS36" s="452"/>
      <c r="CT36" s="452"/>
      <c r="CU36" s="452"/>
      <c r="CV36" s="452"/>
      <c r="CW36" s="452"/>
      <c r="CX36" s="452"/>
      <c r="CY36" s="452"/>
      <c r="CZ36" s="452"/>
      <c r="DA36" s="452"/>
      <c r="DB36" s="452"/>
      <c r="DC36" s="452"/>
      <c r="DD36" s="452"/>
      <c r="DE36" s="452"/>
      <c r="DF36" s="452"/>
      <c r="DG36" s="452"/>
      <c r="DH36" s="452"/>
      <c r="DI36" s="452"/>
      <c r="DJ36" s="452"/>
      <c r="DK36" s="452"/>
      <c r="DL36" s="452"/>
      <c r="DM36" s="452"/>
      <c r="DN36" s="452"/>
      <c r="DO36" s="452"/>
      <c r="DP36" s="452"/>
      <c r="DQ36" s="452"/>
      <c r="DR36" s="452"/>
      <c r="DS36" s="452"/>
      <c r="DT36" s="452"/>
      <c r="DU36" s="452"/>
      <c r="DV36" s="452"/>
      <c r="DW36" s="452"/>
      <c r="DX36" s="452"/>
      <c r="DY36" s="452"/>
      <c r="DZ36" s="452"/>
      <c r="EA36" s="452"/>
      <c r="EB36" s="452"/>
      <c r="EC36" s="452"/>
      <c r="ED36" s="452"/>
      <c r="EE36" s="452"/>
      <c r="EF36" s="452"/>
      <c r="EG36" s="452"/>
      <c r="EH36" s="452"/>
      <c r="EI36" s="452"/>
      <c r="EJ36" s="452"/>
      <c r="EK36" s="452"/>
      <c r="EL36" s="452"/>
      <c r="EM36" s="452"/>
      <c r="EN36" s="452"/>
      <c r="EO36" s="452"/>
      <c r="EP36" s="452"/>
      <c r="EQ36" s="452"/>
      <c r="ER36" s="452"/>
      <c r="ES36" s="452"/>
      <c r="ET36" s="452"/>
      <c r="EU36" s="452"/>
      <c r="EV36" s="452"/>
      <c r="EW36" s="452"/>
      <c r="EX36" s="452"/>
      <c r="EY36" s="452"/>
      <c r="EZ36" s="452"/>
      <c r="FA36" s="452"/>
      <c r="FB36" s="452"/>
      <c r="FC36" s="452"/>
      <c r="FD36" s="452"/>
      <c r="FE36" s="452"/>
      <c r="FF36" s="452"/>
      <c r="FG36" s="452"/>
      <c r="FH36" s="452"/>
      <c r="FI36" s="452"/>
      <c r="FJ36" s="452"/>
      <c r="FK36" s="452"/>
      <c r="FL36" s="452"/>
      <c r="FM36" s="452"/>
      <c r="FN36" s="452"/>
      <c r="FO36" s="452"/>
      <c r="FP36" s="452"/>
      <c r="FQ36" s="452"/>
      <c r="FR36" s="452"/>
      <c r="FS36" s="452"/>
      <c r="FT36" s="452"/>
      <c r="FU36" s="452"/>
      <c r="FV36" s="452"/>
      <c r="FW36" s="452"/>
      <c r="FX36" s="452"/>
      <c r="FY36" s="452"/>
      <c r="FZ36" s="452"/>
      <c r="GA36" s="452"/>
      <c r="GB36" s="452"/>
      <c r="GC36" s="452"/>
      <c r="GD36" s="452"/>
      <c r="GE36" s="452"/>
      <c r="GF36" s="452"/>
      <c r="GG36" s="452"/>
      <c r="GH36" s="452"/>
      <c r="GI36" s="452"/>
      <c r="GJ36" s="452"/>
      <c r="GK36" s="452"/>
      <c r="GL36" s="452"/>
      <c r="GM36" s="452"/>
      <c r="GN36" s="452"/>
      <c r="GO36" s="452"/>
      <c r="GP36" s="452"/>
      <c r="GQ36" s="452"/>
      <c r="GR36" s="452"/>
      <c r="GS36" s="452"/>
      <c r="GT36" s="452"/>
      <c r="GU36" s="452"/>
      <c r="GV36" s="452"/>
      <c r="GW36" s="452"/>
      <c r="GX36" s="452"/>
      <c r="GY36" s="452"/>
      <c r="GZ36" s="452"/>
      <c r="HA36" s="452"/>
      <c r="HB36" s="452"/>
      <c r="HC36" s="452"/>
      <c r="HD36" s="452"/>
      <c r="HE36" s="452"/>
      <c r="HF36" s="452"/>
      <c r="HG36" s="452"/>
      <c r="HH36" s="452"/>
      <c r="HI36" s="452"/>
      <c r="HJ36" s="452"/>
      <c r="HK36" s="452"/>
      <c r="HL36" s="452"/>
      <c r="HM36" s="452"/>
      <c r="HN36" s="452"/>
      <c r="HO36" s="452"/>
      <c r="HP36" s="452"/>
      <c r="HQ36" s="452"/>
      <c r="HR36" s="452"/>
      <c r="HS36" s="452"/>
      <c r="HT36" s="452"/>
      <c r="HU36" s="452"/>
      <c r="HV36" s="452"/>
      <c r="HW36" s="452"/>
      <c r="HX36" s="452"/>
      <c r="HY36" s="452"/>
      <c r="HZ36" s="452"/>
      <c r="IA36" s="452"/>
      <c r="IB36" s="452"/>
      <c r="IC36" s="452"/>
      <c r="ID36" s="452"/>
      <c r="IE36" s="452"/>
      <c r="IF36" s="452"/>
      <c r="IG36" s="452"/>
      <c r="IH36" s="452"/>
      <c r="II36" s="452"/>
      <c r="IJ36" s="452"/>
      <c r="IK36" s="452"/>
      <c r="IL36" s="452"/>
      <c r="IM36" s="452"/>
      <c r="IN36" s="452"/>
      <c r="IO36" s="452"/>
      <c r="IP36" s="452"/>
      <c r="IQ36" s="452"/>
      <c r="IR36" s="452"/>
      <c r="IS36" s="452"/>
      <c r="IT36" s="452"/>
      <c r="IU36" s="452"/>
      <c r="IV36" s="452"/>
    </row>
    <row r="37" spans="1:256" ht="16.5" customHeight="1">
      <c r="A37" s="452" t="s">
        <v>382</v>
      </c>
      <c r="B37" s="452"/>
      <c r="C37" s="452"/>
      <c r="D37" s="1695">
        <v>869.14</v>
      </c>
      <c r="E37" s="1692"/>
      <c r="F37" s="1695">
        <v>740.07600000000002</v>
      </c>
      <c r="G37" s="1692"/>
      <c r="H37" s="1695">
        <v>467.25399999999996</v>
      </c>
      <c r="I37" s="1692"/>
      <c r="J37" s="1695">
        <v>0</v>
      </c>
      <c r="K37" s="1693"/>
      <c r="L37" s="1696">
        <f t="shared" si="0"/>
        <v>1141.962</v>
      </c>
      <c r="M37" s="459"/>
      <c r="N37" s="452"/>
      <c r="O37" s="452"/>
      <c r="P37" s="452"/>
      <c r="Q37" s="452"/>
      <c r="R37" s="452"/>
      <c r="S37" s="452"/>
      <c r="T37" s="452"/>
      <c r="U37" s="452"/>
      <c r="V37" s="452"/>
      <c r="W37" s="452"/>
      <c r="X37" s="452"/>
      <c r="Y37" s="452"/>
      <c r="Z37" s="452"/>
      <c r="AA37" s="452"/>
      <c r="AB37" s="452"/>
      <c r="AC37" s="452"/>
      <c r="AD37" s="452"/>
      <c r="AE37" s="452"/>
      <c r="AF37" s="452"/>
      <c r="AG37" s="452"/>
      <c r="AH37" s="452"/>
      <c r="AI37" s="452"/>
      <c r="AJ37" s="452"/>
      <c r="AK37" s="452"/>
      <c r="AL37" s="452"/>
      <c r="AM37" s="452"/>
      <c r="AN37" s="452"/>
      <c r="AO37" s="452"/>
      <c r="AP37" s="452"/>
      <c r="AQ37" s="452"/>
      <c r="AR37" s="452"/>
      <c r="AS37" s="452"/>
      <c r="AT37" s="452"/>
      <c r="AU37" s="452"/>
      <c r="AV37" s="452"/>
      <c r="AW37" s="452"/>
      <c r="AX37" s="452"/>
      <c r="AY37" s="452"/>
      <c r="AZ37" s="452"/>
      <c r="BA37" s="452"/>
      <c r="BB37" s="452"/>
      <c r="BC37" s="452"/>
      <c r="BD37" s="452"/>
      <c r="BE37" s="452"/>
      <c r="BF37" s="452"/>
      <c r="BG37" s="452"/>
      <c r="BH37" s="452"/>
      <c r="BI37" s="452"/>
      <c r="BJ37" s="452"/>
      <c r="BK37" s="452"/>
      <c r="BL37" s="452"/>
      <c r="BM37" s="452"/>
      <c r="BN37" s="452"/>
      <c r="BO37" s="452"/>
      <c r="BP37" s="452"/>
      <c r="BQ37" s="452"/>
      <c r="BR37" s="452"/>
      <c r="BS37" s="452"/>
      <c r="BT37" s="452"/>
      <c r="BU37" s="452"/>
      <c r="BV37" s="452"/>
      <c r="BW37" s="452"/>
      <c r="BX37" s="452"/>
      <c r="BY37" s="452"/>
      <c r="BZ37" s="452"/>
      <c r="CA37" s="452"/>
      <c r="CB37" s="452"/>
      <c r="CC37" s="452"/>
      <c r="CD37" s="452"/>
      <c r="CE37" s="452"/>
      <c r="CF37" s="452"/>
      <c r="CG37" s="452"/>
      <c r="CH37" s="452"/>
      <c r="CI37" s="452"/>
      <c r="CJ37" s="452"/>
      <c r="CK37" s="452"/>
      <c r="CL37" s="452"/>
      <c r="CM37" s="452"/>
      <c r="CN37" s="452"/>
      <c r="CO37" s="452"/>
      <c r="CP37" s="452"/>
      <c r="CQ37" s="452"/>
      <c r="CR37" s="452"/>
      <c r="CS37" s="452"/>
      <c r="CT37" s="452"/>
      <c r="CU37" s="452"/>
      <c r="CV37" s="452"/>
      <c r="CW37" s="452"/>
      <c r="CX37" s="452"/>
      <c r="CY37" s="452"/>
      <c r="CZ37" s="452"/>
      <c r="DA37" s="452"/>
      <c r="DB37" s="452"/>
      <c r="DC37" s="452"/>
      <c r="DD37" s="452"/>
      <c r="DE37" s="452"/>
      <c r="DF37" s="452"/>
      <c r="DG37" s="452"/>
      <c r="DH37" s="452"/>
      <c r="DI37" s="452"/>
      <c r="DJ37" s="452"/>
      <c r="DK37" s="452"/>
      <c r="DL37" s="452"/>
      <c r="DM37" s="452"/>
      <c r="DN37" s="452"/>
      <c r="DO37" s="452"/>
      <c r="DP37" s="452"/>
      <c r="DQ37" s="452"/>
      <c r="DR37" s="452"/>
      <c r="DS37" s="452"/>
      <c r="DT37" s="452"/>
      <c r="DU37" s="452"/>
      <c r="DV37" s="452"/>
      <c r="DW37" s="452"/>
      <c r="DX37" s="452"/>
      <c r="DY37" s="452"/>
      <c r="DZ37" s="452"/>
      <c r="EA37" s="452"/>
      <c r="EB37" s="452"/>
      <c r="EC37" s="452"/>
      <c r="ED37" s="452"/>
      <c r="EE37" s="452"/>
      <c r="EF37" s="452"/>
      <c r="EG37" s="452"/>
      <c r="EH37" s="452"/>
      <c r="EI37" s="452"/>
      <c r="EJ37" s="452"/>
      <c r="EK37" s="452"/>
      <c r="EL37" s="452"/>
      <c r="EM37" s="452"/>
      <c r="EN37" s="452"/>
      <c r="EO37" s="452"/>
      <c r="EP37" s="452"/>
      <c r="EQ37" s="452"/>
      <c r="ER37" s="452"/>
      <c r="ES37" s="452"/>
      <c r="ET37" s="452"/>
      <c r="EU37" s="452"/>
      <c r="EV37" s="452"/>
      <c r="EW37" s="452"/>
      <c r="EX37" s="452"/>
      <c r="EY37" s="452"/>
      <c r="EZ37" s="452"/>
      <c r="FA37" s="452"/>
      <c r="FB37" s="452"/>
      <c r="FC37" s="452"/>
      <c r="FD37" s="452"/>
      <c r="FE37" s="452"/>
      <c r="FF37" s="452"/>
      <c r="FG37" s="452"/>
      <c r="FH37" s="452"/>
      <c r="FI37" s="452"/>
      <c r="FJ37" s="452"/>
      <c r="FK37" s="452"/>
      <c r="FL37" s="452"/>
      <c r="FM37" s="452"/>
      <c r="FN37" s="452"/>
      <c r="FO37" s="452"/>
      <c r="FP37" s="452"/>
      <c r="FQ37" s="452"/>
      <c r="FR37" s="452"/>
      <c r="FS37" s="452"/>
      <c r="FT37" s="452"/>
      <c r="FU37" s="452"/>
      <c r="FV37" s="452"/>
      <c r="FW37" s="452"/>
      <c r="FX37" s="452"/>
      <c r="FY37" s="452"/>
      <c r="FZ37" s="452"/>
      <c r="GA37" s="452"/>
      <c r="GB37" s="452"/>
      <c r="GC37" s="452"/>
      <c r="GD37" s="452"/>
      <c r="GE37" s="452"/>
      <c r="GF37" s="452"/>
      <c r="GG37" s="452"/>
      <c r="GH37" s="452"/>
      <c r="GI37" s="452"/>
      <c r="GJ37" s="452"/>
      <c r="GK37" s="452"/>
      <c r="GL37" s="452"/>
      <c r="GM37" s="452"/>
      <c r="GN37" s="452"/>
      <c r="GO37" s="452"/>
      <c r="GP37" s="452"/>
      <c r="GQ37" s="452"/>
      <c r="GR37" s="452"/>
      <c r="GS37" s="452"/>
      <c r="GT37" s="452"/>
      <c r="GU37" s="452"/>
      <c r="GV37" s="452"/>
      <c r="GW37" s="452"/>
      <c r="GX37" s="452"/>
      <c r="GY37" s="452"/>
      <c r="GZ37" s="452"/>
      <c r="HA37" s="452"/>
      <c r="HB37" s="452"/>
      <c r="HC37" s="452"/>
      <c r="HD37" s="452"/>
      <c r="HE37" s="452"/>
      <c r="HF37" s="452"/>
      <c r="HG37" s="452"/>
      <c r="HH37" s="452"/>
      <c r="HI37" s="452"/>
      <c r="HJ37" s="452"/>
      <c r="HK37" s="452"/>
      <c r="HL37" s="452"/>
      <c r="HM37" s="452"/>
      <c r="HN37" s="452"/>
      <c r="HO37" s="452"/>
      <c r="HP37" s="452"/>
      <c r="HQ37" s="452"/>
      <c r="HR37" s="452"/>
      <c r="HS37" s="452"/>
      <c r="HT37" s="452"/>
      <c r="HU37" s="452"/>
      <c r="HV37" s="452"/>
      <c r="HW37" s="452"/>
      <c r="HX37" s="452"/>
      <c r="HY37" s="452"/>
      <c r="HZ37" s="452"/>
      <c r="IA37" s="452"/>
      <c r="IB37" s="452"/>
      <c r="IC37" s="452"/>
      <c r="ID37" s="452"/>
      <c r="IE37" s="452"/>
      <c r="IF37" s="452"/>
      <c r="IG37" s="452"/>
      <c r="IH37" s="452"/>
      <c r="II37" s="452"/>
      <c r="IJ37" s="452"/>
      <c r="IK37" s="452"/>
      <c r="IL37" s="452"/>
      <c r="IM37" s="452"/>
      <c r="IN37" s="452"/>
      <c r="IO37" s="452"/>
      <c r="IP37" s="452"/>
      <c r="IQ37" s="452"/>
      <c r="IR37" s="452"/>
      <c r="IS37" s="452"/>
      <c r="IT37" s="452"/>
      <c r="IU37" s="452"/>
      <c r="IV37" s="452"/>
    </row>
    <row r="38" spans="1:256" ht="16.5" customHeight="1">
      <c r="A38" s="452" t="s">
        <v>1010</v>
      </c>
      <c r="B38" s="452"/>
      <c r="C38" s="452"/>
      <c r="D38" s="1695">
        <v>28.398</v>
      </c>
      <c r="E38" s="1692"/>
      <c r="F38" s="1695">
        <v>7.4009999999999998</v>
      </c>
      <c r="G38" s="1692"/>
      <c r="H38" s="1695">
        <v>7.4550000000000001</v>
      </c>
      <c r="I38" s="1692"/>
      <c r="J38" s="1695">
        <v>0</v>
      </c>
      <c r="K38" s="1693"/>
      <c r="L38" s="1696">
        <f t="shared" si="0"/>
        <v>28.344000000000001</v>
      </c>
      <c r="M38" s="459"/>
      <c r="N38" s="452"/>
      <c r="O38" s="452"/>
      <c r="P38" s="452"/>
      <c r="Q38" s="452"/>
      <c r="R38" s="452"/>
      <c r="S38" s="452"/>
      <c r="T38" s="452"/>
      <c r="U38" s="452"/>
      <c r="V38" s="452"/>
      <c r="W38" s="452"/>
      <c r="X38" s="452"/>
      <c r="Y38" s="452"/>
      <c r="Z38" s="452"/>
      <c r="AA38" s="452"/>
      <c r="AB38" s="452"/>
      <c r="AC38" s="452"/>
      <c r="AD38" s="452"/>
      <c r="AE38" s="452"/>
      <c r="AF38" s="452"/>
      <c r="AG38" s="452"/>
      <c r="AH38" s="452"/>
      <c r="AI38" s="452"/>
      <c r="AJ38" s="452"/>
      <c r="AK38" s="452"/>
      <c r="AL38" s="452"/>
      <c r="AM38" s="452"/>
      <c r="AN38" s="452"/>
      <c r="AO38" s="452"/>
      <c r="AP38" s="452"/>
      <c r="AQ38" s="452"/>
      <c r="AR38" s="452"/>
      <c r="AS38" s="452"/>
      <c r="AT38" s="452"/>
      <c r="AU38" s="452"/>
      <c r="AV38" s="452"/>
      <c r="AW38" s="452"/>
      <c r="AX38" s="452"/>
      <c r="AY38" s="452"/>
      <c r="AZ38" s="452"/>
      <c r="BA38" s="452"/>
      <c r="BB38" s="452"/>
      <c r="BC38" s="452"/>
      <c r="BD38" s="452"/>
      <c r="BE38" s="452"/>
      <c r="BF38" s="452"/>
      <c r="BG38" s="452"/>
      <c r="BH38" s="452"/>
      <c r="BI38" s="452"/>
      <c r="BJ38" s="452"/>
      <c r="BK38" s="452"/>
      <c r="BL38" s="452"/>
      <c r="BM38" s="452"/>
      <c r="BN38" s="452"/>
      <c r="BO38" s="452"/>
      <c r="BP38" s="452"/>
      <c r="BQ38" s="452"/>
      <c r="BR38" s="452"/>
      <c r="BS38" s="452"/>
      <c r="BT38" s="452"/>
      <c r="BU38" s="452"/>
      <c r="BV38" s="452"/>
      <c r="BW38" s="452"/>
      <c r="BX38" s="452"/>
      <c r="BY38" s="452"/>
      <c r="BZ38" s="452"/>
      <c r="CA38" s="452"/>
      <c r="CB38" s="452"/>
      <c r="CC38" s="452"/>
      <c r="CD38" s="452"/>
      <c r="CE38" s="452"/>
      <c r="CF38" s="452"/>
      <c r="CG38" s="452"/>
      <c r="CH38" s="452"/>
      <c r="CI38" s="452"/>
      <c r="CJ38" s="452"/>
      <c r="CK38" s="452"/>
      <c r="CL38" s="452"/>
      <c r="CM38" s="452"/>
      <c r="CN38" s="452"/>
      <c r="CO38" s="452"/>
      <c r="CP38" s="452"/>
      <c r="CQ38" s="452"/>
      <c r="CR38" s="452"/>
      <c r="CS38" s="452"/>
      <c r="CT38" s="452"/>
      <c r="CU38" s="452"/>
      <c r="CV38" s="452"/>
      <c r="CW38" s="452"/>
      <c r="CX38" s="452"/>
      <c r="CY38" s="452"/>
      <c r="CZ38" s="452"/>
      <c r="DA38" s="452"/>
      <c r="DB38" s="452"/>
      <c r="DC38" s="452"/>
      <c r="DD38" s="452"/>
      <c r="DE38" s="452"/>
      <c r="DF38" s="452"/>
      <c r="DG38" s="452"/>
      <c r="DH38" s="452"/>
      <c r="DI38" s="452"/>
      <c r="DJ38" s="452"/>
      <c r="DK38" s="452"/>
      <c r="DL38" s="452"/>
      <c r="DM38" s="452"/>
      <c r="DN38" s="452"/>
      <c r="DO38" s="452"/>
      <c r="DP38" s="452"/>
      <c r="DQ38" s="452"/>
      <c r="DR38" s="452"/>
      <c r="DS38" s="452"/>
      <c r="DT38" s="452"/>
      <c r="DU38" s="452"/>
      <c r="DV38" s="452"/>
      <c r="DW38" s="452"/>
      <c r="DX38" s="452"/>
      <c r="DY38" s="452"/>
      <c r="DZ38" s="452"/>
      <c r="EA38" s="452"/>
      <c r="EB38" s="452"/>
      <c r="EC38" s="452"/>
      <c r="ED38" s="452"/>
      <c r="EE38" s="452"/>
      <c r="EF38" s="452"/>
      <c r="EG38" s="452"/>
      <c r="EH38" s="452"/>
      <c r="EI38" s="452"/>
      <c r="EJ38" s="452"/>
      <c r="EK38" s="452"/>
      <c r="EL38" s="452"/>
      <c r="EM38" s="452"/>
      <c r="EN38" s="452"/>
      <c r="EO38" s="452"/>
      <c r="EP38" s="452"/>
      <c r="EQ38" s="452"/>
      <c r="ER38" s="452"/>
      <c r="ES38" s="452"/>
      <c r="ET38" s="452"/>
      <c r="EU38" s="452"/>
      <c r="EV38" s="452"/>
      <c r="EW38" s="452"/>
      <c r="EX38" s="452"/>
      <c r="EY38" s="452"/>
      <c r="EZ38" s="452"/>
      <c r="FA38" s="452"/>
      <c r="FB38" s="452"/>
      <c r="FC38" s="452"/>
      <c r="FD38" s="452"/>
      <c r="FE38" s="452"/>
      <c r="FF38" s="452"/>
      <c r="FG38" s="452"/>
      <c r="FH38" s="452"/>
      <c r="FI38" s="452"/>
      <c r="FJ38" s="452"/>
      <c r="FK38" s="452"/>
      <c r="FL38" s="452"/>
      <c r="FM38" s="452"/>
      <c r="FN38" s="452"/>
      <c r="FO38" s="452"/>
      <c r="FP38" s="452"/>
      <c r="FQ38" s="452"/>
      <c r="FR38" s="452"/>
      <c r="FS38" s="452"/>
      <c r="FT38" s="452"/>
      <c r="FU38" s="452"/>
      <c r="FV38" s="452"/>
      <c r="FW38" s="452"/>
      <c r="FX38" s="452"/>
      <c r="FY38" s="452"/>
      <c r="FZ38" s="452"/>
      <c r="GA38" s="452"/>
      <c r="GB38" s="452"/>
      <c r="GC38" s="452"/>
      <c r="GD38" s="452"/>
      <c r="GE38" s="452"/>
      <c r="GF38" s="452"/>
      <c r="GG38" s="452"/>
      <c r="GH38" s="452"/>
      <c r="GI38" s="452"/>
      <c r="GJ38" s="452"/>
      <c r="GK38" s="452"/>
      <c r="GL38" s="452"/>
      <c r="GM38" s="452"/>
      <c r="GN38" s="452"/>
      <c r="GO38" s="452"/>
      <c r="GP38" s="452"/>
      <c r="GQ38" s="452"/>
      <c r="GR38" s="452"/>
      <c r="GS38" s="452"/>
      <c r="GT38" s="452"/>
      <c r="GU38" s="452"/>
      <c r="GV38" s="452"/>
      <c r="GW38" s="452"/>
      <c r="GX38" s="452"/>
      <c r="GY38" s="452"/>
      <c r="GZ38" s="452"/>
      <c r="HA38" s="452"/>
      <c r="HB38" s="452"/>
      <c r="HC38" s="452"/>
      <c r="HD38" s="452"/>
      <c r="HE38" s="452"/>
      <c r="HF38" s="452"/>
      <c r="HG38" s="452"/>
      <c r="HH38" s="452"/>
      <c r="HI38" s="452"/>
      <c r="HJ38" s="452"/>
      <c r="HK38" s="452"/>
      <c r="HL38" s="452"/>
      <c r="HM38" s="452"/>
      <c r="HN38" s="452"/>
      <c r="HO38" s="452"/>
      <c r="HP38" s="452"/>
      <c r="HQ38" s="452"/>
      <c r="HR38" s="452"/>
      <c r="HS38" s="452"/>
      <c r="HT38" s="452"/>
      <c r="HU38" s="452"/>
      <c r="HV38" s="452"/>
      <c r="HW38" s="452"/>
      <c r="HX38" s="452"/>
      <c r="HY38" s="452"/>
      <c r="HZ38" s="452"/>
      <c r="IA38" s="452"/>
      <c r="IB38" s="452"/>
      <c r="IC38" s="452"/>
      <c r="ID38" s="452"/>
      <c r="IE38" s="452"/>
      <c r="IF38" s="452"/>
      <c r="IG38" s="452"/>
      <c r="IH38" s="452"/>
      <c r="II38" s="452"/>
      <c r="IJ38" s="452"/>
      <c r="IK38" s="452"/>
      <c r="IL38" s="452"/>
      <c r="IM38" s="452"/>
      <c r="IN38" s="452"/>
      <c r="IO38" s="452"/>
      <c r="IP38" s="452"/>
      <c r="IQ38" s="452"/>
      <c r="IR38" s="452"/>
      <c r="IS38" s="452"/>
      <c r="IT38" s="452"/>
      <c r="IU38" s="452"/>
      <c r="IV38" s="452"/>
    </row>
    <row r="39" spans="1:256" ht="16.5" customHeight="1">
      <c r="A39" s="452" t="s">
        <v>383</v>
      </c>
      <c r="B39" s="452"/>
      <c r="C39" s="452"/>
      <c r="D39" s="1695">
        <v>58.588000000000001</v>
      </c>
      <c r="E39" s="1692"/>
      <c r="F39" s="1695">
        <v>180.489</v>
      </c>
      <c r="G39" s="1692"/>
      <c r="H39" s="1695">
        <v>190.41300000000001</v>
      </c>
      <c r="I39" s="1692"/>
      <c r="J39" s="1695">
        <v>0</v>
      </c>
      <c r="K39" s="1693"/>
      <c r="L39" s="1696">
        <f t="shared" si="0"/>
        <v>48.664000000000001</v>
      </c>
      <c r="M39" s="459"/>
      <c r="N39" s="452"/>
      <c r="O39" s="452"/>
      <c r="P39" s="452"/>
      <c r="Q39" s="452"/>
      <c r="R39" s="452"/>
      <c r="S39" s="452"/>
      <c r="T39" s="452"/>
      <c r="U39" s="452"/>
      <c r="V39" s="452"/>
      <c r="W39" s="452"/>
      <c r="X39" s="452"/>
      <c r="Y39" s="452"/>
      <c r="Z39" s="452"/>
      <c r="AA39" s="452"/>
      <c r="AB39" s="452"/>
      <c r="AC39" s="452"/>
      <c r="AD39" s="452"/>
      <c r="AE39" s="452"/>
      <c r="AF39" s="452"/>
      <c r="AG39" s="452"/>
      <c r="AH39" s="452"/>
      <c r="AI39" s="452"/>
      <c r="AJ39" s="452"/>
      <c r="AK39" s="452"/>
      <c r="AL39" s="452"/>
      <c r="AM39" s="452"/>
      <c r="AN39" s="452"/>
      <c r="AO39" s="452"/>
      <c r="AP39" s="452"/>
      <c r="AQ39" s="452"/>
      <c r="AR39" s="452"/>
      <c r="AS39" s="452"/>
      <c r="AT39" s="452"/>
      <c r="AU39" s="452"/>
      <c r="AV39" s="452"/>
      <c r="AW39" s="452"/>
      <c r="AX39" s="452"/>
      <c r="AY39" s="452"/>
      <c r="AZ39" s="452"/>
      <c r="BA39" s="452"/>
      <c r="BB39" s="452"/>
      <c r="BC39" s="452"/>
      <c r="BD39" s="452"/>
      <c r="BE39" s="452"/>
      <c r="BF39" s="452"/>
      <c r="BG39" s="452"/>
      <c r="BH39" s="452"/>
      <c r="BI39" s="452"/>
      <c r="BJ39" s="452"/>
      <c r="BK39" s="452"/>
      <c r="BL39" s="452"/>
      <c r="BM39" s="452"/>
      <c r="BN39" s="452"/>
      <c r="BO39" s="452"/>
      <c r="BP39" s="452"/>
      <c r="BQ39" s="452"/>
      <c r="BR39" s="452"/>
      <c r="BS39" s="452"/>
      <c r="BT39" s="452"/>
      <c r="BU39" s="452"/>
      <c r="BV39" s="452"/>
      <c r="BW39" s="452"/>
      <c r="BX39" s="452"/>
      <c r="BY39" s="452"/>
      <c r="BZ39" s="452"/>
      <c r="CA39" s="452"/>
      <c r="CB39" s="452"/>
      <c r="CC39" s="452"/>
      <c r="CD39" s="452"/>
      <c r="CE39" s="452"/>
      <c r="CF39" s="452"/>
      <c r="CG39" s="452"/>
      <c r="CH39" s="452"/>
      <c r="CI39" s="452"/>
      <c r="CJ39" s="452"/>
      <c r="CK39" s="452"/>
      <c r="CL39" s="452"/>
      <c r="CM39" s="452"/>
      <c r="CN39" s="452"/>
      <c r="CO39" s="452"/>
      <c r="CP39" s="452"/>
      <c r="CQ39" s="452"/>
      <c r="CR39" s="452"/>
      <c r="CS39" s="452"/>
      <c r="CT39" s="452"/>
      <c r="CU39" s="452"/>
      <c r="CV39" s="452"/>
      <c r="CW39" s="452"/>
      <c r="CX39" s="452"/>
      <c r="CY39" s="452"/>
      <c r="CZ39" s="452"/>
      <c r="DA39" s="452"/>
      <c r="DB39" s="452"/>
      <c r="DC39" s="452"/>
      <c r="DD39" s="452"/>
      <c r="DE39" s="452"/>
      <c r="DF39" s="452"/>
      <c r="DG39" s="452"/>
      <c r="DH39" s="452"/>
      <c r="DI39" s="452"/>
      <c r="DJ39" s="452"/>
      <c r="DK39" s="452"/>
      <c r="DL39" s="452"/>
      <c r="DM39" s="452"/>
      <c r="DN39" s="452"/>
      <c r="DO39" s="452"/>
      <c r="DP39" s="452"/>
      <c r="DQ39" s="452"/>
      <c r="DR39" s="452"/>
      <c r="DS39" s="452"/>
      <c r="DT39" s="452"/>
      <c r="DU39" s="452"/>
      <c r="DV39" s="452"/>
      <c r="DW39" s="452"/>
      <c r="DX39" s="452"/>
      <c r="DY39" s="452"/>
      <c r="DZ39" s="452"/>
      <c r="EA39" s="452"/>
      <c r="EB39" s="452"/>
      <c r="EC39" s="452"/>
      <c r="ED39" s="452"/>
      <c r="EE39" s="452"/>
      <c r="EF39" s="452"/>
      <c r="EG39" s="452"/>
      <c r="EH39" s="452"/>
      <c r="EI39" s="452"/>
      <c r="EJ39" s="452"/>
      <c r="EK39" s="452"/>
      <c r="EL39" s="452"/>
      <c r="EM39" s="452"/>
      <c r="EN39" s="452"/>
      <c r="EO39" s="452"/>
      <c r="EP39" s="452"/>
      <c r="EQ39" s="452"/>
      <c r="ER39" s="452"/>
      <c r="ES39" s="452"/>
      <c r="ET39" s="452"/>
      <c r="EU39" s="452"/>
      <c r="EV39" s="452"/>
      <c r="EW39" s="452"/>
      <c r="EX39" s="452"/>
      <c r="EY39" s="452"/>
      <c r="EZ39" s="452"/>
      <c r="FA39" s="452"/>
      <c r="FB39" s="452"/>
      <c r="FC39" s="452"/>
      <c r="FD39" s="452"/>
      <c r="FE39" s="452"/>
      <c r="FF39" s="452"/>
      <c r="FG39" s="452"/>
      <c r="FH39" s="452"/>
      <c r="FI39" s="452"/>
      <c r="FJ39" s="452"/>
      <c r="FK39" s="452"/>
      <c r="FL39" s="452"/>
      <c r="FM39" s="452"/>
      <c r="FN39" s="452"/>
      <c r="FO39" s="452"/>
      <c r="FP39" s="452"/>
      <c r="FQ39" s="452"/>
      <c r="FR39" s="452"/>
      <c r="FS39" s="452"/>
      <c r="FT39" s="452"/>
      <c r="FU39" s="452"/>
      <c r="FV39" s="452"/>
      <c r="FW39" s="452"/>
      <c r="FX39" s="452"/>
      <c r="FY39" s="452"/>
      <c r="FZ39" s="452"/>
      <c r="GA39" s="452"/>
      <c r="GB39" s="452"/>
      <c r="GC39" s="452"/>
      <c r="GD39" s="452"/>
      <c r="GE39" s="452"/>
      <c r="GF39" s="452"/>
      <c r="GG39" s="452"/>
      <c r="GH39" s="452"/>
      <c r="GI39" s="452"/>
      <c r="GJ39" s="452"/>
      <c r="GK39" s="452"/>
      <c r="GL39" s="452"/>
      <c r="GM39" s="452"/>
      <c r="GN39" s="452"/>
      <c r="GO39" s="452"/>
      <c r="GP39" s="452"/>
      <c r="GQ39" s="452"/>
      <c r="GR39" s="452"/>
      <c r="GS39" s="452"/>
      <c r="GT39" s="452"/>
      <c r="GU39" s="452"/>
      <c r="GV39" s="452"/>
      <c r="GW39" s="452"/>
      <c r="GX39" s="452"/>
      <c r="GY39" s="452"/>
      <c r="GZ39" s="452"/>
      <c r="HA39" s="452"/>
      <c r="HB39" s="452"/>
      <c r="HC39" s="452"/>
      <c r="HD39" s="452"/>
      <c r="HE39" s="452"/>
      <c r="HF39" s="452"/>
      <c r="HG39" s="452"/>
      <c r="HH39" s="452"/>
      <c r="HI39" s="452"/>
      <c r="HJ39" s="452"/>
      <c r="HK39" s="452"/>
      <c r="HL39" s="452"/>
      <c r="HM39" s="452"/>
      <c r="HN39" s="452"/>
      <c r="HO39" s="452"/>
      <c r="HP39" s="452"/>
      <c r="HQ39" s="452"/>
      <c r="HR39" s="452"/>
      <c r="HS39" s="452"/>
      <c r="HT39" s="452"/>
      <c r="HU39" s="452"/>
      <c r="HV39" s="452"/>
      <c r="HW39" s="452"/>
      <c r="HX39" s="452"/>
      <c r="HY39" s="452"/>
      <c r="HZ39" s="452"/>
      <c r="IA39" s="452"/>
      <c r="IB39" s="452"/>
      <c r="IC39" s="452"/>
      <c r="ID39" s="452"/>
      <c r="IE39" s="452"/>
      <c r="IF39" s="452"/>
      <c r="IG39" s="452"/>
      <c r="IH39" s="452"/>
      <c r="II39" s="452"/>
      <c r="IJ39" s="452"/>
      <c r="IK39" s="452"/>
      <c r="IL39" s="452"/>
      <c r="IM39" s="452"/>
      <c r="IN39" s="452"/>
      <c r="IO39" s="452"/>
      <c r="IP39" s="452"/>
      <c r="IQ39" s="452"/>
      <c r="IR39" s="452"/>
      <c r="IS39" s="452"/>
      <c r="IT39" s="452"/>
      <c r="IU39" s="452"/>
      <c r="IV39" s="452"/>
    </row>
    <row r="40" spans="1:256" ht="16.5" customHeight="1">
      <c r="A40" s="452" t="s">
        <v>1011</v>
      </c>
      <c r="B40" s="452"/>
      <c r="C40" s="452"/>
      <c r="D40" s="1695">
        <v>445.767</v>
      </c>
      <c r="E40" s="1692"/>
      <c r="F40" s="1695">
        <v>6156.5069999999996</v>
      </c>
      <c r="G40" s="1692"/>
      <c r="H40" s="1695">
        <v>6354.848</v>
      </c>
      <c r="I40" s="1692"/>
      <c r="J40" s="1695">
        <v>0</v>
      </c>
      <c r="K40" s="3041"/>
      <c r="L40" s="1696">
        <f t="shared" si="0"/>
        <v>247.42599999999999</v>
      </c>
      <c r="M40" s="459"/>
      <c r="N40" s="452"/>
      <c r="O40" s="452"/>
      <c r="P40" s="452"/>
      <c r="Q40" s="452"/>
      <c r="R40" s="452"/>
      <c r="S40" s="452"/>
      <c r="T40" s="452"/>
      <c r="U40" s="452"/>
      <c r="V40" s="452"/>
      <c r="W40" s="452"/>
      <c r="X40" s="452"/>
      <c r="Y40" s="452"/>
      <c r="Z40" s="452"/>
      <c r="AA40" s="452"/>
      <c r="AB40" s="452"/>
      <c r="AC40" s="452"/>
      <c r="AD40" s="452"/>
      <c r="AE40" s="452"/>
      <c r="AF40" s="452"/>
      <c r="AG40" s="452"/>
      <c r="AH40" s="452"/>
      <c r="AI40" s="452"/>
      <c r="AJ40" s="452"/>
      <c r="AK40" s="452"/>
      <c r="AL40" s="452"/>
      <c r="AM40" s="452"/>
      <c r="AN40" s="452"/>
      <c r="AO40" s="452"/>
      <c r="AP40" s="452"/>
      <c r="AQ40" s="452"/>
      <c r="AR40" s="452"/>
      <c r="AS40" s="452"/>
      <c r="AT40" s="452"/>
      <c r="AU40" s="452"/>
      <c r="AV40" s="452"/>
      <c r="AW40" s="452"/>
      <c r="AX40" s="452"/>
      <c r="AY40" s="452"/>
      <c r="AZ40" s="452"/>
      <c r="BA40" s="452"/>
      <c r="BB40" s="452"/>
      <c r="BC40" s="452"/>
      <c r="BD40" s="452"/>
      <c r="BE40" s="452"/>
      <c r="BF40" s="452"/>
      <c r="BG40" s="452"/>
      <c r="BH40" s="452"/>
      <c r="BI40" s="452"/>
      <c r="BJ40" s="452"/>
      <c r="BK40" s="452"/>
      <c r="BL40" s="452"/>
      <c r="BM40" s="452"/>
      <c r="BN40" s="452"/>
      <c r="BO40" s="452"/>
      <c r="BP40" s="452"/>
      <c r="BQ40" s="452"/>
      <c r="BR40" s="452"/>
      <c r="BS40" s="452"/>
      <c r="BT40" s="452"/>
      <c r="BU40" s="452"/>
      <c r="BV40" s="452"/>
      <c r="BW40" s="452"/>
      <c r="BX40" s="452"/>
      <c r="BY40" s="452"/>
      <c r="BZ40" s="452"/>
      <c r="CA40" s="452"/>
      <c r="CB40" s="452"/>
      <c r="CC40" s="452"/>
      <c r="CD40" s="452"/>
      <c r="CE40" s="452"/>
      <c r="CF40" s="452"/>
      <c r="CG40" s="452"/>
      <c r="CH40" s="452"/>
      <c r="CI40" s="452"/>
      <c r="CJ40" s="452"/>
      <c r="CK40" s="452"/>
      <c r="CL40" s="452"/>
      <c r="CM40" s="452"/>
      <c r="CN40" s="452"/>
      <c r="CO40" s="452"/>
      <c r="CP40" s="452"/>
      <c r="CQ40" s="452"/>
      <c r="CR40" s="452"/>
      <c r="CS40" s="452"/>
      <c r="CT40" s="452"/>
      <c r="CU40" s="452"/>
      <c r="CV40" s="452"/>
      <c r="CW40" s="452"/>
      <c r="CX40" s="452"/>
      <c r="CY40" s="452"/>
      <c r="CZ40" s="452"/>
      <c r="DA40" s="452"/>
      <c r="DB40" s="452"/>
      <c r="DC40" s="452"/>
      <c r="DD40" s="452"/>
      <c r="DE40" s="452"/>
      <c r="DF40" s="452"/>
      <c r="DG40" s="452"/>
      <c r="DH40" s="452"/>
      <c r="DI40" s="452"/>
      <c r="DJ40" s="452"/>
      <c r="DK40" s="452"/>
      <c r="DL40" s="452"/>
      <c r="DM40" s="452"/>
      <c r="DN40" s="452"/>
      <c r="DO40" s="452"/>
      <c r="DP40" s="452"/>
      <c r="DQ40" s="452"/>
      <c r="DR40" s="452"/>
      <c r="DS40" s="452"/>
      <c r="DT40" s="452"/>
      <c r="DU40" s="452"/>
      <c r="DV40" s="452"/>
      <c r="DW40" s="452"/>
      <c r="DX40" s="452"/>
      <c r="DY40" s="452"/>
      <c r="DZ40" s="452"/>
      <c r="EA40" s="452"/>
      <c r="EB40" s="452"/>
      <c r="EC40" s="452"/>
      <c r="ED40" s="452"/>
      <c r="EE40" s="452"/>
      <c r="EF40" s="452"/>
      <c r="EG40" s="452"/>
      <c r="EH40" s="452"/>
      <c r="EI40" s="452"/>
      <c r="EJ40" s="452"/>
      <c r="EK40" s="452"/>
      <c r="EL40" s="452"/>
      <c r="EM40" s="452"/>
      <c r="EN40" s="452"/>
      <c r="EO40" s="452"/>
      <c r="EP40" s="452"/>
      <c r="EQ40" s="452"/>
      <c r="ER40" s="452"/>
      <c r="ES40" s="452"/>
      <c r="ET40" s="452"/>
      <c r="EU40" s="452"/>
      <c r="EV40" s="452"/>
      <c r="EW40" s="452"/>
      <c r="EX40" s="452"/>
      <c r="EY40" s="452"/>
      <c r="EZ40" s="452"/>
      <c r="FA40" s="452"/>
      <c r="FB40" s="452"/>
      <c r="FC40" s="452"/>
      <c r="FD40" s="452"/>
      <c r="FE40" s="452"/>
      <c r="FF40" s="452"/>
      <c r="FG40" s="452"/>
      <c r="FH40" s="452"/>
      <c r="FI40" s="452"/>
      <c r="FJ40" s="452"/>
      <c r="FK40" s="452"/>
      <c r="FL40" s="452"/>
      <c r="FM40" s="452"/>
      <c r="FN40" s="452"/>
      <c r="FO40" s="452"/>
      <c r="FP40" s="452"/>
      <c r="FQ40" s="452"/>
      <c r="FR40" s="452"/>
      <c r="FS40" s="452"/>
      <c r="FT40" s="452"/>
      <c r="FU40" s="452"/>
      <c r="FV40" s="452"/>
      <c r="FW40" s="452"/>
      <c r="FX40" s="452"/>
      <c r="FY40" s="452"/>
      <c r="FZ40" s="452"/>
      <c r="GA40" s="452"/>
      <c r="GB40" s="452"/>
      <c r="GC40" s="452"/>
      <c r="GD40" s="452"/>
      <c r="GE40" s="452"/>
      <c r="GF40" s="452"/>
      <c r="GG40" s="452"/>
      <c r="GH40" s="452"/>
      <c r="GI40" s="452"/>
      <c r="GJ40" s="452"/>
      <c r="GK40" s="452"/>
      <c r="GL40" s="452"/>
      <c r="GM40" s="452"/>
      <c r="GN40" s="452"/>
      <c r="GO40" s="452"/>
      <c r="GP40" s="452"/>
      <c r="GQ40" s="452"/>
      <c r="GR40" s="452"/>
      <c r="GS40" s="452"/>
      <c r="GT40" s="452"/>
      <c r="GU40" s="452"/>
      <c r="GV40" s="452"/>
      <c r="GW40" s="452"/>
      <c r="GX40" s="452"/>
      <c r="GY40" s="452"/>
      <c r="GZ40" s="452"/>
      <c r="HA40" s="452"/>
      <c r="HB40" s="452"/>
      <c r="HC40" s="452"/>
      <c r="HD40" s="452"/>
      <c r="HE40" s="452"/>
      <c r="HF40" s="452"/>
      <c r="HG40" s="452"/>
      <c r="HH40" s="452"/>
      <c r="HI40" s="452"/>
      <c r="HJ40" s="452"/>
      <c r="HK40" s="452"/>
      <c r="HL40" s="452"/>
      <c r="HM40" s="452"/>
      <c r="HN40" s="452"/>
      <c r="HO40" s="452"/>
      <c r="HP40" s="452"/>
      <c r="HQ40" s="452"/>
      <c r="HR40" s="452"/>
      <c r="HS40" s="452"/>
      <c r="HT40" s="452"/>
      <c r="HU40" s="452"/>
      <c r="HV40" s="452"/>
      <c r="HW40" s="452"/>
      <c r="HX40" s="452"/>
      <c r="HY40" s="452"/>
      <c r="HZ40" s="452"/>
      <c r="IA40" s="452"/>
      <c r="IB40" s="452"/>
      <c r="IC40" s="452"/>
      <c r="ID40" s="452"/>
      <c r="IE40" s="452"/>
      <c r="IF40" s="452"/>
      <c r="IG40" s="452"/>
      <c r="IH40" s="452"/>
      <c r="II40" s="452"/>
      <c r="IJ40" s="452"/>
      <c r="IK40" s="452"/>
      <c r="IL40" s="452"/>
      <c r="IM40" s="452"/>
      <c r="IN40" s="452"/>
      <c r="IO40" s="452"/>
      <c r="IP40" s="452"/>
      <c r="IQ40" s="452"/>
      <c r="IR40" s="452"/>
      <c r="IS40" s="452"/>
      <c r="IT40" s="452"/>
      <c r="IU40" s="452"/>
      <c r="IV40" s="452"/>
    </row>
    <row r="41" spans="1:256" ht="15.75" customHeight="1">
      <c r="A41" s="452" t="s">
        <v>384</v>
      </c>
      <c r="B41" s="452"/>
      <c r="C41" s="452"/>
      <c r="D41" s="1695">
        <v>0</v>
      </c>
      <c r="E41" s="1692"/>
      <c r="F41" s="1695">
        <v>0</v>
      </c>
      <c r="G41" s="1692"/>
      <c r="H41" s="1695">
        <v>0</v>
      </c>
      <c r="I41" s="1692"/>
      <c r="J41" s="1695">
        <v>0</v>
      </c>
      <c r="K41" s="1693"/>
      <c r="L41" s="1696">
        <f t="shared" si="0"/>
        <v>0</v>
      </c>
      <c r="M41" s="459"/>
      <c r="N41" s="452"/>
      <c r="P41" s="452"/>
      <c r="Q41" s="452"/>
      <c r="R41" s="452"/>
      <c r="S41" s="452"/>
      <c r="T41" s="452"/>
      <c r="U41" s="452"/>
      <c r="V41" s="452"/>
      <c r="W41" s="452"/>
      <c r="X41" s="452"/>
      <c r="Y41" s="452"/>
      <c r="Z41" s="452"/>
      <c r="AA41" s="452"/>
      <c r="AB41" s="452"/>
      <c r="AC41" s="452"/>
      <c r="AD41" s="452"/>
      <c r="AE41" s="452"/>
      <c r="AF41" s="452"/>
      <c r="AG41" s="452"/>
      <c r="AH41" s="452"/>
      <c r="AI41" s="452"/>
      <c r="AJ41" s="452"/>
      <c r="AK41" s="452"/>
      <c r="AL41" s="452"/>
      <c r="AM41" s="452"/>
      <c r="AN41" s="452"/>
      <c r="AO41" s="452"/>
      <c r="AP41" s="452"/>
      <c r="AQ41" s="452"/>
      <c r="AR41" s="452"/>
      <c r="AS41" s="452"/>
      <c r="AT41" s="452"/>
      <c r="AU41" s="452"/>
      <c r="AV41" s="452"/>
      <c r="AW41" s="452"/>
      <c r="AX41" s="452"/>
      <c r="AY41" s="452"/>
      <c r="AZ41" s="452"/>
      <c r="BA41" s="452"/>
      <c r="BB41" s="452"/>
      <c r="BC41" s="452"/>
      <c r="BD41" s="452"/>
      <c r="BE41" s="452"/>
      <c r="BF41" s="452"/>
      <c r="BG41" s="452"/>
      <c r="BH41" s="452"/>
      <c r="BI41" s="452"/>
      <c r="BJ41" s="452"/>
      <c r="BK41" s="452"/>
      <c r="BL41" s="452"/>
      <c r="BM41" s="452"/>
      <c r="BN41" s="452"/>
      <c r="BO41" s="452"/>
      <c r="BP41" s="452"/>
      <c r="BQ41" s="452"/>
      <c r="BR41" s="452"/>
      <c r="BS41" s="452"/>
      <c r="BT41" s="452"/>
      <c r="BU41" s="452"/>
      <c r="BV41" s="452"/>
      <c r="BW41" s="452"/>
      <c r="BX41" s="452"/>
      <c r="BY41" s="452"/>
      <c r="BZ41" s="452"/>
      <c r="CA41" s="452"/>
      <c r="CB41" s="452"/>
      <c r="CC41" s="452"/>
      <c r="CD41" s="452"/>
      <c r="CE41" s="452"/>
      <c r="CF41" s="452"/>
      <c r="CG41" s="452"/>
      <c r="CH41" s="452"/>
      <c r="CI41" s="452"/>
      <c r="CJ41" s="452"/>
      <c r="CK41" s="452"/>
      <c r="CL41" s="452"/>
      <c r="CM41" s="452"/>
      <c r="CN41" s="452"/>
      <c r="CO41" s="452"/>
      <c r="CP41" s="452"/>
      <c r="CQ41" s="452"/>
      <c r="CR41" s="452"/>
      <c r="CS41" s="452"/>
      <c r="CT41" s="452"/>
      <c r="CU41" s="452"/>
      <c r="CV41" s="452"/>
      <c r="CW41" s="452"/>
      <c r="CX41" s="452"/>
      <c r="CY41" s="452"/>
      <c r="CZ41" s="452"/>
      <c r="DA41" s="452"/>
      <c r="DB41" s="452"/>
      <c r="DC41" s="452"/>
      <c r="DD41" s="452"/>
      <c r="DE41" s="452"/>
      <c r="DF41" s="452"/>
      <c r="DG41" s="452"/>
      <c r="DH41" s="452"/>
      <c r="DI41" s="452"/>
      <c r="DJ41" s="452"/>
      <c r="DK41" s="452"/>
      <c r="DL41" s="452"/>
      <c r="DM41" s="452"/>
      <c r="DN41" s="452"/>
      <c r="DO41" s="452"/>
      <c r="DP41" s="452"/>
      <c r="DQ41" s="452"/>
      <c r="DR41" s="452"/>
      <c r="DS41" s="452"/>
      <c r="DT41" s="452"/>
      <c r="DU41" s="452"/>
      <c r="DV41" s="452"/>
      <c r="DW41" s="452"/>
      <c r="DX41" s="452"/>
      <c r="DY41" s="452"/>
      <c r="DZ41" s="452"/>
      <c r="EA41" s="452"/>
      <c r="EB41" s="452"/>
      <c r="EC41" s="452"/>
      <c r="ED41" s="452"/>
      <c r="EE41" s="452"/>
      <c r="EF41" s="452"/>
      <c r="EG41" s="452"/>
      <c r="EH41" s="452"/>
      <c r="EI41" s="452"/>
      <c r="EJ41" s="452"/>
      <c r="EK41" s="452"/>
      <c r="EL41" s="452"/>
      <c r="EM41" s="452"/>
      <c r="EN41" s="452"/>
      <c r="EO41" s="452"/>
      <c r="EP41" s="452"/>
      <c r="EQ41" s="452"/>
      <c r="ER41" s="452"/>
      <c r="ES41" s="452"/>
      <c r="ET41" s="452"/>
      <c r="EU41" s="452"/>
      <c r="EV41" s="452"/>
      <c r="EW41" s="452"/>
      <c r="EX41" s="452"/>
      <c r="EY41" s="452"/>
      <c r="EZ41" s="452"/>
      <c r="FA41" s="452"/>
      <c r="FB41" s="452"/>
      <c r="FC41" s="452"/>
      <c r="FD41" s="452"/>
      <c r="FE41" s="452"/>
      <c r="FF41" s="452"/>
      <c r="FG41" s="452"/>
      <c r="FH41" s="452"/>
      <c r="FI41" s="452"/>
      <c r="FJ41" s="452"/>
      <c r="FK41" s="452"/>
      <c r="FL41" s="452"/>
      <c r="FM41" s="452"/>
      <c r="FN41" s="452"/>
      <c r="FO41" s="452"/>
      <c r="FP41" s="452"/>
      <c r="FQ41" s="452"/>
      <c r="FR41" s="452"/>
      <c r="FS41" s="452"/>
      <c r="FT41" s="452"/>
      <c r="FU41" s="452"/>
      <c r="FV41" s="452"/>
      <c r="FW41" s="452"/>
      <c r="FX41" s="452"/>
      <c r="FY41" s="452"/>
      <c r="FZ41" s="452"/>
      <c r="GA41" s="452"/>
      <c r="GB41" s="452"/>
      <c r="GC41" s="452"/>
      <c r="GD41" s="452"/>
      <c r="GE41" s="452"/>
      <c r="GF41" s="452"/>
      <c r="GG41" s="452"/>
      <c r="GH41" s="452"/>
      <c r="GI41" s="452"/>
      <c r="GJ41" s="452"/>
      <c r="GK41" s="452"/>
      <c r="GL41" s="452"/>
      <c r="GM41" s="452"/>
      <c r="GN41" s="452"/>
      <c r="GO41" s="452"/>
      <c r="GP41" s="452"/>
      <c r="GQ41" s="452"/>
      <c r="GR41" s="452"/>
      <c r="GS41" s="452"/>
      <c r="GT41" s="452"/>
      <c r="GU41" s="452"/>
      <c r="GV41" s="452"/>
      <c r="GW41" s="452"/>
      <c r="GX41" s="452"/>
      <c r="GY41" s="452"/>
      <c r="GZ41" s="452"/>
      <c r="HA41" s="452"/>
      <c r="HB41" s="452"/>
      <c r="HC41" s="452"/>
      <c r="HD41" s="452"/>
      <c r="HE41" s="452"/>
      <c r="HF41" s="452"/>
      <c r="HG41" s="452"/>
      <c r="HH41" s="452"/>
      <c r="HI41" s="452"/>
      <c r="HJ41" s="452"/>
      <c r="HK41" s="452"/>
      <c r="HL41" s="452"/>
      <c r="HM41" s="452"/>
      <c r="HN41" s="452"/>
      <c r="HO41" s="452"/>
      <c r="HP41" s="452"/>
      <c r="HQ41" s="452"/>
      <c r="HR41" s="452"/>
      <c r="HS41" s="452"/>
      <c r="HT41" s="452"/>
      <c r="HU41" s="452"/>
      <c r="HV41" s="452"/>
      <c r="HW41" s="452"/>
      <c r="HX41" s="452"/>
      <c r="HY41" s="452"/>
      <c r="HZ41" s="452"/>
      <c r="IA41" s="452"/>
      <c r="IB41" s="452"/>
      <c r="IC41" s="452"/>
      <c r="ID41" s="452"/>
      <c r="IE41" s="452"/>
      <c r="IF41" s="452"/>
      <c r="IG41" s="452"/>
      <c r="IH41" s="452"/>
      <c r="II41" s="452"/>
      <c r="IJ41" s="452"/>
      <c r="IK41" s="452"/>
      <c r="IL41" s="452"/>
      <c r="IM41" s="452"/>
      <c r="IN41" s="452"/>
      <c r="IO41" s="452"/>
      <c r="IP41" s="452"/>
      <c r="IQ41" s="452"/>
      <c r="IR41" s="452"/>
      <c r="IS41" s="452"/>
      <c r="IT41" s="452"/>
      <c r="IU41" s="452"/>
      <c r="IV41" s="452"/>
    </row>
    <row r="42" spans="1:256" ht="15.75" customHeight="1">
      <c r="A42" s="452" t="s">
        <v>1001</v>
      </c>
      <c r="B42" s="452"/>
      <c r="C42" s="452"/>
      <c r="D42" s="1695">
        <v>116.658</v>
      </c>
      <c r="E42" s="1692"/>
      <c r="F42" s="1695">
        <v>213.85</v>
      </c>
      <c r="G42" s="1692"/>
      <c r="H42" s="1695">
        <v>0</v>
      </c>
      <c r="I42" s="1692"/>
      <c r="J42" s="1695">
        <v>0</v>
      </c>
      <c r="K42" s="1693"/>
      <c r="L42" s="1696">
        <f t="shared" si="0"/>
        <v>330.50799999999998</v>
      </c>
      <c r="M42" s="459"/>
      <c r="N42" s="452"/>
      <c r="O42" s="452"/>
      <c r="P42" s="452"/>
      <c r="Q42" s="452"/>
      <c r="R42" s="452"/>
      <c r="S42" s="452"/>
      <c r="T42" s="452"/>
      <c r="U42" s="452"/>
      <c r="V42" s="452"/>
      <c r="W42" s="452"/>
      <c r="X42" s="452"/>
      <c r="Y42" s="452"/>
      <c r="Z42" s="452"/>
      <c r="AA42" s="452"/>
      <c r="AB42" s="452"/>
      <c r="AC42" s="452"/>
      <c r="AD42" s="452"/>
      <c r="AE42" s="452"/>
      <c r="AF42" s="452"/>
      <c r="AG42" s="452"/>
      <c r="AH42" s="452"/>
      <c r="AI42" s="452"/>
      <c r="AJ42" s="452"/>
      <c r="AK42" s="452"/>
      <c r="AL42" s="452"/>
      <c r="AM42" s="452"/>
      <c r="AN42" s="452"/>
      <c r="AO42" s="452"/>
      <c r="AP42" s="452"/>
      <c r="AQ42" s="452"/>
      <c r="AR42" s="452"/>
      <c r="AS42" s="452"/>
      <c r="AT42" s="452"/>
      <c r="AU42" s="452"/>
      <c r="AV42" s="452"/>
      <c r="AW42" s="452"/>
      <c r="AX42" s="452"/>
      <c r="AY42" s="452"/>
      <c r="AZ42" s="452"/>
      <c r="BA42" s="452"/>
      <c r="BB42" s="452"/>
      <c r="BC42" s="452"/>
      <c r="BD42" s="452"/>
      <c r="BE42" s="452"/>
      <c r="BF42" s="452"/>
      <c r="BG42" s="452"/>
      <c r="BH42" s="452"/>
      <c r="BI42" s="452"/>
      <c r="BJ42" s="452"/>
      <c r="BK42" s="452"/>
      <c r="BL42" s="452"/>
      <c r="BM42" s="452"/>
      <c r="BN42" s="452"/>
      <c r="BO42" s="452"/>
      <c r="BP42" s="452"/>
      <c r="BQ42" s="452"/>
      <c r="BR42" s="452"/>
      <c r="BS42" s="452"/>
      <c r="BT42" s="452"/>
      <c r="BU42" s="452"/>
      <c r="BV42" s="452"/>
      <c r="BW42" s="452"/>
      <c r="BX42" s="452"/>
      <c r="BY42" s="452"/>
      <c r="BZ42" s="452"/>
      <c r="CA42" s="452"/>
      <c r="CB42" s="452"/>
      <c r="CC42" s="452"/>
      <c r="CD42" s="452"/>
      <c r="CE42" s="452"/>
      <c r="CF42" s="452"/>
      <c r="CG42" s="452"/>
      <c r="CH42" s="452"/>
      <c r="CI42" s="452"/>
      <c r="CJ42" s="452"/>
      <c r="CK42" s="452"/>
      <c r="CL42" s="452"/>
      <c r="CM42" s="452"/>
      <c r="CN42" s="452"/>
      <c r="CO42" s="452"/>
      <c r="CP42" s="452"/>
      <c r="CQ42" s="452"/>
      <c r="CR42" s="452"/>
      <c r="CS42" s="452"/>
      <c r="CT42" s="452"/>
      <c r="CU42" s="452"/>
      <c r="CV42" s="452"/>
      <c r="CW42" s="452"/>
      <c r="CX42" s="452"/>
      <c r="CY42" s="452"/>
      <c r="CZ42" s="452"/>
      <c r="DA42" s="452"/>
      <c r="DB42" s="452"/>
      <c r="DC42" s="452"/>
      <c r="DD42" s="452"/>
      <c r="DE42" s="452"/>
      <c r="DF42" s="452"/>
      <c r="DG42" s="452"/>
      <c r="DH42" s="452"/>
      <c r="DI42" s="452"/>
      <c r="DJ42" s="452"/>
      <c r="DK42" s="452"/>
      <c r="DL42" s="452"/>
      <c r="DM42" s="452"/>
      <c r="DN42" s="452"/>
      <c r="DO42" s="452"/>
      <c r="DP42" s="452"/>
      <c r="DQ42" s="452"/>
      <c r="DR42" s="452"/>
      <c r="DS42" s="452"/>
      <c r="DT42" s="452"/>
      <c r="DU42" s="452"/>
      <c r="DV42" s="452"/>
      <c r="DW42" s="452"/>
      <c r="DX42" s="452"/>
      <c r="DY42" s="452"/>
      <c r="DZ42" s="452"/>
      <c r="EA42" s="452"/>
      <c r="EB42" s="452"/>
      <c r="EC42" s="452"/>
      <c r="ED42" s="452"/>
      <c r="EE42" s="452"/>
      <c r="EF42" s="452"/>
      <c r="EG42" s="452"/>
      <c r="EH42" s="452"/>
      <c r="EI42" s="452"/>
      <c r="EJ42" s="452"/>
      <c r="EK42" s="452"/>
      <c r="EL42" s="452"/>
      <c r="EM42" s="452"/>
      <c r="EN42" s="452"/>
      <c r="EO42" s="452"/>
      <c r="EP42" s="452"/>
      <c r="EQ42" s="452"/>
      <c r="ER42" s="452"/>
      <c r="ES42" s="452"/>
      <c r="ET42" s="452"/>
      <c r="EU42" s="452"/>
      <c r="EV42" s="452"/>
      <c r="EW42" s="452"/>
      <c r="EX42" s="452"/>
      <c r="EY42" s="452"/>
      <c r="EZ42" s="452"/>
      <c r="FA42" s="452"/>
      <c r="FB42" s="452"/>
      <c r="FC42" s="452"/>
      <c r="FD42" s="452"/>
      <c r="FE42" s="452"/>
      <c r="FF42" s="452"/>
      <c r="FG42" s="452"/>
      <c r="FH42" s="452"/>
      <c r="FI42" s="452"/>
      <c r="FJ42" s="452"/>
      <c r="FK42" s="452"/>
      <c r="FL42" s="452"/>
      <c r="FM42" s="452"/>
      <c r="FN42" s="452"/>
      <c r="FO42" s="452"/>
      <c r="FP42" s="452"/>
      <c r="FQ42" s="452"/>
      <c r="FR42" s="452"/>
      <c r="FS42" s="452"/>
      <c r="FT42" s="452"/>
      <c r="FU42" s="452"/>
      <c r="FV42" s="452"/>
      <c r="FW42" s="452"/>
      <c r="FX42" s="452"/>
      <c r="FY42" s="452"/>
      <c r="FZ42" s="452"/>
      <c r="GA42" s="452"/>
      <c r="GB42" s="452"/>
      <c r="GC42" s="452"/>
      <c r="GD42" s="452"/>
      <c r="GE42" s="452"/>
      <c r="GF42" s="452"/>
      <c r="GG42" s="452"/>
      <c r="GH42" s="452"/>
      <c r="GI42" s="452"/>
      <c r="GJ42" s="452"/>
      <c r="GK42" s="452"/>
      <c r="GL42" s="452"/>
      <c r="GM42" s="452"/>
      <c r="GN42" s="452"/>
      <c r="GO42" s="452"/>
      <c r="GP42" s="452"/>
      <c r="GQ42" s="452"/>
      <c r="GR42" s="452"/>
      <c r="GS42" s="452"/>
      <c r="GT42" s="452"/>
      <c r="GU42" s="452"/>
      <c r="GV42" s="452"/>
      <c r="GW42" s="452"/>
      <c r="GX42" s="452"/>
      <c r="GY42" s="452"/>
      <c r="GZ42" s="452"/>
      <c r="HA42" s="452"/>
      <c r="HB42" s="452"/>
      <c r="HC42" s="452"/>
      <c r="HD42" s="452"/>
      <c r="HE42" s="452"/>
      <c r="HF42" s="452"/>
      <c r="HG42" s="452"/>
      <c r="HH42" s="452"/>
      <c r="HI42" s="452"/>
      <c r="HJ42" s="452"/>
      <c r="HK42" s="452"/>
      <c r="HL42" s="452"/>
      <c r="HM42" s="452"/>
      <c r="HN42" s="452"/>
      <c r="HO42" s="452"/>
      <c r="HP42" s="452"/>
      <c r="HQ42" s="452"/>
      <c r="HR42" s="452"/>
      <c r="HS42" s="452"/>
      <c r="HT42" s="452"/>
      <c r="HU42" s="452"/>
      <c r="HV42" s="452"/>
      <c r="HW42" s="452"/>
      <c r="HX42" s="452"/>
      <c r="HY42" s="452"/>
      <c r="HZ42" s="452"/>
      <c r="IA42" s="452"/>
      <c r="IB42" s="452"/>
      <c r="IC42" s="452"/>
      <c r="ID42" s="452"/>
      <c r="IE42" s="452"/>
      <c r="IF42" s="452"/>
      <c r="IG42" s="452"/>
      <c r="IH42" s="452"/>
      <c r="II42" s="452"/>
      <c r="IJ42" s="452"/>
      <c r="IK42" s="452"/>
      <c r="IL42" s="452"/>
      <c r="IM42" s="452"/>
      <c r="IN42" s="452"/>
      <c r="IO42" s="452"/>
      <c r="IP42" s="452"/>
      <c r="IQ42" s="452"/>
      <c r="IR42" s="452"/>
      <c r="IS42" s="452"/>
      <c r="IT42" s="452"/>
      <c r="IU42" s="452"/>
      <c r="IV42" s="452"/>
    </row>
    <row r="43" spans="1:256" ht="15.75" customHeight="1">
      <c r="A43" s="452" t="s">
        <v>1002</v>
      </c>
      <c r="B43" s="452"/>
      <c r="C43" s="452"/>
      <c r="D43" s="1695">
        <v>-2.4689999999999999</v>
      </c>
      <c r="E43" s="1692"/>
      <c r="F43" s="1695">
        <v>143.72999999999999</v>
      </c>
      <c r="G43" s="1692"/>
      <c r="H43" s="1695">
        <v>263.90800000000002</v>
      </c>
      <c r="I43" s="1692"/>
      <c r="J43" s="1695">
        <v>0</v>
      </c>
      <c r="K43" s="1693"/>
      <c r="L43" s="1696">
        <f t="shared" si="0"/>
        <v>-122.64700000000001</v>
      </c>
      <c r="M43" s="459"/>
      <c r="N43" s="452"/>
      <c r="O43" s="452"/>
      <c r="P43" s="452"/>
      <c r="Q43" s="452"/>
      <c r="R43" s="452"/>
      <c r="S43" s="452"/>
      <c r="T43" s="452"/>
      <c r="U43" s="452"/>
      <c r="V43" s="452"/>
      <c r="W43" s="452"/>
      <c r="X43" s="452"/>
      <c r="Y43" s="452"/>
      <c r="Z43" s="452"/>
      <c r="AA43" s="452"/>
      <c r="AB43" s="452"/>
      <c r="AC43" s="452"/>
      <c r="AD43" s="452"/>
      <c r="AE43" s="452"/>
      <c r="AF43" s="452"/>
      <c r="AG43" s="452"/>
      <c r="AH43" s="452"/>
      <c r="AI43" s="452"/>
      <c r="AJ43" s="452"/>
      <c r="AK43" s="452"/>
      <c r="AL43" s="452"/>
      <c r="AM43" s="452"/>
      <c r="AN43" s="452"/>
      <c r="AO43" s="452"/>
      <c r="AP43" s="452"/>
      <c r="AQ43" s="452"/>
      <c r="AR43" s="452"/>
      <c r="AS43" s="452"/>
      <c r="AT43" s="452"/>
      <c r="AU43" s="452"/>
      <c r="AV43" s="452"/>
      <c r="AW43" s="452"/>
      <c r="AX43" s="452"/>
      <c r="AY43" s="452"/>
      <c r="AZ43" s="452"/>
      <c r="BA43" s="452"/>
      <c r="BB43" s="452"/>
      <c r="BC43" s="452"/>
      <c r="BD43" s="452"/>
      <c r="BE43" s="452"/>
      <c r="BF43" s="452"/>
      <c r="BG43" s="452"/>
      <c r="BH43" s="452"/>
      <c r="BI43" s="452"/>
      <c r="BJ43" s="452"/>
      <c r="BK43" s="452"/>
      <c r="BL43" s="452"/>
      <c r="BM43" s="452"/>
      <c r="BN43" s="452"/>
      <c r="BO43" s="452"/>
      <c r="BP43" s="452"/>
      <c r="BQ43" s="452"/>
      <c r="BR43" s="452"/>
      <c r="BS43" s="452"/>
      <c r="BT43" s="452"/>
      <c r="BU43" s="452"/>
      <c r="BV43" s="452"/>
      <c r="BW43" s="452"/>
      <c r="BX43" s="452"/>
      <c r="BY43" s="452"/>
      <c r="BZ43" s="452"/>
      <c r="CA43" s="452"/>
      <c r="CB43" s="452"/>
      <c r="CC43" s="452"/>
      <c r="CD43" s="452"/>
      <c r="CE43" s="452"/>
      <c r="CF43" s="452"/>
      <c r="CG43" s="452"/>
      <c r="CH43" s="452"/>
      <c r="CI43" s="452"/>
      <c r="CJ43" s="452"/>
      <c r="CK43" s="452"/>
      <c r="CL43" s="452"/>
      <c r="CM43" s="452"/>
      <c r="CN43" s="452"/>
      <c r="CO43" s="452"/>
      <c r="CP43" s="452"/>
      <c r="CQ43" s="452"/>
      <c r="CR43" s="452"/>
      <c r="CS43" s="452"/>
      <c r="CT43" s="452"/>
      <c r="CU43" s="452"/>
      <c r="CV43" s="452"/>
      <c r="CW43" s="452"/>
      <c r="CX43" s="452"/>
      <c r="CY43" s="452"/>
      <c r="CZ43" s="452"/>
      <c r="DA43" s="452"/>
      <c r="DB43" s="452"/>
      <c r="DC43" s="452"/>
      <c r="DD43" s="452"/>
      <c r="DE43" s="452"/>
      <c r="DF43" s="452"/>
      <c r="DG43" s="452"/>
      <c r="DH43" s="452"/>
      <c r="DI43" s="452"/>
      <c r="DJ43" s="452"/>
      <c r="DK43" s="452"/>
      <c r="DL43" s="452"/>
      <c r="DM43" s="452"/>
      <c r="DN43" s="452"/>
      <c r="DO43" s="452"/>
      <c r="DP43" s="452"/>
      <c r="DQ43" s="452"/>
      <c r="DR43" s="452"/>
      <c r="DS43" s="452"/>
      <c r="DT43" s="452"/>
      <c r="DU43" s="452"/>
      <c r="DV43" s="452"/>
      <c r="DW43" s="452"/>
      <c r="DX43" s="452"/>
      <c r="DY43" s="452"/>
      <c r="DZ43" s="452"/>
      <c r="EA43" s="452"/>
      <c r="EB43" s="452"/>
      <c r="EC43" s="452"/>
      <c r="ED43" s="452"/>
      <c r="EE43" s="452"/>
      <c r="EF43" s="452"/>
      <c r="EG43" s="452"/>
      <c r="EH43" s="452"/>
      <c r="EI43" s="452"/>
      <c r="EJ43" s="452"/>
      <c r="EK43" s="452"/>
      <c r="EL43" s="452"/>
      <c r="EM43" s="452"/>
      <c r="EN43" s="452"/>
      <c r="EO43" s="452"/>
      <c r="EP43" s="452"/>
      <c r="EQ43" s="452"/>
      <c r="ER43" s="452"/>
      <c r="ES43" s="452"/>
      <c r="ET43" s="452"/>
      <c r="EU43" s="452"/>
      <c r="EV43" s="452"/>
      <c r="EW43" s="452"/>
      <c r="EX43" s="452"/>
      <c r="EY43" s="452"/>
      <c r="EZ43" s="452"/>
      <c r="FA43" s="452"/>
      <c r="FB43" s="452"/>
      <c r="FC43" s="452"/>
      <c r="FD43" s="452"/>
      <c r="FE43" s="452"/>
      <c r="FF43" s="452"/>
      <c r="FG43" s="452"/>
      <c r="FH43" s="452"/>
      <c r="FI43" s="452"/>
      <c r="FJ43" s="452"/>
      <c r="FK43" s="452"/>
      <c r="FL43" s="452"/>
      <c r="FM43" s="452"/>
      <c r="FN43" s="452"/>
      <c r="FO43" s="452"/>
      <c r="FP43" s="452"/>
      <c r="FQ43" s="452"/>
      <c r="FR43" s="452"/>
      <c r="FS43" s="452"/>
      <c r="FT43" s="452"/>
      <c r="FU43" s="452"/>
      <c r="FV43" s="452"/>
      <c r="FW43" s="452"/>
      <c r="FX43" s="452"/>
      <c r="FY43" s="452"/>
      <c r="FZ43" s="452"/>
      <c r="GA43" s="452"/>
      <c r="GB43" s="452"/>
      <c r="GC43" s="452"/>
      <c r="GD43" s="452"/>
      <c r="GE43" s="452"/>
      <c r="GF43" s="452"/>
      <c r="GG43" s="452"/>
      <c r="GH43" s="452"/>
      <c r="GI43" s="452"/>
      <c r="GJ43" s="452"/>
      <c r="GK43" s="452"/>
      <c r="GL43" s="452"/>
      <c r="GM43" s="452"/>
      <c r="GN43" s="452"/>
      <c r="GO43" s="452"/>
      <c r="GP43" s="452"/>
      <c r="GQ43" s="452"/>
      <c r="GR43" s="452"/>
      <c r="GS43" s="452"/>
      <c r="GT43" s="452"/>
      <c r="GU43" s="452"/>
      <c r="GV43" s="452"/>
      <c r="GW43" s="452"/>
      <c r="GX43" s="452"/>
      <c r="GY43" s="452"/>
      <c r="GZ43" s="452"/>
      <c r="HA43" s="452"/>
      <c r="HB43" s="452"/>
      <c r="HC43" s="452"/>
      <c r="HD43" s="452"/>
      <c r="HE43" s="452"/>
      <c r="HF43" s="452"/>
      <c r="HG43" s="452"/>
      <c r="HH43" s="452"/>
      <c r="HI43" s="452"/>
      <c r="HJ43" s="452"/>
      <c r="HK43" s="452"/>
      <c r="HL43" s="452"/>
      <c r="HM43" s="452"/>
      <c r="HN43" s="452"/>
      <c r="HO43" s="452"/>
      <c r="HP43" s="452"/>
      <c r="HQ43" s="452"/>
      <c r="HR43" s="452"/>
      <c r="HS43" s="452"/>
      <c r="HT43" s="452"/>
      <c r="HU43" s="452"/>
      <c r="HV43" s="452"/>
      <c r="HW43" s="452"/>
      <c r="HX43" s="452"/>
      <c r="HY43" s="452"/>
      <c r="HZ43" s="452"/>
      <c r="IA43" s="452"/>
      <c r="IB43" s="452"/>
      <c r="IC43" s="452"/>
      <c r="ID43" s="452"/>
      <c r="IE43" s="452"/>
      <c r="IF43" s="452"/>
      <c r="IG43" s="452"/>
      <c r="IH43" s="452"/>
      <c r="II43" s="452"/>
      <c r="IJ43" s="452"/>
      <c r="IK43" s="452"/>
      <c r="IL43" s="452"/>
      <c r="IM43" s="452"/>
      <c r="IN43" s="452"/>
      <c r="IO43" s="452"/>
      <c r="IP43" s="452"/>
      <c r="IQ43" s="452"/>
      <c r="IR43" s="452"/>
      <c r="IS43" s="452"/>
      <c r="IT43" s="452"/>
      <c r="IU43" s="452"/>
      <c r="IV43" s="452"/>
    </row>
    <row r="44" spans="1:256" ht="18" customHeight="1">
      <c r="A44" s="452" t="s">
        <v>1203</v>
      </c>
      <c r="B44" s="452"/>
      <c r="C44" s="452"/>
      <c r="D44" s="1695">
        <v>0</v>
      </c>
      <c r="E44" s="1692"/>
      <c r="F44" s="1695">
        <v>0</v>
      </c>
      <c r="G44" s="1692"/>
      <c r="H44" s="1695">
        <v>0</v>
      </c>
      <c r="I44" s="1692"/>
      <c r="J44" s="1695">
        <v>0</v>
      </c>
      <c r="K44" s="1693"/>
      <c r="L44" s="1696">
        <f t="shared" si="0"/>
        <v>0</v>
      </c>
      <c r="M44" s="459"/>
      <c r="N44" s="452"/>
      <c r="O44" s="465"/>
      <c r="P44" s="465"/>
      <c r="Q44" s="452"/>
      <c r="R44" s="452"/>
      <c r="S44" s="452"/>
      <c r="T44" s="452"/>
      <c r="U44" s="452"/>
      <c r="V44" s="452"/>
      <c r="W44" s="452"/>
      <c r="X44" s="452"/>
      <c r="Y44" s="452"/>
      <c r="Z44" s="452"/>
      <c r="AA44" s="452"/>
      <c r="AB44" s="452"/>
      <c r="AC44" s="452"/>
      <c r="AD44" s="452"/>
      <c r="AE44" s="452"/>
      <c r="AF44" s="452"/>
      <c r="AG44" s="452"/>
      <c r="AH44" s="452"/>
      <c r="AI44" s="452"/>
      <c r="AJ44" s="452"/>
      <c r="AK44" s="452"/>
      <c r="AL44" s="452"/>
      <c r="AM44" s="452"/>
      <c r="AN44" s="452"/>
      <c r="AO44" s="452"/>
      <c r="AP44" s="452"/>
      <c r="AQ44" s="452"/>
      <c r="AR44" s="452"/>
      <c r="AS44" s="452"/>
      <c r="AT44" s="452"/>
      <c r="AU44" s="452"/>
      <c r="AV44" s="452"/>
      <c r="AW44" s="452"/>
      <c r="AX44" s="452"/>
      <c r="AY44" s="452"/>
      <c r="AZ44" s="452"/>
      <c r="BA44" s="452"/>
      <c r="BB44" s="452"/>
      <c r="BC44" s="452"/>
      <c r="BD44" s="452"/>
      <c r="BE44" s="452"/>
      <c r="BF44" s="452"/>
      <c r="BG44" s="452"/>
      <c r="BH44" s="452"/>
      <c r="BI44" s="452"/>
      <c r="BJ44" s="452"/>
      <c r="BK44" s="452"/>
      <c r="BL44" s="452"/>
      <c r="BM44" s="452"/>
      <c r="BN44" s="452"/>
      <c r="BO44" s="452"/>
      <c r="BP44" s="452"/>
      <c r="BQ44" s="452"/>
      <c r="BR44" s="452"/>
      <c r="BS44" s="452"/>
      <c r="BT44" s="452"/>
      <c r="BU44" s="452"/>
      <c r="BV44" s="452"/>
      <c r="BW44" s="452"/>
      <c r="BX44" s="452"/>
      <c r="BY44" s="452"/>
      <c r="BZ44" s="452"/>
      <c r="CA44" s="452"/>
      <c r="CB44" s="452"/>
      <c r="CC44" s="452"/>
      <c r="CD44" s="452"/>
      <c r="CE44" s="452"/>
      <c r="CF44" s="452"/>
      <c r="CG44" s="452"/>
      <c r="CH44" s="452"/>
      <c r="CI44" s="452"/>
      <c r="CJ44" s="452"/>
      <c r="CK44" s="452"/>
      <c r="CL44" s="452"/>
      <c r="CM44" s="452"/>
      <c r="CN44" s="452"/>
      <c r="CO44" s="452"/>
      <c r="CP44" s="452"/>
      <c r="CQ44" s="452"/>
      <c r="CR44" s="452"/>
      <c r="CS44" s="452"/>
      <c r="CT44" s="452"/>
      <c r="CU44" s="452"/>
      <c r="CV44" s="452"/>
      <c r="CW44" s="452"/>
      <c r="CX44" s="452"/>
      <c r="CY44" s="452"/>
      <c r="CZ44" s="452"/>
      <c r="DA44" s="452"/>
      <c r="DB44" s="452"/>
      <c r="DC44" s="452"/>
      <c r="DD44" s="452"/>
      <c r="DE44" s="452"/>
      <c r="DF44" s="452"/>
      <c r="DG44" s="452"/>
      <c r="DH44" s="452"/>
      <c r="DI44" s="452"/>
      <c r="DJ44" s="452"/>
      <c r="DK44" s="452"/>
      <c r="DL44" s="452"/>
      <c r="DM44" s="452"/>
      <c r="DN44" s="452"/>
      <c r="DO44" s="452"/>
      <c r="DP44" s="452"/>
      <c r="DQ44" s="452"/>
      <c r="DR44" s="452"/>
      <c r="DS44" s="452"/>
      <c r="DT44" s="452"/>
      <c r="DU44" s="452"/>
      <c r="DV44" s="452"/>
      <c r="DW44" s="452"/>
      <c r="DX44" s="452"/>
      <c r="DY44" s="452"/>
      <c r="DZ44" s="452"/>
      <c r="EA44" s="452"/>
      <c r="EB44" s="452"/>
      <c r="EC44" s="452"/>
      <c r="ED44" s="452"/>
      <c r="EE44" s="452"/>
      <c r="EF44" s="452"/>
      <c r="EG44" s="452"/>
      <c r="EH44" s="452"/>
      <c r="EI44" s="452"/>
      <c r="EJ44" s="452"/>
      <c r="EK44" s="452"/>
      <c r="EL44" s="452"/>
      <c r="EM44" s="452"/>
      <c r="EN44" s="452"/>
      <c r="EO44" s="452"/>
      <c r="EP44" s="452"/>
      <c r="EQ44" s="452"/>
      <c r="ER44" s="452"/>
      <c r="ES44" s="452"/>
      <c r="ET44" s="452"/>
      <c r="EU44" s="452"/>
      <c r="EV44" s="452"/>
      <c r="EW44" s="452"/>
      <c r="EX44" s="452"/>
      <c r="EY44" s="452"/>
      <c r="EZ44" s="452"/>
      <c r="FA44" s="452"/>
      <c r="FB44" s="452"/>
      <c r="FC44" s="452"/>
      <c r="FD44" s="452"/>
      <c r="FE44" s="452"/>
      <c r="FF44" s="452"/>
      <c r="FG44" s="452"/>
      <c r="FH44" s="452"/>
      <c r="FI44" s="452"/>
      <c r="FJ44" s="452"/>
      <c r="FK44" s="452"/>
      <c r="FL44" s="452"/>
      <c r="FM44" s="452"/>
      <c r="FN44" s="452"/>
      <c r="FO44" s="452"/>
      <c r="FP44" s="452"/>
      <c r="FQ44" s="452"/>
      <c r="FR44" s="452"/>
      <c r="FS44" s="452"/>
      <c r="FT44" s="452"/>
      <c r="FU44" s="452"/>
      <c r="FV44" s="452"/>
      <c r="FW44" s="452"/>
      <c r="FX44" s="452"/>
      <c r="FY44" s="452"/>
      <c r="FZ44" s="452"/>
      <c r="GA44" s="452"/>
      <c r="GB44" s="452"/>
      <c r="GC44" s="452"/>
      <c r="GD44" s="452"/>
      <c r="GE44" s="452"/>
      <c r="GF44" s="452"/>
      <c r="GG44" s="452"/>
      <c r="GH44" s="452"/>
      <c r="GI44" s="452"/>
      <c r="GJ44" s="452"/>
      <c r="GK44" s="452"/>
      <c r="GL44" s="452"/>
      <c r="GM44" s="452"/>
      <c r="GN44" s="452"/>
      <c r="GO44" s="452"/>
      <c r="GP44" s="452"/>
      <c r="GQ44" s="452"/>
      <c r="GR44" s="452"/>
      <c r="GS44" s="452"/>
      <c r="GT44" s="452"/>
      <c r="GU44" s="452"/>
      <c r="GV44" s="452"/>
      <c r="GW44" s="452"/>
      <c r="GX44" s="452"/>
      <c r="GY44" s="452"/>
      <c r="GZ44" s="452"/>
      <c r="HA44" s="452"/>
      <c r="HB44" s="452"/>
      <c r="HC44" s="452"/>
      <c r="HD44" s="452"/>
      <c r="HE44" s="452"/>
      <c r="HF44" s="452"/>
      <c r="HG44" s="452"/>
      <c r="HH44" s="452"/>
      <c r="HI44" s="452"/>
      <c r="HJ44" s="452"/>
      <c r="HK44" s="452"/>
      <c r="HL44" s="452"/>
      <c r="HM44" s="452"/>
      <c r="HN44" s="452"/>
      <c r="HO44" s="452"/>
      <c r="HP44" s="452"/>
      <c r="HQ44" s="452"/>
      <c r="HR44" s="452"/>
      <c r="HS44" s="452"/>
      <c r="HT44" s="452"/>
      <c r="HU44" s="452"/>
      <c r="HV44" s="452"/>
      <c r="HW44" s="452"/>
      <c r="HX44" s="452"/>
      <c r="HY44" s="452"/>
      <c r="HZ44" s="452"/>
      <c r="IA44" s="452"/>
      <c r="IB44" s="452"/>
      <c r="IC44" s="452"/>
      <c r="ID44" s="452"/>
      <c r="IE44" s="452"/>
      <c r="IF44" s="452"/>
      <c r="IG44" s="452"/>
      <c r="IH44" s="452"/>
      <c r="II44" s="452"/>
      <c r="IJ44" s="452"/>
      <c r="IK44" s="452"/>
      <c r="IL44" s="452"/>
      <c r="IM44" s="452"/>
      <c r="IN44" s="452"/>
      <c r="IO44" s="452"/>
      <c r="IP44" s="452"/>
      <c r="IQ44" s="452"/>
      <c r="IR44" s="452"/>
      <c r="IS44" s="452"/>
      <c r="IT44" s="452"/>
      <c r="IU44" s="452"/>
      <c r="IV44" s="452"/>
    </row>
    <row r="45" spans="1:256" ht="17.25" customHeight="1">
      <c r="A45" s="448" t="s">
        <v>1198</v>
      </c>
      <c r="B45" s="452"/>
      <c r="C45" s="452"/>
      <c r="D45" s="707">
        <f>ROUND(SUM(D28:D44),3)</f>
        <v>3445.645</v>
      </c>
      <c r="E45" s="699"/>
      <c r="F45" s="707">
        <f>ROUND(SUM(F28:F44),3)</f>
        <v>8863.0169999999998</v>
      </c>
      <c r="G45" s="699"/>
      <c r="H45" s="707">
        <f>ROUND(SUM(H28:H44),3)</f>
        <v>8745.3700000000008</v>
      </c>
      <c r="I45" s="699"/>
      <c r="J45" s="707">
        <f>ROUND(SUM(J28:J44),3)</f>
        <v>0</v>
      </c>
      <c r="K45" s="699"/>
      <c r="L45" s="707">
        <f>ROUND(SUM(L28:L44),3)</f>
        <v>3563.2919999999999</v>
      </c>
      <c r="M45" s="460"/>
      <c r="N45" s="398"/>
      <c r="O45" s="463"/>
      <c r="P45" s="452"/>
      <c r="Q45" s="452"/>
      <c r="R45" s="452"/>
      <c r="S45" s="452"/>
      <c r="T45" s="452"/>
      <c r="U45" s="452"/>
      <c r="V45" s="452"/>
      <c r="W45" s="452"/>
      <c r="X45" s="452"/>
      <c r="Y45" s="452"/>
      <c r="Z45" s="452"/>
      <c r="AA45" s="452"/>
      <c r="AB45" s="452"/>
      <c r="AC45" s="452"/>
      <c r="AD45" s="452"/>
      <c r="AE45" s="452"/>
      <c r="AF45" s="452"/>
      <c r="AG45" s="452"/>
      <c r="AH45" s="452"/>
      <c r="AI45" s="452"/>
      <c r="AJ45" s="452"/>
      <c r="AK45" s="452"/>
      <c r="AL45" s="452"/>
      <c r="AM45" s="452"/>
      <c r="AN45" s="452"/>
      <c r="AO45" s="452"/>
      <c r="AP45" s="452"/>
      <c r="AQ45" s="452"/>
      <c r="AR45" s="452"/>
      <c r="AS45" s="452"/>
      <c r="AT45" s="452"/>
      <c r="AU45" s="452"/>
      <c r="AV45" s="452"/>
      <c r="AW45" s="452"/>
      <c r="AX45" s="452"/>
      <c r="AY45" s="452"/>
      <c r="AZ45" s="452"/>
      <c r="BA45" s="452"/>
      <c r="BB45" s="452"/>
      <c r="BC45" s="452"/>
      <c r="BD45" s="452"/>
      <c r="BE45" s="452"/>
      <c r="BF45" s="452"/>
      <c r="BG45" s="452"/>
      <c r="BH45" s="452"/>
      <c r="BI45" s="452"/>
      <c r="BJ45" s="452"/>
      <c r="BK45" s="452"/>
      <c r="BL45" s="452"/>
      <c r="BM45" s="452"/>
      <c r="BN45" s="452"/>
      <c r="BO45" s="452"/>
      <c r="BP45" s="452"/>
      <c r="BQ45" s="452"/>
      <c r="BR45" s="452"/>
      <c r="BS45" s="452"/>
      <c r="BT45" s="452"/>
      <c r="BU45" s="452"/>
      <c r="BV45" s="452"/>
      <c r="BW45" s="452"/>
      <c r="BX45" s="452"/>
      <c r="BY45" s="452"/>
      <c r="BZ45" s="452"/>
      <c r="CA45" s="452"/>
      <c r="CB45" s="452"/>
      <c r="CC45" s="452"/>
      <c r="CD45" s="452"/>
      <c r="CE45" s="452"/>
      <c r="CF45" s="452"/>
      <c r="CG45" s="452"/>
      <c r="CH45" s="452"/>
      <c r="CI45" s="452"/>
      <c r="CJ45" s="452"/>
      <c r="CK45" s="452"/>
      <c r="CL45" s="452"/>
      <c r="CM45" s="452"/>
      <c r="CN45" s="452"/>
      <c r="CO45" s="452"/>
      <c r="CP45" s="452"/>
      <c r="CQ45" s="452"/>
      <c r="CR45" s="452"/>
      <c r="CS45" s="452"/>
      <c r="CT45" s="452"/>
      <c r="CU45" s="452"/>
      <c r="CV45" s="452"/>
      <c r="CW45" s="452"/>
      <c r="CX45" s="452"/>
      <c r="CY45" s="452"/>
      <c r="CZ45" s="452"/>
      <c r="DA45" s="452"/>
      <c r="DB45" s="452"/>
      <c r="DC45" s="452"/>
      <c r="DD45" s="452"/>
      <c r="DE45" s="452"/>
      <c r="DF45" s="452"/>
      <c r="DG45" s="452"/>
      <c r="DH45" s="452"/>
      <c r="DI45" s="452"/>
      <c r="DJ45" s="452"/>
      <c r="DK45" s="452"/>
      <c r="DL45" s="452"/>
      <c r="DM45" s="452"/>
      <c r="DN45" s="452"/>
      <c r="DO45" s="452"/>
      <c r="DP45" s="452"/>
      <c r="DQ45" s="452"/>
      <c r="DR45" s="452"/>
      <c r="DS45" s="452"/>
      <c r="DT45" s="452"/>
      <c r="DU45" s="452"/>
      <c r="DV45" s="452"/>
      <c r="DW45" s="452"/>
      <c r="DX45" s="452"/>
      <c r="DY45" s="452"/>
      <c r="DZ45" s="452"/>
      <c r="EA45" s="452"/>
      <c r="EB45" s="452"/>
      <c r="EC45" s="452"/>
      <c r="ED45" s="452"/>
      <c r="EE45" s="452"/>
      <c r="EF45" s="452"/>
      <c r="EG45" s="452"/>
      <c r="EH45" s="452"/>
      <c r="EI45" s="452"/>
      <c r="EJ45" s="452"/>
      <c r="EK45" s="452"/>
      <c r="EL45" s="452"/>
      <c r="EM45" s="452"/>
      <c r="EN45" s="452"/>
      <c r="EO45" s="452"/>
      <c r="EP45" s="452"/>
      <c r="EQ45" s="452"/>
      <c r="ER45" s="452"/>
      <c r="ES45" s="452"/>
      <c r="ET45" s="452"/>
      <c r="EU45" s="452"/>
      <c r="EV45" s="452"/>
      <c r="EW45" s="452"/>
      <c r="EX45" s="452"/>
      <c r="EY45" s="452"/>
      <c r="EZ45" s="452"/>
      <c r="FA45" s="452"/>
      <c r="FB45" s="452"/>
      <c r="FC45" s="452"/>
      <c r="FD45" s="452"/>
      <c r="FE45" s="452"/>
      <c r="FF45" s="452"/>
      <c r="FG45" s="452"/>
      <c r="FH45" s="452"/>
      <c r="FI45" s="452"/>
      <c r="FJ45" s="452"/>
      <c r="FK45" s="452"/>
      <c r="FL45" s="452"/>
      <c r="FM45" s="452"/>
      <c r="FN45" s="452"/>
      <c r="FO45" s="452"/>
      <c r="FP45" s="452"/>
      <c r="FQ45" s="452"/>
      <c r="FR45" s="452"/>
      <c r="FS45" s="452"/>
      <c r="FT45" s="452"/>
      <c r="FU45" s="452"/>
      <c r="FV45" s="452"/>
      <c r="FW45" s="452"/>
      <c r="FX45" s="452"/>
      <c r="FY45" s="452"/>
      <c r="FZ45" s="452"/>
      <c r="GA45" s="452"/>
      <c r="GB45" s="452"/>
      <c r="GC45" s="452"/>
      <c r="GD45" s="452"/>
      <c r="GE45" s="452"/>
      <c r="GF45" s="452"/>
      <c r="GG45" s="452"/>
      <c r="GH45" s="452"/>
      <c r="GI45" s="452"/>
      <c r="GJ45" s="452"/>
      <c r="GK45" s="452"/>
      <c r="GL45" s="452"/>
      <c r="GM45" s="452"/>
      <c r="GN45" s="452"/>
      <c r="GO45" s="452"/>
      <c r="GP45" s="452"/>
      <c r="GQ45" s="452"/>
      <c r="GR45" s="452"/>
      <c r="GS45" s="452"/>
      <c r="GT45" s="452"/>
      <c r="GU45" s="452"/>
      <c r="GV45" s="452"/>
      <c r="GW45" s="452"/>
      <c r="GX45" s="452"/>
      <c r="GY45" s="452"/>
      <c r="GZ45" s="452"/>
      <c r="HA45" s="452"/>
      <c r="HB45" s="452"/>
      <c r="HC45" s="452"/>
      <c r="HD45" s="452"/>
      <c r="HE45" s="452"/>
      <c r="HF45" s="452"/>
      <c r="HG45" s="452"/>
      <c r="HH45" s="452"/>
      <c r="HI45" s="452"/>
      <c r="HJ45" s="452"/>
      <c r="HK45" s="452"/>
      <c r="HL45" s="452"/>
      <c r="HM45" s="452"/>
      <c r="HN45" s="452"/>
      <c r="HO45" s="452"/>
      <c r="HP45" s="452"/>
      <c r="HQ45" s="452"/>
      <c r="HR45" s="452"/>
      <c r="HS45" s="452"/>
      <c r="HT45" s="452"/>
      <c r="HU45" s="452"/>
      <c r="HV45" s="452"/>
      <c r="HW45" s="452"/>
      <c r="HX45" s="452"/>
      <c r="HY45" s="452"/>
      <c r="HZ45" s="452"/>
      <c r="IA45" s="452"/>
      <c r="IB45" s="452"/>
      <c r="IC45" s="452"/>
      <c r="ID45" s="452"/>
      <c r="IE45" s="452"/>
      <c r="IF45" s="452"/>
      <c r="IG45" s="452"/>
      <c r="IH45" s="452"/>
      <c r="II45" s="452"/>
      <c r="IJ45" s="452"/>
      <c r="IK45" s="452"/>
      <c r="IL45" s="452"/>
      <c r="IM45" s="452"/>
      <c r="IN45" s="452"/>
      <c r="IO45" s="452"/>
      <c r="IP45" s="452"/>
      <c r="IQ45" s="452"/>
      <c r="IR45" s="452"/>
      <c r="IS45" s="452"/>
      <c r="IT45" s="452"/>
      <c r="IU45" s="452"/>
      <c r="IV45" s="452"/>
    </row>
    <row r="46" spans="1:256" ht="12" customHeight="1">
      <c r="A46" s="448"/>
      <c r="B46" s="452"/>
      <c r="C46" s="452"/>
      <c r="D46" s="701" t="s">
        <v>15</v>
      </c>
      <c r="E46" s="445"/>
      <c r="F46" s="701" t="s">
        <v>15</v>
      </c>
      <c r="G46" s="445"/>
      <c r="H46" s="701" t="s">
        <v>15</v>
      </c>
      <c r="I46" s="445"/>
      <c r="J46" s="446" t="s">
        <v>15</v>
      </c>
      <c r="K46" s="445"/>
      <c r="L46" s="701" t="s">
        <v>15</v>
      </c>
      <c r="M46" s="459"/>
      <c r="N46" s="452"/>
      <c r="O46" s="465"/>
      <c r="P46" s="465"/>
      <c r="Q46" s="452"/>
      <c r="R46" s="452"/>
      <c r="S46" s="452"/>
      <c r="T46" s="452"/>
      <c r="U46" s="452"/>
      <c r="V46" s="452"/>
      <c r="W46" s="452"/>
      <c r="X46" s="452"/>
      <c r="Y46" s="452"/>
      <c r="Z46" s="452"/>
      <c r="AA46" s="452"/>
      <c r="AB46" s="452"/>
      <c r="AC46" s="452"/>
      <c r="AD46" s="452"/>
      <c r="AE46" s="452"/>
      <c r="AF46" s="452"/>
      <c r="AG46" s="452"/>
      <c r="AH46" s="452"/>
      <c r="AI46" s="452"/>
      <c r="AJ46" s="452"/>
      <c r="AK46" s="452"/>
      <c r="AL46" s="452"/>
      <c r="AM46" s="452"/>
      <c r="AN46" s="452"/>
      <c r="AO46" s="452"/>
      <c r="AP46" s="452"/>
      <c r="AQ46" s="452"/>
      <c r="AR46" s="452"/>
      <c r="AS46" s="452"/>
      <c r="AT46" s="452"/>
      <c r="AU46" s="452"/>
      <c r="AV46" s="452"/>
      <c r="AW46" s="452"/>
      <c r="AX46" s="452"/>
      <c r="AY46" s="452"/>
      <c r="AZ46" s="452"/>
      <c r="BA46" s="452"/>
      <c r="BB46" s="452"/>
      <c r="BC46" s="452"/>
      <c r="BD46" s="452"/>
      <c r="BE46" s="452"/>
      <c r="BF46" s="452"/>
      <c r="BG46" s="452"/>
      <c r="BH46" s="452"/>
      <c r="BI46" s="452"/>
      <c r="BJ46" s="452"/>
      <c r="BK46" s="452"/>
      <c r="BL46" s="452"/>
      <c r="BM46" s="452"/>
      <c r="BN46" s="452"/>
      <c r="BO46" s="452"/>
      <c r="BP46" s="452"/>
      <c r="BQ46" s="452"/>
      <c r="BR46" s="452"/>
      <c r="BS46" s="452"/>
      <c r="BT46" s="452"/>
      <c r="BU46" s="452"/>
      <c r="BV46" s="452"/>
      <c r="BW46" s="452"/>
      <c r="BX46" s="452"/>
      <c r="BY46" s="452"/>
      <c r="BZ46" s="452"/>
      <c r="CA46" s="452"/>
      <c r="CB46" s="452"/>
      <c r="CC46" s="452"/>
      <c r="CD46" s="452"/>
      <c r="CE46" s="452"/>
      <c r="CF46" s="452"/>
      <c r="CG46" s="452"/>
      <c r="CH46" s="452"/>
      <c r="CI46" s="452"/>
      <c r="CJ46" s="452"/>
      <c r="CK46" s="452"/>
      <c r="CL46" s="452"/>
      <c r="CM46" s="452"/>
      <c r="CN46" s="452"/>
      <c r="CO46" s="452"/>
      <c r="CP46" s="452"/>
      <c r="CQ46" s="452"/>
      <c r="CR46" s="452"/>
      <c r="CS46" s="452"/>
      <c r="CT46" s="452"/>
      <c r="CU46" s="452"/>
      <c r="CV46" s="452"/>
      <c r="CW46" s="452"/>
      <c r="CX46" s="452"/>
      <c r="CY46" s="452"/>
      <c r="CZ46" s="452"/>
      <c r="DA46" s="452"/>
      <c r="DB46" s="452"/>
      <c r="DC46" s="452"/>
      <c r="DD46" s="452"/>
      <c r="DE46" s="452"/>
      <c r="DF46" s="452"/>
      <c r="DG46" s="452"/>
      <c r="DH46" s="452"/>
      <c r="DI46" s="452"/>
      <c r="DJ46" s="452"/>
      <c r="DK46" s="452"/>
      <c r="DL46" s="452"/>
      <c r="DM46" s="452"/>
      <c r="DN46" s="452"/>
      <c r="DO46" s="452"/>
      <c r="DP46" s="452"/>
      <c r="DQ46" s="452"/>
      <c r="DR46" s="452"/>
      <c r="DS46" s="452"/>
      <c r="DT46" s="452"/>
      <c r="DU46" s="452"/>
      <c r="DV46" s="452"/>
      <c r="DW46" s="452"/>
      <c r="DX46" s="452"/>
      <c r="DY46" s="452"/>
      <c r="DZ46" s="452"/>
      <c r="EA46" s="452"/>
      <c r="EB46" s="452"/>
      <c r="EC46" s="452"/>
      <c r="ED46" s="452"/>
      <c r="EE46" s="452"/>
      <c r="EF46" s="452"/>
      <c r="EG46" s="452"/>
      <c r="EH46" s="452"/>
      <c r="EI46" s="452"/>
      <c r="EJ46" s="452"/>
      <c r="EK46" s="452"/>
      <c r="EL46" s="452"/>
      <c r="EM46" s="452"/>
      <c r="EN46" s="452"/>
      <c r="EO46" s="452"/>
      <c r="EP46" s="452"/>
      <c r="EQ46" s="452"/>
      <c r="ER46" s="452"/>
      <c r="ES46" s="452"/>
      <c r="ET46" s="452"/>
      <c r="EU46" s="452"/>
      <c r="EV46" s="452"/>
      <c r="EW46" s="452"/>
      <c r="EX46" s="452"/>
      <c r="EY46" s="452"/>
      <c r="EZ46" s="452"/>
      <c r="FA46" s="452"/>
      <c r="FB46" s="452"/>
      <c r="FC46" s="452"/>
      <c r="FD46" s="452"/>
      <c r="FE46" s="452"/>
      <c r="FF46" s="452"/>
      <c r="FG46" s="452"/>
      <c r="FH46" s="452"/>
      <c r="FI46" s="452"/>
      <c r="FJ46" s="452"/>
      <c r="FK46" s="452"/>
      <c r="FL46" s="452"/>
      <c r="FM46" s="452"/>
      <c r="FN46" s="452"/>
      <c r="FO46" s="452"/>
      <c r="FP46" s="452"/>
      <c r="FQ46" s="452"/>
      <c r="FR46" s="452"/>
      <c r="FS46" s="452"/>
      <c r="FT46" s="452"/>
      <c r="FU46" s="452"/>
      <c r="FV46" s="452"/>
      <c r="FW46" s="452"/>
      <c r="FX46" s="452"/>
      <c r="FY46" s="452"/>
      <c r="FZ46" s="452"/>
      <c r="GA46" s="452"/>
      <c r="GB46" s="452"/>
      <c r="GC46" s="452"/>
      <c r="GD46" s="452"/>
      <c r="GE46" s="452"/>
      <c r="GF46" s="452"/>
      <c r="GG46" s="452"/>
      <c r="GH46" s="452"/>
      <c r="GI46" s="452"/>
      <c r="GJ46" s="452"/>
      <c r="GK46" s="452"/>
      <c r="GL46" s="452"/>
      <c r="GM46" s="452"/>
      <c r="GN46" s="452"/>
      <c r="GO46" s="452"/>
      <c r="GP46" s="452"/>
      <c r="GQ46" s="452"/>
      <c r="GR46" s="452"/>
      <c r="GS46" s="452"/>
      <c r="GT46" s="452"/>
      <c r="GU46" s="452"/>
      <c r="GV46" s="452"/>
      <c r="GW46" s="452"/>
      <c r="GX46" s="452"/>
      <c r="GY46" s="452"/>
      <c r="GZ46" s="452"/>
      <c r="HA46" s="452"/>
      <c r="HB46" s="452"/>
      <c r="HC46" s="452"/>
      <c r="HD46" s="452"/>
      <c r="HE46" s="452"/>
      <c r="HF46" s="452"/>
      <c r="HG46" s="452"/>
      <c r="HH46" s="452"/>
      <c r="HI46" s="452"/>
      <c r="HJ46" s="452"/>
      <c r="HK46" s="452"/>
      <c r="HL46" s="452"/>
      <c r="HM46" s="452"/>
      <c r="HN46" s="452"/>
      <c r="HO46" s="452"/>
      <c r="HP46" s="452"/>
      <c r="HQ46" s="452"/>
      <c r="HR46" s="452"/>
      <c r="HS46" s="452"/>
      <c r="HT46" s="452"/>
      <c r="HU46" s="452"/>
      <c r="HV46" s="452"/>
      <c r="HW46" s="452"/>
      <c r="HX46" s="452"/>
      <c r="HY46" s="452"/>
      <c r="HZ46" s="452"/>
      <c r="IA46" s="452"/>
      <c r="IB46" s="452"/>
      <c r="IC46" s="452"/>
      <c r="ID46" s="452"/>
      <c r="IE46" s="452"/>
      <c r="IF46" s="452"/>
      <c r="IG46" s="452"/>
      <c r="IH46" s="452"/>
      <c r="II46" s="452"/>
      <c r="IJ46" s="452"/>
      <c r="IK46" s="452"/>
      <c r="IL46" s="452"/>
      <c r="IM46" s="452"/>
      <c r="IN46" s="452"/>
      <c r="IO46" s="452"/>
      <c r="IP46" s="452"/>
      <c r="IQ46" s="452"/>
      <c r="IR46" s="452"/>
      <c r="IS46" s="452"/>
      <c r="IT46" s="452"/>
      <c r="IU46" s="452"/>
      <c r="IV46" s="452"/>
    </row>
    <row r="47" spans="1:256" ht="3" customHeight="1">
      <c r="A47" s="448"/>
      <c r="B47" s="452"/>
      <c r="C47" s="452"/>
      <c r="D47" s="708"/>
      <c r="E47" s="708"/>
      <c r="F47" s="708"/>
      <c r="G47" s="708"/>
      <c r="H47" s="708"/>
      <c r="I47" s="708"/>
      <c r="J47" s="708"/>
      <c r="K47" s="708"/>
      <c r="L47" s="708"/>
      <c r="M47" s="459"/>
      <c r="N47" s="452"/>
      <c r="O47" s="465"/>
      <c r="P47" s="465"/>
      <c r="Q47" s="452"/>
      <c r="R47" s="452"/>
      <c r="S47" s="452"/>
      <c r="T47" s="452"/>
      <c r="U47" s="452"/>
      <c r="V47" s="452"/>
      <c r="W47" s="452"/>
      <c r="X47" s="452"/>
      <c r="Y47" s="452"/>
      <c r="Z47" s="452"/>
      <c r="AA47" s="452"/>
      <c r="AB47" s="452"/>
      <c r="AC47" s="452"/>
      <c r="AD47" s="452"/>
      <c r="AE47" s="452"/>
      <c r="AF47" s="452"/>
      <c r="AG47" s="452"/>
      <c r="AH47" s="452"/>
      <c r="AI47" s="452"/>
      <c r="AJ47" s="452"/>
      <c r="AK47" s="452"/>
      <c r="AL47" s="452"/>
      <c r="AM47" s="452"/>
      <c r="AN47" s="452"/>
      <c r="AO47" s="452"/>
      <c r="AP47" s="452"/>
      <c r="AQ47" s="452"/>
      <c r="AR47" s="452"/>
      <c r="AS47" s="452"/>
      <c r="AT47" s="452"/>
      <c r="AU47" s="452"/>
      <c r="AV47" s="452"/>
      <c r="AW47" s="452"/>
      <c r="AX47" s="452"/>
      <c r="AY47" s="452"/>
      <c r="AZ47" s="452"/>
      <c r="BA47" s="452"/>
      <c r="BB47" s="452"/>
      <c r="BC47" s="452"/>
      <c r="BD47" s="452"/>
      <c r="BE47" s="452"/>
      <c r="BF47" s="452"/>
      <c r="BG47" s="452"/>
      <c r="BH47" s="452"/>
      <c r="BI47" s="452"/>
      <c r="BJ47" s="452"/>
      <c r="BK47" s="452"/>
      <c r="BL47" s="452"/>
      <c r="BM47" s="452"/>
      <c r="BN47" s="452"/>
      <c r="BO47" s="452"/>
      <c r="BP47" s="452"/>
      <c r="BQ47" s="452"/>
      <c r="BR47" s="452"/>
      <c r="BS47" s="452"/>
      <c r="BT47" s="452"/>
      <c r="BU47" s="452"/>
      <c r="BV47" s="452"/>
      <c r="BW47" s="452"/>
      <c r="BX47" s="452"/>
      <c r="BY47" s="452"/>
      <c r="BZ47" s="452"/>
      <c r="CA47" s="452"/>
      <c r="CB47" s="452"/>
      <c r="CC47" s="452"/>
      <c r="CD47" s="452"/>
      <c r="CE47" s="452"/>
      <c r="CF47" s="452"/>
      <c r="CG47" s="452"/>
      <c r="CH47" s="452"/>
      <c r="CI47" s="452"/>
      <c r="CJ47" s="452"/>
      <c r="CK47" s="452"/>
      <c r="CL47" s="452"/>
      <c r="CM47" s="452"/>
      <c r="CN47" s="452"/>
      <c r="CO47" s="452"/>
      <c r="CP47" s="452"/>
      <c r="CQ47" s="452"/>
      <c r="CR47" s="452"/>
      <c r="CS47" s="452"/>
      <c r="CT47" s="452"/>
      <c r="CU47" s="452"/>
      <c r="CV47" s="452"/>
      <c r="CW47" s="452"/>
      <c r="CX47" s="452"/>
      <c r="CY47" s="452"/>
      <c r="CZ47" s="452"/>
      <c r="DA47" s="452"/>
      <c r="DB47" s="452"/>
      <c r="DC47" s="452"/>
      <c r="DD47" s="452"/>
      <c r="DE47" s="452"/>
      <c r="DF47" s="452"/>
      <c r="DG47" s="452"/>
      <c r="DH47" s="452"/>
      <c r="DI47" s="452"/>
      <c r="DJ47" s="452"/>
      <c r="DK47" s="452"/>
      <c r="DL47" s="452"/>
      <c r="DM47" s="452"/>
      <c r="DN47" s="452"/>
      <c r="DO47" s="452"/>
      <c r="DP47" s="452"/>
      <c r="DQ47" s="452"/>
      <c r="DR47" s="452"/>
      <c r="DS47" s="452"/>
      <c r="DT47" s="452"/>
      <c r="DU47" s="452"/>
      <c r="DV47" s="452"/>
      <c r="DW47" s="452"/>
      <c r="DX47" s="452"/>
      <c r="DY47" s="452"/>
      <c r="DZ47" s="452"/>
      <c r="EA47" s="452"/>
      <c r="EB47" s="452"/>
      <c r="EC47" s="452"/>
      <c r="ED47" s="452"/>
      <c r="EE47" s="452"/>
      <c r="EF47" s="452"/>
      <c r="EG47" s="452"/>
      <c r="EH47" s="452"/>
      <c r="EI47" s="452"/>
      <c r="EJ47" s="452"/>
      <c r="EK47" s="452"/>
      <c r="EL47" s="452"/>
      <c r="EM47" s="452"/>
      <c r="EN47" s="452"/>
      <c r="EO47" s="452"/>
      <c r="EP47" s="452"/>
      <c r="EQ47" s="452"/>
      <c r="ER47" s="452"/>
      <c r="ES47" s="452"/>
      <c r="ET47" s="452"/>
      <c r="EU47" s="452"/>
      <c r="EV47" s="452"/>
      <c r="EW47" s="452"/>
      <c r="EX47" s="452"/>
      <c r="EY47" s="452"/>
      <c r="EZ47" s="452"/>
      <c r="FA47" s="452"/>
      <c r="FB47" s="452"/>
      <c r="FC47" s="452"/>
      <c r="FD47" s="452"/>
      <c r="FE47" s="452"/>
      <c r="FF47" s="452"/>
      <c r="FG47" s="452"/>
      <c r="FH47" s="452"/>
      <c r="FI47" s="452"/>
      <c r="FJ47" s="452"/>
      <c r="FK47" s="452"/>
      <c r="FL47" s="452"/>
      <c r="FM47" s="452"/>
      <c r="FN47" s="452"/>
      <c r="FO47" s="452"/>
      <c r="FP47" s="452"/>
      <c r="FQ47" s="452"/>
      <c r="FR47" s="452"/>
      <c r="FS47" s="452"/>
      <c r="FT47" s="452"/>
      <c r="FU47" s="452"/>
      <c r="FV47" s="452"/>
      <c r="FW47" s="452"/>
      <c r="FX47" s="452"/>
      <c r="FY47" s="452"/>
      <c r="FZ47" s="452"/>
      <c r="GA47" s="452"/>
      <c r="GB47" s="452"/>
      <c r="GC47" s="452"/>
      <c r="GD47" s="452"/>
      <c r="GE47" s="452"/>
      <c r="GF47" s="452"/>
      <c r="GG47" s="452"/>
      <c r="GH47" s="452"/>
      <c r="GI47" s="452"/>
      <c r="GJ47" s="452"/>
      <c r="GK47" s="452"/>
      <c r="GL47" s="452"/>
      <c r="GM47" s="452"/>
      <c r="GN47" s="452"/>
      <c r="GO47" s="452"/>
      <c r="GP47" s="452"/>
      <c r="GQ47" s="452"/>
      <c r="GR47" s="452"/>
      <c r="GS47" s="452"/>
      <c r="GT47" s="452"/>
      <c r="GU47" s="452"/>
      <c r="GV47" s="452"/>
      <c r="GW47" s="452"/>
      <c r="GX47" s="452"/>
      <c r="GY47" s="452"/>
      <c r="GZ47" s="452"/>
      <c r="HA47" s="452"/>
      <c r="HB47" s="452"/>
      <c r="HC47" s="452"/>
      <c r="HD47" s="452"/>
      <c r="HE47" s="452"/>
      <c r="HF47" s="452"/>
      <c r="HG47" s="452"/>
      <c r="HH47" s="452"/>
      <c r="HI47" s="452"/>
      <c r="HJ47" s="452"/>
      <c r="HK47" s="452"/>
      <c r="HL47" s="452"/>
      <c r="HM47" s="452"/>
      <c r="HN47" s="452"/>
      <c r="HO47" s="452"/>
      <c r="HP47" s="452"/>
      <c r="HQ47" s="452"/>
      <c r="HR47" s="452"/>
      <c r="HS47" s="452"/>
      <c r="HT47" s="452"/>
      <c r="HU47" s="452"/>
      <c r="HV47" s="452"/>
      <c r="HW47" s="452"/>
      <c r="HX47" s="452"/>
      <c r="HY47" s="452"/>
      <c r="HZ47" s="452"/>
      <c r="IA47" s="452"/>
      <c r="IB47" s="452"/>
      <c r="IC47" s="452"/>
      <c r="ID47" s="452"/>
      <c r="IE47" s="452"/>
      <c r="IF47" s="452"/>
      <c r="IG47" s="452"/>
      <c r="IH47" s="452"/>
      <c r="II47" s="452"/>
      <c r="IJ47" s="452"/>
      <c r="IK47" s="452"/>
      <c r="IL47" s="452"/>
      <c r="IM47" s="452"/>
      <c r="IN47" s="452"/>
      <c r="IO47" s="452"/>
      <c r="IP47" s="452"/>
      <c r="IQ47" s="452"/>
      <c r="IR47" s="452"/>
      <c r="IS47" s="452"/>
      <c r="IT47" s="452"/>
      <c r="IU47" s="452"/>
      <c r="IV47" s="452"/>
    </row>
    <row r="48" spans="1:256" ht="18.75" thickBot="1">
      <c r="A48" s="448" t="s">
        <v>1199</v>
      </c>
      <c r="B48" s="452"/>
      <c r="C48" s="470"/>
      <c r="D48" s="709">
        <f>ROUND(D17+D24+D45,3)</f>
        <v>3458.5610000000001</v>
      </c>
      <c r="E48" s="710"/>
      <c r="F48" s="709">
        <f>ROUND(F17+F24+F45,3)</f>
        <v>8868.732</v>
      </c>
      <c r="G48" s="710"/>
      <c r="H48" s="709">
        <f>ROUND(H17+H24+H45,3)</f>
        <v>8756.5460000000003</v>
      </c>
      <c r="I48" s="711"/>
      <c r="J48" s="709">
        <f>ROUND(J17+J24+J45,3)</f>
        <v>0</v>
      </c>
      <c r="K48" s="710"/>
      <c r="L48" s="709">
        <f>ROUND(L17+L24+L45,3)</f>
        <v>3570.7469999999998</v>
      </c>
      <c r="M48" s="460"/>
      <c r="N48" s="463"/>
      <c r="O48" s="465"/>
      <c r="P48" s="465"/>
      <c r="Q48" s="452"/>
      <c r="R48" s="452"/>
      <c r="S48" s="452"/>
      <c r="T48" s="452"/>
      <c r="U48" s="452"/>
      <c r="V48" s="452"/>
      <c r="W48" s="452"/>
      <c r="X48" s="452"/>
      <c r="Y48" s="452"/>
      <c r="Z48" s="452"/>
      <c r="AA48" s="452"/>
      <c r="AB48" s="452"/>
      <c r="AC48" s="452"/>
      <c r="AD48" s="452"/>
      <c r="AE48" s="452"/>
      <c r="AF48" s="452"/>
      <c r="AG48" s="452"/>
      <c r="AH48" s="452"/>
      <c r="AI48" s="452"/>
      <c r="AJ48" s="452"/>
      <c r="AK48" s="452"/>
      <c r="AL48" s="452"/>
      <c r="AM48" s="452"/>
      <c r="AN48" s="452"/>
      <c r="AO48" s="452"/>
      <c r="AP48" s="452"/>
      <c r="AQ48" s="452"/>
      <c r="AR48" s="452"/>
      <c r="AS48" s="452"/>
      <c r="AT48" s="452"/>
      <c r="AU48" s="452"/>
      <c r="AV48" s="452"/>
      <c r="AW48" s="452"/>
      <c r="AX48" s="452"/>
      <c r="AY48" s="452"/>
      <c r="AZ48" s="452"/>
      <c r="BA48" s="452"/>
      <c r="BB48" s="452"/>
      <c r="BC48" s="452"/>
      <c r="BD48" s="452"/>
      <c r="BE48" s="452"/>
      <c r="BF48" s="452"/>
      <c r="BG48" s="452"/>
      <c r="BH48" s="452"/>
      <c r="BI48" s="452"/>
      <c r="BJ48" s="452"/>
      <c r="BK48" s="452"/>
      <c r="BL48" s="452"/>
      <c r="BM48" s="452"/>
      <c r="BN48" s="452"/>
      <c r="BO48" s="452"/>
      <c r="BP48" s="452"/>
      <c r="BQ48" s="452"/>
      <c r="BR48" s="452"/>
      <c r="BS48" s="452"/>
      <c r="BT48" s="452"/>
      <c r="BU48" s="452"/>
      <c r="BV48" s="452"/>
      <c r="BW48" s="452"/>
      <c r="BX48" s="452"/>
      <c r="BY48" s="452"/>
      <c r="BZ48" s="452"/>
      <c r="CA48" s="452"/>
      <c r="CB48" s="452"/>
      <c r="CC48" s="452"/>
      <c r="CD48" s="452"/>
      <c r="CE48" s="452"/>
      <c r="CF48" s="452"/>
      <c r="CG48" s="452"/>
      <c r="CH48" s="452"/>
      <c r="CI48" s="452"/>
      <c r="CJ48" s="452"/>
      <c r="CK48" s="452"/>
      <c r="CL48" s="452"/>
      <c r="CM48" s="452"/>
      <c r="CN48" s="452"/>
      <c r="CO48" s="452"/>
      <c r="CP48" s="452"/>
      <c r="CQ48" s="452"/>
      <c r="CR48" s="452"/>
      <c r="CS48" s="452"/>
      <c r="CT48" s="452"/>
      <c r="CU48" s="452"/>
      <c r="CV48" s="452"/>
      <c r="CW48" s="452"/>
      <c r="CX48" s="452"/>
      <c r="CY48" s="452"/>
      <c r="CZ48" s="452"/>
      <c r="DA48" s="452"/>
      <c r="DB48" s="452"/>
      <c r="DC48" s="452"/>
      <c r="DD48" s="452"/>
      <c r="DE48" s="452"/>
      <c r="DF48" s="452"/>
      <c r="DG48" s="452"/>
      <c r="DH48" s="452"/>
      <c r="DI48" s="452"/>
      <c r="DJ48" s="452"/>
      <c r="DK48" s="452"/>
      <c r="DL48" s="452"/>
      <c r="DM48" s="452"/>
      <c r="DN48" s="452"/>
      <c r="DO48" s="452"/>
      <c r="DP48" s="452"/>
      <c r="DQ48" s="452"/>
      <c r="DR48" s="452"/>
      <c r="DS48" s="452"/>
      <c r="DT48" s="452"/>
      <c r="DU48" s="452"/>
      <c r="DV48" s="452"/>
      <c r="DW48" s="452"/>
      <c r="DX48" s="452"/>
      <c r="DY48" s="452"/>
      <c r="DZ48" s="452"/>
      <c r="EA48" s="452"/>
      <c r="EB48" s="452"/>
      <c r="EC48" s="452"/>
      <c r="ED48" s="452"/>
      <c r="EE48" s="452"/>
      <c r="EF48" s="452"/>
      <c r="EG48" s="452"/>
      <c r="EH48" s="452"/>
      <c r="EI48" s="452"/>
      <c r="EJ48" s="452"/>
      <c r="EK48" s="452"/>
      <c r="EL48" s="452"/>
      <c r="EM48" s="452"/>
      <c r="EN48" s="452"/>
      <c r="EO48" s="452"/>
      <c r="EP48" s="452"/>
      <c r="EQ48" s="452"/>
      <c r="ER48" s="452"/>
      <c r="ES48" s="452"/>
      <c r="ET48" s="452"/>
      <c r="EU48" s="452"/>
      <c r="EV48" s="452"/>
      <c r="EW48" s="452"/>
      <c r="EX48" s="452"/>
      <c r="EY48" s="452"/>
      <c r="EZ48" s="452"/>
      <c r="FA48" s="452"/>
      <c r="FB48" s="452"/>
      <c r="FC48" s="452"/>
      <c r="FD48" s="452"/>
      <c r="FE48" s="452"/>
      <c r="FF48" s="452"/>
      <c r="FG48" s="452"/>
      <c r="FH48" s="452"/>
      <c r="FI48" s="452"/>
      <c r="FJ48" s="452"/>
      <c r="FK48" s="452"/>
      <c r="FL48" s="452"/>
      <c r="FM48" s="452"/>
      <c r="FN48" s="452"/>
      <c r="FO48" s="452"/>
      <c r="FP48" s="452"/>
      <c r="FQ48" s="452"/>
      <c r="FR48" s="452"/>
      <c r="FS48" s="452"/>
      <c r="FT48" s="452"/>
      <c r="FU48" s="452"/>
      <c r="FV48" s="452"/>
      <c r="FW48" s="452"/>
      <c r="FX48" s="452"/>
      <c r="FY48" s="452"/>
      <c r="FZ48" s="452"/>
      <c r="GA48" s="452"/>
      <c r="GB48" s="452"/>
      <c r="GC48" s="452"/>
      <c r="GD48" s="452"/>
      <c r="GE48" s="452"/>
      <c r="GF48" s="452"/>
      <c r="GG48" s="452"/>
      <c r="GH48" s="452"/>
      <c r="GI48" s="452"/>
      <c r="GJ48" s="452"/>
      <c r="GK48" s="452"/>
      <c r="GL48" s="452"/>
      <c r="GM48" s="452"/>
      <c r="GN48" s="452"/>
      <c r="GO48" s="452"/>
      <c r="GP48" s="452"/>
      <c r="GQ48" s="452"/>
      <c r="GR48" s="452"/>
      <c r="GS48" s="452"/>
      <c r="GT48" s="452"/>
      <c r="GU48" s="452"/>
      <c r="GV48" s="452"/>
      <c r="GW48" s="452"/>
      <c r="GX48" s="452"/>
      <c r="GY48" s="452"/>
      <c r="GZ48" s="452"/>
      <c r="HA48" s="452"/>
      <c r="HB48" s="452"/>
      <c r="HC48" s="452"/>
      <c r="HD48" s="452"/>
      <c r="HE48" s="452"/>
      <c r="HF48" s="452"/>
      <c r="HG48" s="452"/>
      <c r="HH48" s="452"/>
      <c r="HI48" s="452"/>
      <c r="HJ48" s="452"/>
      <c r="HK48" s="452"/>
      <c r="HL48" s="452"/>
      <c r="HM48" s="452"/>
      <c r="HN48" s="452"/>
      <c r="HO48" s="452"/>
      <c r="HP48" s="452"/>
      <c r="HQ48" s="452"/>
      <c r="HR48" s="452"/>
      <c r="HS48" s="452"/>
      <c r="HT48" s="452"/>
      <c r="HU48" s="452"/>
      <c r="HV48" s="452"/>
      <c r="HW48" s="452"/>
      <c r="HX48" s="452"/>
      <c r="HY48" s="452"/>
      <c r="HZ48" s="452"/>
      <c r="IA48" s="452"/>
      <c r="IB48" s="452"/>
      <c r="IC48" s="452"/>
      <c r="ID48" s="452"/>
      <c r="IE48" s="452"/>
      <c r="IF48" s="452"/>
      <c r="IG48" s="452"/>
      <c r="IH48" s="452"/>
      <c r="II48" s="452"/>
      <c r="IJ48" s="452"/>
      <c r="IK48" s="452"/>
      <c r="IL48" s="452"/>
      <c r="IM48" s="452"/>
      <c r="IN48" s="452"/>
      <c r="IO48" s="452"/>
      <c r="IP48" s="452"/>
      <c r="IQ48" s="452"/>
      <c r="IR48" s="452"/>
      <c r="IS48" s="452"/>
      <c r="IT48" s="452"/>
      <c r="IU48" s="452"/>
      <c r="IV48" s="452"/>
    </row>
    <row r="49" spans="1:256" ht="12" customHeight="1" thickTop="1">
      <c r="A49" s="452"/>
      <c r="B49" s="452"/>
      <c r="C49" s="452"/>
      <c r="D49" s="712" t="s">
        <v>15</v>
      </c>
      <c r="E49" s="695"/>
      <c r="F49" s="712" t="s">
        <v>15</v>
      </c>
      <c r="G49" s="695"/>
      <c r="H49" s="712" t="s">
        <v>15</v>
      </c>
      <c r="I49" s="695"/>
      <c r="J49" s="694" t="s">
        <v>15</v>
      </c>
      <c r="K49" s="695"/>
      <c r="L49" s="712" t="s">
        <v>15</v>
      </c>
      <c r="M49" s="459"/>
      <c r="N49" s="452"/>
      <c r="O49" s="465"/>
      <c r="P49" s="465"/>
      <c r="Q49" s="452"/>
      <c r="R49" s="452"/>
      <c r="S49" s="452"/>
      <c r="T49" s="452"/>
      <c r="U49" s="452"/>
      <c r="V49" s="452"/>
      <c r="W49" s="452"/>
      <c r="X49" s="452"/>
      <c r="Y49" s="452"/>
      <c r="Z49" s="452"/>
      <c r="AA49" s="452"/>
      <c r="AB49" s="452"/>
      <c r="AC49" s="452"/>
      <c r="AD49" s="452"/>
      <c r="AE49" s="452"/>
      <c r="AF49" s="452"/>
      <c r="AG49" s="452"/>
      <c r="AH49" s="452"/>
      <c r="AI49" s="452"/>
      <c r="AJ49" s="452"/>
      <c r="AK49" s="452"/>
      <c r="AL49" s="452"/>
      <c r="AM49" s="452"/>
      <c r="AN49" s="452"/>
      <c r="AO49" s="452"/>
      <c r="AP49" s="452"/>
      <c r="AQ49" s="452"/>
      <c r="AR49" s="452"/>
      <c r="AS49" s="452"/>
      <c r="AT49" s="452"/>
      <c r="AU49" s="452"/>
      <c r="AV49" s="452"/>
      <c r="AW49" s="452"/>
      <c r="AX49" s="452"/>
      <c r="AY49" s="452"/>
      <c r="AZ49" s="452"/>
      <c r="BA49" s="452"/>
      <c r="BB49" s="452"/>
      <c r="BC49" s="452"/>
      <c r="BD49" s="452"/>
      <c r="BE49" s="452"/>
      <c r="BF49" s="452"/>
      <c r="BG49" s="452"/>
      <c r="BH49" s="452"/>
      <c r="BI49" s="452"/>
      <c r="BJ49" s="452"/>
      <c r="BK49" s="452"/>
      <c r="BL49" s="452"/>
      <c r="BM49" s="452"/>
      <c r="BN49" s="452"/>
      <c r="BO49" s="452"/>
      <c r="BP49" s="452"/>
      <c r="BQ49" s="452"/>
      <c r="BR49" s="452"/>
      <c r="BS49" s="452"/>
      <c r="BT49" s="452"/>
      <c r="BU49" s="452"/>
      <c r="BV49" s="452"/>
      <c r="BW49" s="452"/>
      <c r="BX49" s="452"/>
      <c r="BY49" s="452"/>
      <c r="BZ49" s="452"/>
      <c r="CA49" s="452"/>
      <c r="CB49" s="452"/>
      <c r="CC49" s="452"/>
      <c r="CD49" s="452"/>
      <c r="CE49" s="452"/>
      <c r="CF49" s="452"/>
      <c r="CG49" s="452"/>
      <c r="CH49" s="452"/>
      <c r="CI49" s="452"/>
      <c r="CJ49" s="452"/>
      <c r="CK49" s="452"/>
      <c r="CL49" s="452"/>
      <c r="CM49" s="452"/>
      <c r="CN49" s="452"/>
      <c r="CO49" s="452"/>
      <c r="CP49" s="452"/>
      <c r="CQ49" s="452"/>
      <c r="CR49" s="452"/>
      <c r="CS49" s="452"/>
      <c r="CT49" s="452"/>
      <c r="CU49" s="452"/>
      <c r="CV49" s="452"/>
      <c r="CW49" s="452"/>
      <c r="CX49" s="452"/>
      <c r="CY49" s="452"/>
      <c r="CZ49" s="452"/>
      <c r="DA49" s="452"/>
      <c r="DB49" s="452"/>
      <c r="DC49" s="452"/>
      <c r="DD49" s="452"/>
      <c r="DE49" s="452"/>
      <c r="DF49" s="452"/>
      <c r="DG49" s="452"/>
      <c r="DH49" s="452"/>
      <c r="DI49" s="452"/>
      <c r="DJ49" s="452"/>
      <c r="DK49" s="452"/>
      <c r="DL49" s="452"/>
      <c r="DM49" s="452"/>
      <c r="DN49" s="452"/>
      <c r="DO49" s="452"/>
      <c r="DP49" s="452"/>
      <c r="DQ49" s="452"/>
      <c r="DR49" s="452"/>
      <c r="DS49" s="452"/>
      <c r="DT49" s="452"/>
      <c r="DU49" s="452"/>
      <c r="DV49" s="452"/>
      <c r="DW49" s="452"/>
      <c r="DX49" s="452"/>
      <c r="DY49" s="452"/>
      <c r="DZ49" s="452"/>
      <c r="EA49" s="452"/>
      <c r="EB49" s="452"/>
      <c r="EC49" s="452"/>
      <c r="ED49" s="452"/>
      <c r="EE49" s="452"/>
      <c r="EF49" s="452"/>
      <c r="EG49" s="452"/>
      <c r="EH49" s="452"/>
      <c r="EI49" s="452"/>
      <c r="EJ49" s="452"/>
      <c r="EK49" s="452"/>
      <c r="EL49" s="452"/>
      <c r="EM49" s="452"/>
      <c r="EN49" s="452"/>
      <c r="EO49" s="452"/>
      <c r="EP49" s="452"/>
      <c r="EQ49" s="452"/>
      <c r="ER49" s="452"/>
      <c r="ES49" s="452"/>
      <c r="ET49" s="452"/>
      <c r="EU49" s="452"/>
      <c r="EV49" s="452"/>
      <c r="EW49" s="452"/>
      <c r="EX49" s="452"/>
      <c r="EY49" s="452"/>
      <c r="EZ49" s="452"/>
      <c r="FA49" s="452"/>
      <c r="FB49" s="452"/>
      <c r="FC49" s="452"/>
      <c r="FD49" s="452"/>
      <c r="FE49" s="452"/>
      <c r="FF49" s="452"/>
      <c r="FG49" s="452"/>
      <c r="FH49" s="452"/>
      <c r="FI49" s="452"/>
      <c r="FJ49" s="452"/>
      <c r="FK49" s="452"/>
      <c r="FL49" s="452"/>
      <c r="FM49" s="452"/>
      <c r="FN49" s="452"/>
      <c r="FO49" s="452"/>
      <c r="FP49" s="452"/>
      <c r="FQ49" s="452"/>
      <c r="FR49" s="452"/>
      <c r="FS49" s="452"/>
      <c r="FT49" s="452"/>
      <c r="FU49" s="452"/>
      <c r="FV49" s="452"/>
      <c r="FW49" s="452"/>
      <c r="FX49" s="452"/>
      <c r="FY49" s="452"/>
      <c r="FZ49" s="452"/>
      <c r="GA49" s="452"/>
      <c r="GB49" s="452"/>
      <c r="GC49" s="452"/>
      <c r="GD49" s="452"/>
      <c r="GE49" s="452"/>
      <c r="GF49" s="452"/>
      <c r="GG49" s="452"/>
      <c r="GH49" s="452"/>
      <c r="GI49" s="452"/>
      <c r="GJ49" s="452"/>
      <c r="GK49" s="452"/>
      <c r="GL49" s="452"/>
      <c r="GM49" s="452"/>
      <c r="GN49" s="452"/>
      <c r="GO49" s="452"/>
      <c r="GP49" s="452"/>
      <c r="GQ49" s="452"/>
      <c r="GR49" s="452"/>
      <c r="GS49" s="452"/>
      <c r="GT49" s="452"/>
      <c r="GU49" s="452"/>
      <c r="GV49" s="452"/>
      <c r="GW49" s="452"/>
      <c r="GX49" s="452"/>
      <c r="GY49" s="452"/>
      <c r="GZ49" s="452"/>
      <c r="HA49" s="452"/>
      <c r="HB49" s="452"/>
      <c r="HC49" s="452"/>
      <c r="HD49" s="452"/>
      <c r="HE49" s="452"/>
      <c r="HF49" s="452"/>
      <c r="HG49" s="452"/>
      <c r="HH49" s="452"/>
      <c r="HI49" s="452"/>
      <c r="HJ49" s="452"/>
      <c r="HK49" s="452"/>
      <c r="HL49" s="452"/>
      <c r="HM49" s="452"/>
      <c r="HN49" s="452"/>
      <c r="HO49" s="452"/>
      <c r="HP49" s="452"/>
      <c r="HQ49" s="452"/>
      <c r="HR49" s="452"/>
      <c r="HS49" s="452"/>
      <c r="HT49" s="452"/>
      <c r="HU49" s="452"/>
      <c r="HV49" s="452"/>
      <c r="HW49" s="452"/>
      <c r="HX49" s="452"/>
      <c r="HY49" s="452"/>
      <c r="HZ49" s="452"/>
      <c r="IA49" s="452"/>
      <c r="IB49" s="452"/>
      <c r="IC49" s="452"/>
      <c r="ID49" s="452"/>
      <c r="IE49" s="452"/>
      <c r="IF49" s="452"/>
      <c r="IG49" s="452"/>
      <c r="IH49" s="452"/>
      <c r="II49" s="452"/>
      <c r="IJ49" s="452"/>
      <c r="IK49" s="452"/>
      <c r="IL49" s="452"/>
      <c r="IM49" s="452"/>
      <c r="IN49" s="452"/>
      <c r="IO49" s="452"/>
      <c r="IP49" s="452"/>
      <c r="IQ49" s="452"/>
      <c r="IR49" s="452"/>
      <c r="IS49" s="452"/>
      <c r="IT49" s="452"/>
      <c r="IU49" s="452"/>
      <c r="IV49" s="452"/>
    </row>
    <row r="50" spans="1:256" ht="15.75" customHeight="1">
      <c r="A50" s="713"/>
      <c r="B50" s="452"/>
      <c r="C50" s="452"/>
      <c r="D50" s="452"/>
      <c r="E50" s="452"/>
      <c r="F50" s="452"/>
      <c r="G50" s="452"/>
      <c r="H50" s="452"/>
      <c r="I50" s="452"/>
      <c r="J50" s="452" t="s">
        <v>15</v>
      </c>
      <c r="K50" s="452"/>
      <c r="L50" s="452"/>
      <c r="M50" s="452"/>
      <c r="N50" s="452"/>
      <c r="O50" s="465"/>
      <c r="P50" s="465"/>
      <c r="Q50" s="452"/>
      <c r="R50" s="452"/>
      <c r="S50" s="452"/>
      <c r="T50" s="452"/>
      <c r="U50" s="452"/>
      <c r="V50" s="452"/>
      <c r="W50" s="452"/>
      <c r="X50" s="452"/>
      <c r="Y50" s="452"/>
      <c r="Z50" s="452"/>
      <c r="AA50" s="452"/>
      <c r="AB50" s="452"/>
      <c r="AC50" s="452"/>
      <c r="AD50" s="452"/>
      <c r="AE50" s="452"/>
      <c r="AF50" s="452"/>
      <c r="AG50" s="452"/>
      <c r="AH50" s="452"/>
      <c r="AI50" s="452"/>
      <c r="AJ50" s="452"/>
      <c r="AK50" s="452"/>
      <c r="AL50" s="452"/>
      <c r="AM50" s="452"/>
      <c r="AN50" s="452"/>
      <c r="AO50" s="452"/>
      <c r="AP50" s="452"/>
      <c r="AQ50" s="452"/>
      <c r="AR50" s="452"/>
      <c r="AS50" s="452"/>
      <c r="AT50" s="452"/>
      <c r="AU50" s="452"/>
      <c r="AV50" s="452"/>
      <c r="AW50" s="452"/>
      <c r="AX50" s="452"/>
      <c r="AY50" s="452"/>
      <c r="AZ50" s="452"/>
      <c r="BA50" s="452"/>
      <c r="BB50" s="452"/>
      <c r="BC50" s="452"/>
      <c r="BD50" s="452"/>
      <c r="BE50" s="452"/>
      <c r="BF50" s="452"/>
      <c r="BG50" s="452"/>
      <c r="BH50" s="452"/>
      <c r="BI50" s="452"/>
      <c r="BJ50" s="452"/>
      <c r="BK50" s="452"/>
      <c r="BL50" s="452"/>
      <c r="BM50" s="452"/>
      <c r="BN50" s="452"/>
      <c r="BO50" s="452"/>
      <c r="BP50" s="452"/>
      <c r="BQ50" s="452"/>
      <c r="BR50" s="452"/>
      <c r="BS50" s="452"/>
      <c r="BT50" s="452"/>
      <c r="BU50" s="452"/>
      <c r="BV50" s="452"/>
      <c r="BW50" s="452"/>
      <c r="BX50" s="452"/>
      <c r="BY50" s="452"/>
      <c r="BZ50" s="452"/>
      <c r="CA50" s="452"/>
      <c r="CB50" s="452"/>
      <c r="CC50" s="452"/>
      <c r="CD50" s="452"/>
      <c r="CE50" s="452"/>
      <c r="CF50" s="452"/>
      <c r="CG50" s="452"/>
      <c r="CH50" s="452"/>
      <c r="CI50" s="452"/>
      <c r="CJ50" s="452"/>
      <c r="CK50" s="452"/>
      <c r="CL50" s="452"/>
      <c r="CM50" s="452"/>
      <c r="CN50" s="452"/>
      <c r="CO50" s="452"/>
      <c r="CP50" s="452"/>
      <c r="CQ50" s="452"/>
      <c r="CR50" s="452"/>
      <c r="CS50" s="452"/>
      <c r="CT50" s="452"/>
      <c r="CU50" s="452"/>
      <c r="CV50" s="452"/>
      <c r="CW50" s="452"/>
      <c r="CX50" s="452"/>
      <c r="CY50" s="452"/>
      <c r="CZ50" s="452"/>
      <c r="DA50" s="452"/>
      <c r="DB50" s="452"/>
      <c r="DC50" s="452"/>
      <c r="DD50" s="452"/>
      <c r="DE50" s="452"/>
      <c r="DF50" s="452"/>
      <c r="DG50" s="452"/>
      <c r="DH50" s="452"/>
      <c r="DI50" s="452"/>
      <c r="DJ50" s="452"/>
      <c r="DK50" s="452"/>
      <c r="DL50" s="452"/>
      <c r="DM50" s="452"/>
      <c r="DN50" s="452"/>
      <c r="DO50" s="452"/>
      <c r="DP50" s="452"/>
      <c r="DQ50" s="452"/>
      <c r="DR50" s="452"/>
      <c r="DS50" s="452"/>
      <c r="DT50" s="452"/>
      <c r="DU50" s="452"/>
      <c r="DV50" s="452"/>
      <c r="DW50" s="452"/>
      <c r="DX50" s="452"/>
      <c r="DY50" s="452"/>
      <c r="DZ50" s="452"/>
      <c r="EA50" s="452"/>
      <c r="EB50" s="452"/>
      <c r="EC50" s="452"/>
      <c r="ED50" s="452"/>
      <c r="EE50" s="452"/>
      <c r="EF50" s="452"/>
      <c r="EG50" s="452"/>
      <c r="EH50" s="452"/>
      <c r="EI50" s="452"/>
      <c r="EJ50" s="452"/>
      <c r="EK50" s="452"/>
      <c r="EL50" s="452"/>
      <c r="EM50" s="452"/>
      <c r="EN50" s="452"/>
      <c r="EO50" s="452"/>
      <c r="EP50" s="452"/>
      <c r="EQ50" s="452"/>
      <c r="ER50" s="452"/>
      <c r="ES50" s="452"/>
      <c r="ET50" s="452"/>
      <c r="EU50" s="452"/>
      <c r="EV50" s="452"/>
      <c r="EW50" s="452"/>
      <c r="EX50" s="452"/>
      <c r="EY50" s="452"/>
      <c r="EZ50" s="452"/>
      <c r="FA50" s="452"/>
      <c r="FB50" s="452"/>
      <c r="FC50" s="452"/>
      <c r="FD50" s="452"/>
      <c r="FE50" s="452"/>
      <c r="FF50" s="452"/>
      <c r="FG50" s="452"/>
      <c r="FH50" s="452"/>
      <c r="FI50" s="452"/>
      <c r="FJ50" s="452"/>
      <c r="FK50" s="452"/>
      <c r="FL50" s="452"/>
      <c r="FM50" s="452"/>
      <c r="FN50" s="452"/>
      <c r="FO50" s="452"/>
      <c r="FP50" s="452"/>
      <c r="FQ50" s="452"/>
      <c r="FR50" s="452"/>
      <c r="FS50" s="452"/>
      <c r="FT50" s="452"/>
      <c r="FU50" s="452"/>
      <c r="FV50" s="452"/>
      <c r="FW50" s="452"/>
      <c r="FX50" s="452"/>
      <c r="FY50" s="452"/>
      <c r="FZ50" s="452"/>
      <c r="GA50" s="452"/>
      <c r="GB50" s="452"/>
      <c r="GC50" s="452"/>
      <c r="GD50" s="452"/>
      <c r="GE50" s="452"/>
      <c r="GF50" s="452"/>
      <c r="GG50" s="452"/>
      <c r="GH50" s="452"/>
      <c r="GI50" s="452"/>
      <c r="GJ50" s="452"/>
      <c r="GK50" s="452"/>
      <c r="GL50" s="452"/>
      <c r="GM50" s="452"/>
      <c r="GN50" s="452"/>
      <c r="GO50" s="452"/>
      <c r="GP50" s="452"/>
      <c r="GQ50" s="452"/>
      <c r="GR50" s="452"/>
      <c r="GS50" s="452"/>
      <c r="GT50" s="452"/>
      <c r="GU50" s="452"/>
      <c r="GV50" s="452"/>
      <c r="GW50" s="452"/>
      <c r="GX50" s="452"/>
      <c r="GY50" s="452"/>
      <c r="GZ50" s="452"/>
      <c r="HA50" s="452"/>
      <c r="HB50" s="452"/>
      <c r="HC50" s="452"/>
      <c r="HD50" s="452"/>
      <c r="HE50" s="452"/>
      <c r="HF50" s="452"/>
      <c r="HG50" s="452"/>
      <c r="HH50" s="452"/>
      <c r="HI50" s="452"/>
      <c r="HJ50" s="452"/>
      <c r="HK50" s="452"/>
      <c r="HL50" s="452"/>
      <c r="HM50" s="452"/>
      <c r="HN50" s="452"/>
      <c r="HO50" s="452"/>
      <c r="HP50" s="452"/>
      <c r="HQ50" s="452"/>
      <c r="HR50" s="452"/>
      <c r="HS50" s="452"/>
      <c r="HT50" s="452"/>
      <c r="HU50" s="452"/>
      <c r="HV50" s="452"/>
      <c r="HW50" s="452"/>
      <c r="HX50" s="452"/>
      <c r="HY50" s="452"/>
      <c r="HZ50" s="452"/>
      <c r="IA50" s="452"/>
      <c r="IB50" s="452"/>
      <c r="IC50" s="452"/>
      <c r="ID50" s="452"/>
      <c r="IE50" s="452"/>
      <c r="IF50" s="452"/>
      <c r="IG50" s="452"/>
      <c r="IH50" s="452"/>
      <c r="II50" s="452"/>
      <c r="IJ50" s="452"/>
      <c r="IK50" s="452"/>
      <c r="IL50" s="452"/>
      <c r="IM50" s="452"/>
      <c r="IN50" s="452"/>
      <c r="IO50" s="452"/>
      <c r="IP50" s="452"/>
      <c r="IQ50" s="452"/>
      <c r="IR50" s="452"/>
      <c r="IS50" s="452"/>
      <c r="IT50" s="452"/>
      <c r="IU50" s="452"/>
      <c r="IV50" s="452"/>
    </row>
    <row r="51" spans="1:256" ht="18">
      <c r="A51" s="452"/>
      <c r="B51" s="452"/>
      <c r="C51" s="452"/>
      <c r="D51" s="463" t="s">
        <v>15</v>
      </c>
      <c r="E51" s="452"/>
      <c r="F51" s="1695" t="s">
        <v>15</v>
      </c>
      <c r="G51" s="452"/>
      <c r="H51" s="452"/>
      <c r="I51" s="452"/>
      <c r="J51" s="452" t="s">
        <v>15</v>
      </c>
      <c r="K51" s="452"/>
      <c r="L51" s="466"/>
      <c r="M51" s="452"/>
      <c r="N51" s="452"/>
      <c r="O51" s="465"/>
      <c r="P51" s="465"/>
      <c r="Q51" s="452"/>
      <c r="R51" s="452"/>
      <c r="S51" s="452"/>
      <c r="T51" s="452"/>
      <c r="U51" s="452"/>
      <c r="V51" s="452"/>
      <c r="W51" s="452"/>
      <c r="X51" s="452"/>
      <c r="Y51" s="452"/>
      <c r="Z51" s="452"/>
      <c r="AA51" s="452"/>
      <c r="AB51" s="452"/>
      <c r="AC51" s="452"/>
      <c r="AD51" s="452"/>
      <c r="AE51" s="452"/>
      <c r="AF51" s="452"/>
      <c r="AG51" s="452"/>
      <c r="AH51" s="452"/>
      <c r="AI51" s="452"/>
      <c r="AJ51" s="452"/>
      <c r="AK51" s="452"/>
      <c r="AL51" s="452"/>
      <c r="AM51" s="452"/>
      <c r="AN51" s="452"/>
      <c r="AO51" s="452"/>
      <c r="AP51" s="452"/>
      <c r="AQ51" s="452"/>
      <c r="AR51" s="452"/>
      <c r="AS51" s="452"/>
      <c r="AT51" s="452"/>
      <c r="AU51" s="452"/>
      <c r="AV51" s="452"/>
      <c r="AW51" s="452"/>
      <c r="AX51" s="452"/>
      <c r="AY51" s="452"/>
      <c r="AZ51" s="452"/>
      <c r="BA51" s="452"/>
      <c r="BB51" s="452"/>
      <c r="BC51" s="452"/>
      <c r="BD51" s="452"/>
      <c r="BE51" s="452"/>
      <c r="BF51" s="452"/>
      <c r="BG51" s="452"/>
      <c r="BH51" s="452"/>
      <c r="BI51" s="452"/>
      <c r="BJ51" s="452"/>
      <c r="BK51" s="452"/>
      <c r="BL51" s="452"/>
      <c r="BM51" s="452"/>
      <c r="BN51" s="452"/>
      <c r="BO51" s="452"/>
      <c r="BP51" s="452"/>
      <c r="BQ51" s="452"/>
      <c r="BR51" s="452"/>
      <c r="BS51" s="452"/>
      <c r="BT51" s="452"/>
      <c r="BU51" s="452"/>
      <c r="BV51" s="452"/>
      <c r="BW51" s="452"/>
      <c r="BX51" s="452"/>
      <c r="BY51" s="452"/>
      <c r="BZ51" s="452"/>
      <c r="CA51" s="452"/>
      <c r="CB51" s="452"/>
      <c r="CC51" s="452"/>
      <c r="CD51" s="452"/>
      <c r="CE51" s="452"/>
      <c r="CF51" s="452"/>
      <c r="CG51" s="452"/>
      <c r="CH51" s="452"/>
      <c r="CI51" s="452"/>
      <c r="CJ51" s="452"/>
      <c r="CK51" s="452"/>
      <c r="CL51" s="452"/>
      <c r="CM51" s="452"/>
      <c r="CN51" s="452"/>
      <c r="CO51" s="452"/>
      <c r="CP51" s="452"/>
      <c r="CQ51" s="452"/>
      <c r="CR51" s="452"/>
      <c r="CS51" s="452"/>
      <c r="CT51" s="452"/>
      <c r="CU51" s="452"/>
      <c r="CV51" s="452"/>
      <c r="CW51" s="452"/>
      <c r="CX51" s="452"/>
      <c r="CY51" s="452"/>
      <c r="CZ51" s="452"/>
      <c r="DA51" s="452"/>
      <c r="DB51" s="452"/>
      <c r="DC51" s="452"/>
      <c r="DD51" s="452"/>
      <c r="DE51" s="452"/>
      <c r="DF51" s="452"/>
      <c r="DG51" s="452"/>
      <c r="DH51" s="452"/>
      <c r="DI51" s="452"/>
      <c r="DJ51" s="452"/>
      <c r="DK51" s="452"/>
      <c r="DL51" s="452"/>
      <c r="DM51" s="452"/>
      <c r="DN51" s="452"/>
      <c r="DO51" s="452"/>
      <c r="DP51" s="452"/>
      <c r="DQ51" s="452"/>
      <c r="DR51" s="452"/>
      <c r="DS51" s="452"/>
      <c r="DT51" s="452"/>
      <c r="DU51" s="452"/>
      <c r="DV51" s="452"/>
      <c r="DW51" s="452"/>
      <c r="DX51" s="452"/>
      <c r="DY51" s="452"/>
      <c r="DZ51" s="452"/>
      <c r="EA51" s="452"/>
      <c r="EB51" s="452"/>
      <c r="EC51" s="452"/>
      <c r="ED51" s="452"/>
      <c r="EE51" s="452"/>
      <c r="EF51" s="452"/>
      <c r="EG51" s="452"/>
      <c r="EH51" s="452"/>
      <c r="EI51" s="452"/>
      <c r="EJ51" s="452"/>
      <c r="EK51" s="452"/>
      <c r="EL51" s="452"/>
      <c r="EM51" s="452"/>
      <c r="EN51" s="452"/>
      <c r="EO51" s="452"/>
      <c r="EP51" s="452"/>
      <c r="EQ51" s="452"/>
      <c r="ER51" s="452"/>
      <c r="ES51" s="452"/>
      <c r="ET51" s="452"/>
      <c r="EU51" s="452"/>
      <c r="EV51" s="452"/>
      <c r="EW51" s="452"/>
      <c r="EX51" s="452"/>
      <c r="EY51" s="452"/>
      <c r="EZ51" s="452"/>
      <c r="FA51" s="452"/>
      <c r="FB51" s="452"/>
      <c r="FC51" s="452"/>
      <c r="FD51" s="452"/>
      <c r="FE51" s="452"/>
      <c r="FF51" s="452"/>
      <c r="FG51" s="452"/>
      <c r="FH51" s="452"/>
      <c r="FI51" s="452"/>
      <c r="FJ51" s="452"/>
      <c r="FK51" s="452"/>
      <c r="FL51" s="452"/>
      <c r="FM51" s="452"/>
      <c r="FN51" s="452"/>
      <c r="FO51" s="452"/>
      <c r="FP51" s="452"/>
      <c r="FQ51" s="452"/>
      <c r="FR51" s="452"/>
      <c r="FS51" s="452"/>
      <c r="FT51" s="452"/>
      <c r="FU51" s="452"/>
      <c r="FV51" s="452"/>
      <c r="FW51" s="452"/>
      <c r="FX51" s="452"/>
      <c r="FY51" s="452"/>
      <c r="FZ51" s="452"/>
      <c r="GA51" s="452"/>
      <c r="GB51" s="452"/>
      <c r="GC51" s="452"/>
      <c r="GD51" s="452"/>
      <c r="GE51" s="452"/>
      <c r="GF51" s="452"/>
      <c r="GG51" s="452"/>
      <c r="GH51" s="452"/>
      <c r="GI51" s="452"/>
      <c r="GJ51" s="452"/>
      <c r="GK51" s="452"/>
      <c r="GL51" s="452"/>
      <c r="GM51" s="452"/>
      <c r="GN51" s="452"/>
      <c r="GO51" s="452"/>
      <c r="GP51" s="452"/>
      <c r="GQ51" s="452"/>
      <c r="GR51" s="452"/>
      <c r="GS51" s="452"/>
      <c r="GT51" s="452"/>
      <c r="GU51" s="452"/>
      <c r="GV51" s="452"/>
      <c r="GW51" s="452"/>
      <c r="GX51" s="452"/>
      <c r="GY51" s="452"/>
      <c r="GZ51" s="452"/>
      <c r="HA51" s="452"/>
      <c r="HB51" s="452"/>
      <c r="HC51" s="452"/>
      <c r="HD51" s="452"/>
      <c r="HE51" s="452"/>
      <c r="HF51" s="452"/>
      <c r="HG51" s="452"/>
      <c r="HH51" s="452"/>
      <c r="HI51" s="452"/>
      <c r="HJ51" s="452"/>
      <c r="HK51" s="452"/>
      <c r="HL51" s="452"/>
      <c r="HM51" s="452"/>
      <c r="HN51" s="452"/>
      <c r="HO51" s="452"/>
      <c r="HP51" s="452"/>
      <c r="HQ51" s="452"/>
      <c r="HR51" s="452"/>
      <c r="HS51" s="452"/>
      <c r="HT51" s="452"/>
      <c r="HU51" s="452"/>
      <c r="HV51" s="452"/>
      <c r="HW51" s="452"/>
      <c r="HX51" s="452"/>
      <c r="HY51" s="452"/>
      <c r="HZ51" s="452"/>
      <c r="IA51" s="452"/>
      <c r="IB51" s="452"/>
      <c r="IC51" s="452"/>
      <c r="ID51" s="452"/>
      <c r="IE51" s="452"/>
      <c r="IF51" s="452"/>
      <c r="IG51" s="452"/>
      <c r="IH51" s="452"/>
      <c r="II51" s="452"/>
      <c r="IJ51" s="452"/>
      <c r="IK51" s="452"/>
      <c r="IL51" s="452"/>
      <c r="IM51" s="452"/>
      <c r="IN51" s="452"/>
      <c r="IO51" s="452"/>
      <c r="IP51" s="452"/>
      <c r="IQ51" s="452"/>
      <c r="IR51" s="452"/>
      <c r="IS51" s="452"/>
      <c r="IT51" s="452"/>
      <c r="IU51" s="452"/>
      <c r="IV51" s="452"/>
    </row>
    <row r="52" spans="1:256" ht="18">
      <c r="A52" s="463"/>
      <c r="B52" s="452"/>
      <c r="C52" s="452"/>
      <c r="D52" s="452"/>
      <c r="E52" s="452"/>
      <c r="F52" s="452"/>
      <c r="G52" s="452"/>
      <c r="H52" s="452"/>
      <c r="I52" s="452"/>
      <c r="J52" s="452" t="s">
        <v>15</v>
      </c>
      <c r="K52" s="452"/>
      <c r="L52" s="452"/>
      <c r="M52" s="452"/>
      <c r="N52" s="452"/>
      <c r="O52" s="465"/>
      <c r="P52" s="465"/>
      <c r="Q52" s="452"/>
      <c r="R52" s="452"/>
      <c r="S52" s="452"/>
      <c r="T52" s="452"/>
      <c r="U52" s="452"/>
      <c r="V52" s="452"/>
      <c r="W52" s="452"/>
      <c r="X52" s="452"/>
      <c r="Y52" s="452"/>
      <c r="Z52" s="452"/>
      <c r="AA52" s="452"/>
      <c r="AB52" s="452"/>
      <c r="AC52" s="452"/>
      <c r="AD52" s="452"/>
      <c r="AE52" s="452"/>
      <c r="AF52" s="452"/>
      <c r="AG52" s="452"/>
      <c r="AH52" s="452"/>
      <c r="AI52" s="452"/>
      <c r="AJ52" s="452"/>
      <c r="AK52" s="452"/>
      <c r="AL52" s="452"/>
      <c r="AM52" s="452"/>
      <c r="AN52" s="452"/>
      <c r="AO52" s="452"/>
      <c r="AP52" s="452"/>
      <c r="AQ52" s="452"/>
      <c r="AR52" s="452"/>
      <c r="AS52" s="452"/>
      <c r="AT52" s="452"/>
      <c r="AU52" s="452"/>
      <c r="AV52" s="452"/>
      <c r="AW52" s="452"/>
      <c r="AX52" s="452"/>
      <c r="AY52" s="452"/>
      <c r="AZ52" s="452"/>
      <c r="BA52" s="452"/>
      <c r="BB52" s="452"/>
      <c r="BC52" s="452"/>
      <c r="BD52" s="452"/>
      <c r="BE52" s="452"/>
      <c r="BF52" s="452"/>
      <c r="BG52" s="452"/>
      <c r="BH52" s="452"/>
      <c r="BI52" s="452"/>
      <c r="BJ52" s="452"/>
      <c r="BK52" s="452"/>
      <c r="BL52" s="452"/>
      <c r="BM52" s="452"/>
      <c r="BN52" s="452"/>
      <c r="BO52" s="452"/>
      <c r="BP52" s="452"/>
      <c r="BQ52" s="452"/>
      <c r="BR52" s="452"/>
      <c r="BS52" s="452"/>
      <c r="BT52" s="452"/>
      <c r="BU52" s="452"/>
      <c r="BV52" s="452"/>
      <c r="BW52" s="452"/>
      <c r="BX52" s="452"/>
      <c r="BY52" s="452"/>
      <c r="BZ52" s="452"/>
      <c r="CA52" s="452"/>
      <c r="CB52" s="452"/>
      <c r="CC52" s="452"/>
      <c r="CD52" s="452"/>
      <c r="CE52" s="452"/>
      <c r="CF52" s="452"/>
      <c r="CG52" s="452"/>
      <c r="CH52" s="452"/>
      <c r="CI52" s="452"/>
      <c r="CJ52" s="452"/>
      <c r="CK52" s="452"/>
      <c r="CL52" s="452"/>
      <c r="CM52" s="452"/>
      <c r="CN52" s="452"/>
      <c r="CO52" s="452"/>
      <c r="CP52" s="452"/>
      <c r="CQ52" s="452"/>
      <c r="CR52" s="452"/>
      <c r="CS52" s="452"/>
      <c r="CT52" s="452"/>
      <c r="CU52" s="452"/>
      <c r="CV52" s="452"/>
      <c r="CW52" s="452"/>
      <c r="CX52" s="452"/>
      <c r="CY52" s="452"/>
      <c r="CZ52" s="452"/>
      <c r="DA52" s="452"/>
      <c r="DB52" s="452"/>
      <c r="DC52" s="452"/>
      <c r="DD52" s="452"/>
      <c r="DE52" s="452"/>
      <c r="DF52" s="452"/>
      <c r="DG52" s="452"/>
      <c r="DH52" s="452"/>
      <c r="DI52" s="452"/>
      <c r="DJ52" s="452"/>
      <c r="DK52" s="452"/>
      <c r="DL52" s="452"/>
      <c r="DM52" s="452"/>
      <c r="DN52" s="452"/>
      <c r="DO52" s="452"/>
      <c r="DP52" s="452"/>
      <c r="DQ52" s="452"/>
      <c r="DR52" s="452"/>
      <c r="DS52" s="452"/>
      <c r="DT52" s="452"/>
      <c r="DU52" s="452"/>
      <c r="DV52" s="452"/>
      <c r="DW52" s="452"/>
      <c r="DX52" s="452"/>
      <c r="DY52" s="452"/>
      <c r="DZ52" s="452"/>
      <c r="EA52" s="452"/>
      <c r="EB52" s="452"/>
      <c r="EC52" s="452"/>
      <c r="ED52" s="452"/>
      <c r="EE52" s="452"/>
      <c r="EF52" s="452"/>
      <c r="EG52" s="452"/>
      <c r="EH52" s="452"/>
      <c r="EI52" s="452"/>
      <c r="EJ52" s="452"/>
      <c r="EK52" s="452"/>
      <c r="EL52" s="452"/>
      <c r="EM52" s="452"/>
      <c r="EN52" s="452"/>
      <c r="EO52" s="452"/>
      <c r="EP52" s="452"/>
      <c r="EQ52" s="452"/>
      <c r="ER52" s="452"/>
      <c r="ES52" s="452"/>
      <c r="ET52" s="452"/>
      <c r="EU52" s="452"/>
      <c r="EV52" s="452"/>
      <c r="EW52" s="452"/>
      <c r="EX52" s="452"/>
      <c r="EY52" s="452"/>
      <c r="EZ52" s="452"/>
      <c r="FA52" s="452"/>
      <c r="FB52" s="452"/>
      <c r="FC52" s="452"/>
      <c r="FD52" s="452"/>
      <c r="FE52" s="452"/>
      <c r="FF52" s="452"/>
      <c r="FG52" s="452"/>
      <c r="FH52" s="452"/>
      <c r="FI52" s="452"/>
      <c r="FJ52" s="452"/>
      <c r="FK52" s="452"/>
      <c r="FL52" s="452"/>
      <c r="FM52" s="452"/>
      <c r="FN52" s="452"/>
      <c r="FO52" s="452"/>
      <c r="FP52" s="452"/>
      <c r="FQ52" s="452"/>
      <c r="FR52" s="452"/>
      <c r="FS52" s="452"/>
      <c r="FT52" s="452"/>
      <c r="FU52" s="452"/>
      <c r="FV52" s="452"/>
      <c r="FW52" s="452"/>
      <c r="FX52" s="452"/>
      <c r="FY52" s="452"/>
      <c r="FZ52" s="452"/>
      <c r="GA52" s="452"/>
      <c r="GB52" s="452"/>
      <c r="GC52" s="452"/>
      <c r="GD52" s="452"/>
      <c r="GE52" s="452"/>
      <c r="GF52" s="452"/>
      <c r="GG52" s="452"/>
      <c r="GH52" s="452"/>
      <c r="GI52" s="452"/>
      <c r="GJ52" s="452"/>
      <c r="GK52" s="452"/>
      <c r="GL52" s="452"/>
      <c r="GM52" s="452"/>
      <c r="GN52" s="452"/>
      <c r="GO52" s="452"/>
      <c r="GP52" s="452"/>
      <c r="GQ52" s="452"/>
      <c r="GR52" s="452"/>
      <c r="GS52" s="452"/>
      <c r="GT52" s="452"/>
      <c r="GU52" s="452"/>
      <c r="GV52" s="452"/>
      <c r="GW52" s="452"/>
      <c r="GX52" s="452"/>
      <c r="GY52" s="452"/>
      <c r="GZ52" s="452"/>
      <c r="HA52" s="452"/>
      <c r="HB52" s="452"/>
      <c r="HC52" s="452"/>
      <c r="HD52" s="452"/>
      <c r="HE52" s="452"/>
      <c r="HF52" s="452"/>
      <c r="HG52" s="452"/>
      <c r="HH52" s="452"/>
      <c r="HI52" s="452"/>
      <c r="HJ52" s="452"/>
      <c r="HK52" s="452"/>
      <c r="HL52" s="452"/>
      <c r="HM52" s="452"/>
      <c r="HN52" s="452"/>
      <c r="HO52" s="452"/>
      <c r="HP52" s="452"/>
      <c r="HQ52" s="452"/>
      <c r="HR52" s="452"/>
      <c r="HS52" s="452"/>
      <c r="HT52" s="452"/>
      <c r="HU52" s="452"/>
      <c r="HV52" s="452"/>
      <c r="HW52" s="452"/>
      <c r="HX52" s="452"/>
      <c r="HY52" s="452"/>
      <c r="HZ52" s="452"/>
      <c r="IA52" s="452"/>
      <c r="IB52" s="452"/>
      <c r="IC52" s="452"/>
      <c r="ID52" s="452"/>
      <c r="IE52" s="452"/>
      <c r="IF52" s="452"/>
      <c r="IG52" s="452"/>
      <c r="IH52" s="452"/>
      <c r="II52" s="452"/>
      <c r="IJ52" s="452"/>
      <c r="IK52" s="452"/>
      <c r="IL52" s="452"/>
      <c r="IM52" s="452"/>
      <c r="IN52" s="452"/>
      <c r="IO52" s="452"/>
      <c r="IP52" s="452"/>
      <c r="IQ52" s="452"/>
      <c r="IR52" s="452"/>
      <c r="IS52" s="452"/>
      <c r="IT52" s="452"/>
      <c r="IU52" s="452"/>
      <c r="IV52" s="452"/>
    </row>
    <row r="53" spans="1:256" ht="18">
      <c r="A53" s="463"/>
      <c r="B53" s="452"/>
      <c r="C53" s="452"/>
      <c r="D53" s="452"/>
      <c r="E53" s="452"/>
      <c r="F53" s="452"/>
      <c r="G53" s="452"/>
      <c r="H53" s="452"/>
      <c r="I53" s="452"/>
      <c r="J53" s="452"/>
      <c r="K53" s="452"/>
      <c r="L53" s="452"/>
      <c r="M53" s="452"/>
      <c r="N53" s="452"/>
      <c r="O53" s="465"/>
      <c r="P53" s="465"/>
      <c r="Q53" s="452"/>
      <c r="R53" s="452"/>
      <c r="S53" s="452"/>
      <c r="T53" s="452"/>
      <c r="U53" s="452"/>
      <c r="V53" s="452"/>
      <c r="W53" s="452"/>
      <c r="X53" s="452"/>
      <c r="Y53" s="452"/>
      <c r="Z53" s="452"/>
      <c r="AA53" s="452"/>
      <c r="AB53" s="452"/>
      <c r="AC53" s="452"/>
      <c r="AD53" s="452"/>
      <c r="AE53" s="452"/>
      <c r="AF53" s="452"/>
      <c r="AG53" s="452"/>
      <c r="AH53" s="452"/>
      <c r="AI53" s="452"/>
      <c r="AJ53" s="452"/>
      <c r="AK53" s="452"/>
      <c r="AL53" s="452"/>
      <c r="AM53" s="452"/>
      <c r="AN53" s="452"/>
      <c r="AO53" s="452"/>
      <c r="AP53" s="452"/>
      <c r="AQ53" s="452"/>
      <c r="AR53" s="452"/>
      <c r="AS53" s="452"/>
      <c r="AT53" s="452"/>
      <c r="AU53" s="452"/>
      <c r="AV53" s="452"/>
      <c r="AW53" s="452"/>
      <c r="AX53" s="452"/>
      <c r="AY53" s="452"/>
      <c r="AZ53" s="452"/>
      <c r="BA53" s="452"/>
      <c r="BB53" s="452"/>
      <c r="BC53" s="452"/>
      <c r="BD53" s="452"/>
      <c r="BE53" s="452"/>
      <c r="BF53" s="452"/>
      <c r="BG53" s="452"/>
      <c r="BH53" s="452"/>
      <c r="BI53" s="452"/>
      <c r="BJ53" s="452"/>
      <c r="BK53" s="452"/>
      <c r="BL53" s="452"/>
      <c r="BM53" s="452"/>
      <c r="BN53" s="452"/>
      <c r="BO53" s="452"/>
      <c r="BP53" s="452"/>
      <c r="BQ53" s="452"/>
      <c r="BR53" s="452"/>
      <c r="BS53" s="452"/>
      <c r="BT53" s="452"/>
      <c r="BU53" s="452"/>
      <c r="BV53" s="452"/>
      <c r="BW53" s="452"/>
      <c r="BX53" s="452"/>
      <c r="BY53" s="452"/>
      <c r="BZ53" s="452"/>
      <c r="CA53" s="452"/>
      <c r="CB53" s="452"/>
      <c r="CC53" s="452"/>
      <c r="CD53" s="452"/>
      <c r="CE53" s="452"/>
      <c r="CF53" s="452"/>
      <c r="CG53" s="452"/>
      <c r="CH53" s="452"/>
      <c r="CI53" s="452"/>
      <c r="CJ53" s="452"/>
      <c r="CK53" s="452"/>
      <c r="CL53" s="452"/>
      <c r="CM53" s="452"/>
      <c r="CN53" s="452"/>
      <c r="CO53" s="452"/>
      <c r="CP53" s="452"/>
      <c r="CQ53" s="452"/>
      <c r="CR53" s="452"/>
      <c r="CS53" s="452"/>
      <c r="CT53" s="452"/>
      <c r="CU53" s="452"/>
      <c r="CV53" s="452"/>
      <c r="CW53" s="452"/>
      <c r="CX53" s="452"/>
      <c r="CY53" s="452"/>
      <c r="CZ53" s="452"/>
      <c r="DA53" s="452"/>
      <c r="DB53" s="452"/>
      <c r="DC53" s="452"/>
      <c r="DD53" s="452"/>
      <c r="DE53" s="452"/>
      <c r="DF53" s="452"/>
      <c r="DG53" s="452"/>
      <c r="DH53" s="452"/>
      <c r="DI53" s="452"/>
      <c r="DJ53" s="452"/>
      <c r="DK53" s="452"/>
      <c r="DL53" s="452"/>
      <c r="DM53" s="452"/>
      <c r="DN53" s="452"/>
      <c r="DO53" s="452"/>
      <c r="DP53" s="452"/>
      <c r="DQ53" s="452"/>
      <c r="DR53" s="452"/>
      <c r="DS53" s="452"/>
      <c r="DT53" s="452"/>
      <c r="DU53" s="452"/>
      <c r="DV53" s="452"/>
      <c r="DW53" s="452"/>
      <c r="DX53" s="452"/>
      <c r="DY53" s="452"/>
      <c r="DZ53" s="452"/>
      <c r="EA53" s="452"/>
      <c r="EB53" s="452"/>
      <c r="EC53" s="452"/>
      <c r="ED53" s="452"/>
      <c r="EE53" s="452"/>
      <c r="EF53" s="452"/>
      <c r="EG53" s="452"/>
      <c r="EH53" s="452"/>
      <c r="EI53" s="452"/>
      <c r="EJ53" s="452"/>
      <c r="EK53" s="452"/>
      <c r="EL53" s="452"/>
      <c r="EM53" s="452"/>
      <c r="EN53" s="452"/>
      <c r="EO53" s="452"/>
      <c r="EP53" s="452"/>
      <c r="EQ53" s="452"/>
      <c r="ER53" s="452"/>
      <c r="ES53" s="452"/>
      <c r="ET53" s="452"/>
      <c r="EU53" s="452"/>
      <c r="EV53" s="452"/>
      <c r="EW53" s="452"/>
      <c r="EX53" s="452"/>
      <c r="EY53" s="452"/>
      <c r="EZ53" s="452"/>
      <c r="FA53" s="452"/>
      <c r="FB53" s="452"/>
      <c r="FC53" s="452"/>
      <c r="FD53" s="452"/>
      <c r="FE53" s="452"/>
      <c r="FF53" s="452"/>
      <c r="FG53" s="452"/>
      <c r="FH53" s="452"/>
      <c r="FI53" s="452"/>
      <c r="FJ53" s="452"/>
      <c r="FK53" s="452"/>
      <c r="FL53" s="452"/>
      <c r="FM53" s="452"/>
      <c r="FN53" s="452"/>
      <c r="FO53" s="452"/>
      <c r="FP53" s="452"/>
      <c r="FQ53" s="452"/>
      <c r="FR53" s="452"/>
      <c r="FS53" s="452"/>
      <c r="FT53" s="452"/>
      <c r="FU53" s="452"/>
      <c r="FV53" s="452"/>
      <c r="FW53" s="452"/>
      <c r="FX53" s="452"/>
      <c r="FY53" s="452"/>
      <c r="FZ53" s="452"/>
      <c r="GA53" s="452"/>
      <c r="GB53" s="452"/>
      <c r="GC53" s="452"/>
      <c r="GD53" s="452"/>
      <c r="GE53" s="452"/>
      <c r="GF53" s="452"/>
      <c r="GG53" s="452"/>
      <c r="GH53" s="452"/>
      <c r="GI53" s="452"/>
      <c r="GJ53" s="452"/>
      <c r="GK53" s="452"/>
      <c r="GL53" s="452"/>
      <c r="GM53" s="452"/>
      <c r="GN53" s="452"/>
      <c r="GO53" s="452"/>
      <c r="GP53" s="452"/>
      <c r="GQ53" s="452"/>
      <c r="GR53" s="452"/>
      <c r="GS53" s="452"/>
      <c r="GT53" s="452"/>
      <c r="GU53" s="452"/>
      <c r="GV53" s="452"/>
      <c r="GW53" s="452"/>
      <c r="GX53" s="452"/>
      <c r="GY53" s="452"/>
      <c r="GZ53" s="452"/>
      <c r="HA53" s="452"/>
      <c r="HB53" s="452"/>
      <c r="HC53" s="452"/>
      <c r="HD53" s="452"/>
      <c r="HE53" s="452"/>
      <c r="HF53" s="452"/>
      <c r="HG53" s="452"/>
      <c r="HH53" s="452"/>
      <c r="HI53" s="452"/>
      <c r="HJ53" s="452"/>
      <c r="HK53" s="452"/>
      <c r="HL53" s="452"/>
      <c r="HM53" s="452"/>
      <c r="HN53" s="452"/>
      <c r="HO53" s="452"/>
      <c r="HP53" s="452"/>
      <c r="HQ53" s="452"/>
      <c r="HR53" s="452"/>
      <c r="HS53" s="452"/>
      <c r="HT53" s="452"/>
      <c r="HU53" s="452"/>
      <c r="HV53" s="452"/>
      <c r="HW53" s="452"/>
      <c r="HX53" s="452"/>
      <c r="HY53" s="452"/>
      <c r="HZ53" s="452"/>
      <c r="IA53" s="452"/>
      <c r="IB53" s="452"/>
      <c r="IC53" s="452"/>
      <c r="ID53" s="452"/>
      <c r="IE53" s="452"/>
      <c r="IF53" s="452"/>
      <c r="IG53" s="452"/>
      <c r="IH53" s="452"/>
      <c r="II53" s="452"/>
      <c r="IJ53" s="452"/>
      <c r="IK53" s="452"/>
      <c r="IL53" s="452"/>
      <c r="IM53" s="452"/>
      <c r="IN53" s="452"/>
      <c r="IO53" s="452"/>
      <c r="IP53" s="452"/>
      <c r="IQ53" s="452"/>
      <c r="IR53" s="452"/>
      <c r="IS53" s="452"/>
      <c r="IT53" s="452"/>
      <c r="IU53" s="452"/>
      <c r="IV53" s="452"/>
    </row>
    <row r="54" spans="1:256" ht="18">
      <c r="A54" s="463"/>
      <c r="B54" s="452"/>
      <c r="C54" s="452"/>
      <c r="D54" s="452"/>
      <c r="E54" s="452"/>
      <c r="F54" s="452"/>
      <c r="G54" s="452"/>
      <c r="H54" s="452"/>
      <c r="I54" s="452"/>
      <c r="J54" s="452"/>
      <c r="K54" s="452"/>
      <c r="L54" s="452"/>
      <c r="M54" s="452"/>
      <c r="N54" s="452"/>
      <c r="O54" s="465"/>
      <c r="P54" s="465"/>
      <c r="Q54" s="452"/>
      <c r="R54" s="452"/>
      <c r="S54" s="452"/>
      <c r="T54" s="452"/>
      <c r="U54" s="452"/>
      <c r="V54" s="452"/>
      <c r="W54" s="452"/>
      <c r="X54" s="452"/>
      <c r="Y54" s="452"/>
      <c r="Z54" s="452"/>
      <c r="AA54" s="452"/>
      <c r="AB54" s="452"/>
      <c r="AC54" s="452"/>
      <c r="AD54" s="452"/>
      <c r="AE54" s="452"/>
      <c r="AF54" s="452"/>
      <c r="AG54" s="452"/>
      <c r="AH54" s="452"/>
      <c r="AI54" s="452"/>
      <c r="AJ54" s="452"/>
      <c r="AK54" s="452"/>
      <c r="AL54" s="452"/>
      <c r="AM54" s="452"/>
      <c r="AN54" s="452"/>
      <c r="AO54" s="452"/>
      <c r="AP54" s="452"/>
      <c r="AQ54" s="452"/>
      <c r="AR54" s="452"/>
      <c r="AS54" s="452"/>
      <c r="AT54" s="452"/>
      <c r="AU54" s="452"/>
      <c r="AV54" s="452"/>
      <c r="AW54" s="452"/>
      <c r="AX54" s="452"/>
      <c r="AY54" s="452"/>
      <c r="AZ54" s="452"/>
      <c r="BA54" s="452"/>
      <c r="BB54" s="452"/>
      <c r="BC54" s="452"/>
      <c r="BD54" s="452"/>
      <c r="BE54" s="452"/>
      <c r="BF54" s="452"/>
      <c r="BG54" s="452"/>
      <c r="BH54" s="452"/>
      <c r="BI54" s="452"/>
      <c r="BJ54" s="452"/>
      <c r="BK54" s="452"/>
      <c r="BL54" s="452"/>
      <c r="BM54" s="452"/>
      <c r="BN54" s="452"/>
      <c r="BO54" s="452"/>
      <c r="BP54" s="452"/>
      <c r="BQ54" s="452"/>
      <c r="BR54" s="452"/>
      <c r="BS54" s="452"/>
      <c r="BT54" s="452"/>
      <c r="BU54" s="452"/>
      <c r="BV54" s="452"/>
      <c r="BW54" s="452"/>
      <c r="BX54" s="452"/>
      <c r="BY54" s="452"/>
      <c r="BZ54" s="452"/>
      <c r="CA54" s="452"/>
      <c r="CB54" s="452"/>
      <c r="CC54" s="452"/>
      <c r="CD54" s="452"/>
      <c r="CE54" s="452"/>
      <c r="CF54" s="452"/>
      <c r="CG54" s="452"/>
      <c r="CH54" s="452"/>
      <c r="CI54" s="452"/>
      <c r="CJ54" s="452"/>
      <c r="CK54" s="452"/>
      <c r="CL54" s="452"/>
      <c r="CM54" s="452"/>
      <c r="CN54" s="452"/>
      <c r="CO54" s="452"/>
      <c r="CP54" s="452"/>
      <c r="CQ54" s="452"/>
      <c r="CR54" s="452"/>
      <c r="CS54" s="452"/>
      <c r="CT54" s="452"/>
      <c r="CU54" s="452"/>
      <c r="CV54" s="452"/>
      <c r="CW54" s="452"/>
      <c r="CX54" s="452"/>
      <c r="CY54" s="452"/>
      <c r="CZ54" s="452"/>
      <c r="DA54" s="452"/>
      <c r="DB54" s="452"/>
      <c r="DC54" s="452"/>
      <c r="DD54" s="452"/>
      <c r="DE54" s="452"/>
      <c r="DF54" s="452"/>
      <c r="DG54" s="452"/>
      <c r="DH54" s="452"/>
      <c r="DI54" s="452"/>
      <c r="DJ54" s="452"/>
      <c r="DK54" s="452"/>
      <c r="DL54" s="452"/>
      <c r="DM54" s="452"/>
      <c r="DN54" s="452"/>
      <c r="DO54" s="452"/>
      <c r="DP54" s="452"/>
      <c r="DQ54" s="452"/>
      <c r="DR54" s="452"/>
      <c r="DS54" s="452"/>
      <c r="DT54" s="452"/>
      <c r="DU54" s="452"/>
      <c r="DV54" s="452"/>
      <c r="DW54" s="452"/>
      <c r="DX54" s="452"/>
      <c r="DY54" s="452"/>
      <c r="DZ54" s="452"/>
      <c r="EA54" s="452"/>
      <c r="EB54" s="452"/>
      <c r="EC54" s="452"/>
      <c r="ED54" s="452"/>
      <c r="EE54" s="452"/>
      <c r="EF54" s="452"/>
      <c r="EG54" s="452"/>
      <c r="EH54" s="452"/>
      <c r="EI54" s="452"/>
      <c r="EJ54" s="452"/>
      <c r="EK54" s="452"/>
      <c r="EL54" s="452"/>
      <c r="EM54" s="452"/>
      <c r="EN54" s="452"/>
      <c r="EO54" s="452"/>
      <c r="EP54" s="452"/>
      <c r="EQ54" s="452"/>
      <c r="ER54" s="452"/>
      <c r="ES54" s="452"/>
      <c r="ET54" s="452"/>
      <c r="EU54" s="452"/>
      <c r="EV54" s="452"/>
      <c r="EW54" s="452"/>
      <c r="EX54" s="452"/>
      <c r="EY54" s="452"/>
      <c r="EZ54" s="452"/>
      <c r="FA54" s="452"/>
      <c r="FB54" s="452"/>
      <c r="FC54" s="452"/>
      <c r="FD54" s="452"/>
      <c r="FE54" s="452"/>
      <c r="FF54" s="452"/>
      <c r="FG54" s="452"/>
      <c r="FH54" s="452"/>
      <c r="FI54" s="452"/>
      <c r="FJ54" s="452"/>
      <c r="FK54" s="452"/>
      <c r="FL54" s="452"/>
      <c r="FM54" s="452"/>
      <c r="FN54" s="452"/>
      <c r="FO54" s="452"/>
      <c r="FP54" s="452"/>
      <c r="FQ54" s="452"/>
      <c r="FR54" s="452"/>
      <c r="FS54" s="452"/>
      <c r="FT54" s="452"/>
      <c r="FU54" s="452"/>
      <c r="FV54" s="452"/>
      <c r="FW54" s="452"/>
      <c r="FX54" s="452"/>
      <c r="FY54" s="452"/>
      <c r="FZ54" s="452"/>
      <c r="GA54" s="452"/>
      <c r="GB54" s="452"/>
      <c r="GC54" s="452"/>
      <c r="GD54" s="452"/>
      <c r="GE54" s="452"/>
      <c r="GF54" s="452"/>
      <c r="GG54" s="452"/>
      <c r="GH54" s="452"/>
      <c r="GI54" s="452"/>
      <c r="GJ54" s="452"/>
      <c r="GK54" s="452"/>
      <c r="GL54" s="452"/>
      <c r="GM54" s="452"/>
      <c r="GN54" s="452"/>
      <c r="GO54" s="452"/>
      <c r="GP54" s="452"/>
      <c r="GQ54" s="452"/>
      <c r="GR54" s="452"/>
      <c r="GS54" s="452"/>
      <c r="GT54" s="452"/>
      <c r="GU54" s="452"/>
      <c r="GV54" s="452"/>
      <c r="GW54" s="452"/>
      <c r="GX54" s="452"/>
      <c r="GY54" s="452"/>
      <c r="GZ54" s="452"/>
      <c r="HA54" s="452"/>
      <c r="HB54" s="452"/>
      <c r="HC54" s="452"/>
      <c r="HD54" s="452"/>
      <c r="HE54" s="452"/>
      <c r="HF54" s="452"/>
      <c r="HG54" s="452"/>
      <c r="HH54" s="452"/>
      <c r="HI54" s="452"/>
      <c r="HJ54" s="452"/>
      <c r="HK54" s="452"/>
      <c r="HL54" s="452"/>
      <c r="HM54" s="452"/>
      <c r="HN54" s="452"/>
      <c r="HO54" s="452"/>
      <c r="HP54" s="452"/>
      <c r="HQ54" s="452"/>
      <c r="HR54" s="452"/>
      <c r="HS54" s="452"/>
      <c r="HT54" s="452"/>
      <c r="HU54" s="452"/>
      <c r="HV54" s="452"/>
      <c r="HW54" s="452"/>
      <c r="HX54" s="452"/>
      <c r="HY54" s="452"/>
      <c r="HZ54" s="452"/>
      <c r="IA54" s="452"/>
      <c r="IB54" s="452"/>
      <c r="IC54" s="452"/>
      <c r="ID54" s="452"/>
      <c r="IE54" s="452"/>
      <c r="IF54" s="452"/>
      <c r="IG54" s="452"/>
      <c r="IH54" s="452"/>
      <c r="II54" s="452"/>
      <c r="IJ54" s="452"/>
      <c r="IK54" s="452"/>
      <c r="IL54" s="452"/>
      <c r="IM54" s="452"/>
      <c r="IN54" s="452"/>
      <c r="IO54" s="452"/>
      <c r="IP54" s="452"/>
      <c r="IQ54" s="452"/>
      <c r="IR54" s="452"/>
      <c r="IS54" s="452"/>
      <c r="IT54" s="452"/>
      <c r="IU54" s="452"/>
      <c r="IV54" s="452"/>
    </row>
    <row r="55" spans="1:256" ht="18">
      <c r="A55" s="463"/>
      <c r="B55" s="452"/>
      <c r="C55" s="452"/>
      <c r="D55" s="452"/>
      <c r="E55" s="452"/>
      <c r="F55" s="452"/>
      <c r="G55" s="452"/>
      <c r="H55" s="452"/>
      <c r="I55" s="452"/>
      <c r="J55" s="452"/>
      <c r="K55" s="452"/>
      <c r="L55" s="452"/>
      <c r="M55" s="452"/>
      <c r="N55" s="452"/>
      <c r="O55" s="465"/>
      <c r="P55" s="465"/>
      <c r="Q55" s="452"/>
      <c r="R55" s="452"/>
      <c r="S55" s="452"/>
      <c r="T55" s="452"/>
      <c r="U55" s="452"/>
      <c r="V55" s="452"/>
      <c r="W55" s="452"/>
      <c r="X55" s="452"/>
      <c r="Y55" s="452"/>
      <c r="Z55" s="452"/>
      <c r="AA55" s="452"/>
      <c r="AB55" s="452"/>
      <c r="AC55" s="452"/>
      <c r="AD55" s="452"/>
      <c r="AE55" s="452"/>
      <c r="AF55" s="452"/>
      <c r="AG55" s="452"/>
      <c r="AH55" s="452"/>
      <c r="AI55" s="452"/>
      <c r="AJ55" s="452"/>
      <c r="AK55" s="452"/>
      <c r="AL55" s="452"/>
      <c r="AM55" s="452"/>
      <c r="AN55" s="452"/>
      <c r="AO55" s="452"/>
      <c r="AP55" s="452"/>
      <c r="AQ55" s="452"/>
      <c r="AR55" s="452"/>
      <c r="AS55" s="452"/>
      <c r="AT55" s="452"/>
      <c r="AU55" s="452"/>
      <c r="AV55" s="452"/>
      <c r="AW55" s="452"/>
      <c r="AX55" s="452"/>
      <c r="AY55" s="452"/>
      <c r="AZ55" s="452"/>
      <c r="BA55" s="452"/>
      <c r="BB55" s="452"/>
      <c r="BC55" s="452"/>
      <c r="BD55" s="452"/>
      <c r="BE55" s="452"/>
      <c r="BF55" s="452"/>
      <c r="BG55" s="452"/>
      <c r="BH55" s="452"/>
      <c r="BI55" s="452"/>
      <c r="BJ55" s="452"/>
      <c r="BK55" s="452"/>
      <c r="BL55" s="452"/>
      <c r="BM55" s="452"/>
      <c r="BN55" s="452"/>
      <c r="BO55" s="452"/>
      <c r="BP55" s="452"/>
      <c r="BQ55" s="452"/>
      <c r="BR55" s="452"/>
      <c r="BS55" s="452"/>
      <c r="BT55" s="452"/>
      <c r="BU55" s="452"/>
      <c r="BV55" s="452"/>
      <c r="BW55" s="452"/>
      <c r="BX55" s="452"/>
      <c r="BY55" s="452"/>
      <c r="BZ55" s="452"/>
      <c r="CA55" s="452"/>
      <c r="CB55" s="452"/>
      <c r="CC55" s="452"/>
      <c r="CD55" s="452"/>
      <c r="CE55" s="452"/>
      <c r="CF55" s="452"/>
      <c r="CG55" s="452"/>
      <c r="CH55" s="452"/>
      <c r="CI55" s="452"/>
      <c r="CJ55" s="452"/>
      <c r="CK55" s="452"/>
      <c r="CL55" s="452"/>
      <c r="CM55" s="452"/>
      <c r="CN55" s="452"/>
      <c r="CO55" s="452"/>
      <c r="CP55" s="452"/>
      <c r="CQ55" s="452"/>
      <c r="CR55" s="452"/>
      <c r="CS55" s="452"/>
      <c r="CT55" s="452"/>
      <c r="CU55" s="452"/>
      <c r="CV55" s="452"/>
      <c r="CW55" s="452"/>
      <c r="CX55" s="452"/>
      <c r="CY55" s="452"/>
      <c r="CZ55" s="452"/>
      <c r="DA55" s="452"/>
      <c r="DB55" s="452"/>
      <c r="DC55" s="452"/>
      <c r="DD55" s="452"/>
      <c r="DE55" s="452"/>
      <c r="DF55" s="452"/>
      <c r="DG55" s="452"/>
      <c r="DH55" s="452"/>
      <c r="DI55" s="452"/>
      <c r="DJ55" s="452"/>
      <c r="DK55" s="452"/>
      <c r="DL55" s="452"/>
      <c r="DM55" s="452"/>
      <c r="DN55" s="452"/>
      <c r="DO55" s="452"/>
      <c r="DP55" s="452"/>
      <c r="DQ55" s="452"/>
      <c r="DR55" s="452"/>
      <c r="DS55" s="452"/>
      <c r="DT55" s="452"/>
      <c r="DU55" s="452"/>
      <c r="DV55" s="452"/>
      <c r="DW55" s="452"/>
      <c r="DX55" s="452"/>
      <c r="DY55" s="452"/>
      <c r="DZ55" s="452"/>
      <c r="EA55" s="452"/>
      <c r="EB55" s="452"/>
      <c r="EC55" s="452"/>
      <c r="ED55" s="452"/>
      <c r="EE55" s="452"/>
      <c r="EF55" s="452"/>
      <c r="EG55" s="452"/>
      <c r="EH55" s="452"/>
      <c r="EI55" s="452"/>
      <c r="EJ55" s="452"/>
      <c r="EK55" s="452"/>
      <c r="EL55" s="452"/>
      <c r="EM55" s="452"/>
      <c r="EN55" s="452"/>
      <c r="EO55" s="452"/>
      <c r="EP55" s="452"/>
      <c r="EQ55" s="452"/>
      <c r="ER55" s="452"/>
      <c r="ES55" s="452"/>
      <c r="ET55" s="452"/>
      <c r="EU55" s="452"/>
      <c r="EV55" s="452"/>
      <c r="EW55" s="452"/>
      <c r="EX55" s="452"/>
      <c r="EY55" s="452"/>
      <c r="EZ55" s="452"/>
      <c r="FA55" s="452"/>
      <c r="FB55" s="452"/>
      <c r="FC55" s="452"/>
      <c r="FD55" s="452"/>
      <c r="FE55" s="452"/>
      <c r="FF55" s="452"/>
      <c r="FG55" s="452"/>
      <c r="FH55" s="452"/>
      <c r="FI55" s="452"/>
      <c r="FJ55" s="452"/>
      <c r="FK55" s="452"/>
      <c r="FL55" s="452"/>
      <c r="FM55" s="452"/>
      <c r="FN55" s="452"/>
      <c r="FO55" s="452"/>
      <c r="FP55" s="452"/>
      <c r="FQ55" s="452"/>
      <c r="FR55" s="452"/>
      <c r="FS55" s="452"/>
      <c r="FT55" s="452"/>
      <c r="FU55" s="452"/>
      <c r="FV55" s="452"/>
      <c r="FW55" s="452"/>
      <c r="FX55" s="452"/>
      <c r="FY55" s="452"/>
      <c r="FZ55" s="452"/>
      <c r="GA55" s="452"/>
      <c r="GB55" s="452"/>
      <c r="GC55" s="452"/>
      <c r="GD55" s="452"/>
      <c r="GE55" s="452"/>
      <c r="GF55" s="452"/>
      <c r="GG55" s="452"/>
      <c r="GH55" s="452"/>
      <c r="GI55" s="452"/>
      <c r="GJ55" s="452"/>
      <c r="GK55" s="452"/>
      <c r="GL55" s="452"/>
      <c r="GM55" s="452"/>
      <c r="GN55" s="452"/>
      <c r="GO55" s="452"/>
      <c r="GP55" s="452"/>
      <c r="GQ55" s="452"/>
      <c r="GR55" s="452"/>
      <c r="GS55" s="452"/>
      <c r="GT55" s="452"/>
      <c r="GU55" s="452"/>
      <c r="GV55" s="452"/>
      <c r="GW55" s="452"/>
      <c r="GX55" s="452"/>
      <c r="GY55" s="452"/>
      <c r="GZ55" s="452"/>
      <c r="HA55" s="452"/>
      <c r="HB55" s="452"/>
      <c r="HC55" s="452"/>
      <c r="HD55" s="452"/>
      <c r="HE55" s="452"/>
      <c r="HF55" s="452"/>
      <c r="HG55" s="452"/>
      <c r="HH55" s="452"/>
      <c r="HI55" s="452"/>
      <c r="HJ55" s="452"/>
      <c r="HK55" s="452"/>
      <c r="HL55" s="452"/>
      <c r="HM55" s="452"/>
      <c r="HN55" s="452"/>
      <c r="HO55" s="452"/>
      <c r="HP55" s="452"/>
      <c r="HQ55" s="452"/>
      <c r="HR55" s="452"/>
      <c r="HS55" s="452"/>
      <c r="HT55" s="452"/>
      <c r="HU55" s="452"/>
      <c r="HV55" s="452"/>
      <c r="HW55" s="452"/>
      <c r="HX55" s="452"/>
      <c r="HY55" s="452"/>
      <c r="HZ55" s="452"/>
      <c r="IA55" s="452"/>
      <c r="IB55" s="452"/>
      <c r="IC55" s="452"/>
      <c r="ID55" s="452"/>
      <c r="IE55" s="452"/>
      <c r="IF55" s="452"/>
      <c r="IG55" s="452"/>
      <c r="IH55" s="452"/>
      <c r="II55" s="452"/>
      <c r="IJ55" s="452"/>
      <c r="IK55" s="452"/>
      <c r="IL55" s="452"/>
      <c r="IM55" s="452"/>
      <c r="IN55" s="452"/>
      <c r="IO55" s="452"/>
      <c r="IP55" s="452"/>
      <c r="IQ55" s="452"/>
      <c r="IR55" s="452"/>
      <c r="IS55" s="452"/>
      <c r="IT55" s="452"/>
      <c r="IU55" s="452"/>
      <c r="IV55" s="452"/>
    </row>
    <row r="56" spans="1:256" ht="18">
      <c r="A56" s="463"/>
      <c r="B56" s="452"/>
      <c r="C56" s="452"/>
      <c r="D56" s="452"/>
      <c r="E56" s="452"/>
      <c r="F56" s="452"/>
      <c r="G56" s="452"/>
      <c r="H56" s="452"/>
      <c r="I56" s="452"/>
      <c r="J56" s="452"/>
      <c r="K56" s="452"/>
      <c r="L56" s="452"/>
      <c r="M56" s="452"/>
      <c r="N56" s="452"/>
      <c r="O56" s="465"/>
      <c r="P56" s="465"/>
      <c r="Q56" s="452"/>
      <c r="R56" s="452"/>
      <c r="S56" s="452"/>
      <c r="T56" s="452"/>
      <c r="U56" s="452"/>
      <c r="V56" s="452"/>
      <c r="W56" s="452"/>
      <c r="X56" s="452"/>
      <c r="Y56" s="452"/>
      <c r="Z56" s="452"/>
      <c r="AA56" s="452"/>
      <c r="AB56" s="452"/>
      <c r="AC56" s="452"/>
      <c r="AD56" s="452"/>
      <c r="AE56" s="452"/>
      <c r="AF56" s="452"/>
      <c r="AG56" s="452"/>
      <c r="AH56" s="452"/>
      <c r="AI56" s="452"/>
      <c r="AJ56" s="452"/>
      <c r="AK56" s="452"/>
      <c r="AL56" s="452"/>
      <c r="AM56" s="452"/>
      <c r="AN56" s="452"/>
      <c r="AO56" s="452"/>
      <c r="AP56" s="452"/>
      <c r="AQ56" s="452"/>
      <c r="AR56" s="452"/>
      <c r="AS56" s="452"/>
      <c r="AT56" s="452"/>
      <c r="AU56" s="452"/>
      <c r="AV56" s="452"/>
      <c r="AW56" s="452"/>
      <c r="AX56" s="452"/>
      <c r="AY56" s="452"/>
      <c r="AZ56" s="452"/>
      <c r="BA56" s="452"/>
      <c r="BB56" s="452"/>
      <c r="BC56" s="452"/>
      <c r="BD56" s="452"/>
      <c r="BE56" s="452"/>
      <c r="BF56" s="452"/>
      <c r="BG56" s="452"/>
      <c r="BH56" s="452"/>
      <c r="BI56" s="452"/>
      <c r="BJ56" s="452"/>
      <c r="BK56" s="452"/>
      <c r="BL56" s="452"/>
      <c r="BM56" s="452"/>
      <c r="BN56" s="452"/>
      <c r="BO56" s="452"/>
      <c r="BP56" s="452"/>
      <c r="BQ56" s="452"/>
      <c r="BR56" s="452"/>
      <c r="BS56" s="452"/>
      <c r="BT56" s="452"/>
      <c r="BU56" s="452"/>
      <c r="BV56" s="452"/>
      <c r="BW56" s="452"/>
      <c r="BX56" s="452"/>
      <c r="BY56" s="452"/>
      <c r="BZ56" s="452"/>
      <c r="CA56" s="452"/>
      <c r="CB56" s="452"/>
      <c r="CC56" s="452"/>
      <c r="CD56" s="452"/>
      <c r="CE56" s="452"/>
      <c r="CF56" s="452"/>
      <c r="CG56" s="452"/>
      <c r="CH56" s="452"/>
      <c r="CI56" s="452"/>
      <c r="CJ56" s="452"/>
      <c r="CK56" s="452"/>
      <c r="CL56" s="452"/>
      <c r="CM56" s="452"/>
      <c r="CN56" s="452"/>
      <c r="CO56" s="452"/>
      <c r="CP56" s="452"/>
      <c r="CQ56" s="452"/>
      <c r="CR56" s="452"/>
      <c r="CS56" s="452"/>
      <c r="CT56" s="452"/>
      <c r="CU56" s="452"/>
      <c r="CV56" s="452"/>
      <c r="CW56" s="452"/>
      <c r="CX56" s="452"/>
      <c r="CY56" s="452"/>
      <c r="CZ56" s="452"/>
      <c r="DA56" s="452"/>
      <c r="DB56" s="452"/>
      <c r="DC56" s="452"/>
      <c r="DD56" s="452"/>
      <c r="DE56" s="452"/>
      <c r="DF56" s="452"/>
      <c r="DG56" s="452"/>
      <c r="DH56" s="452"/>
      <c r="DI56" s="452"/>
      <c r="DJ56" s="452"/>
      <c r="DK56" s="452"/>
      <c r="DL56" s="452"/>
      <c r="DM56" s="452"/>
      <c r="DN56" s="452"/>
      <c r="DO56" s="452"/>
      <c r="DP56" s="452"/>
      <c r="DQ56" s="452"/>
      <c r="DR56" s="452"/>
      <c r="DS56" s="452"/>
      <c r="DT56" s="452"/>
      <c r="DU56" s="452"/>
      <c r="DV56" s="452"/>
      <c r="DW56" s="452"/>
      <c r="DX56" s="452"/>
      <c r="DY56" s="452"/>
      <c r="DZ56" s="452"/>
      <c r="EA56" s="452"/>
      <c r="EB56" s="452"/>
      <c r="EC56" s="452"/>
      <c r="ED56" s="452"/>
      <c r="EE56" s="452"/>
      <c r="EF56" s="452"/>
      <c r="EG56" s="452"/>
      <c r="EH56" s="452"/>
      <c r="EI56" s="452"/>
      <c r="EJ56" s="452"/>
      <c r="EK56" s="452"/>
      <c r="EL56" s="452"/>
      <c r="EM56" s="452"/>
      <c r="EN56" s="452"/>
      <c r="EO56" s="452"/>
      <c r="EP56" s="452"/>
      <c r="EQ56" s="452"/>
      <c r="ER56" s="452"/>
      <c r="ES56" s="452"/>
      <c r="ET56" s="452"/>
      <c r="EU56" s="452"/>
      <c r="EV56" s="452"/>
      <c r="EW56" s="452"/>
      <c r="EX56" s="452"/>
      <c r="EY56" s="452"/>
      <c r="EZ56" s="452"/>
      <c r="FA56" s="452"/>
      <c r="FB56" s="452"/>
      <c r="FC56" s="452"/>
      <c r="FD56" s="452"/>
      <c r="FE56" s="452"/>
      <c r="FF56" s="452"/>
      <c r="FG56" s="452"/>
      <c r="FH56" s="452"/>
      <c r="FI56" s="452"/>
      <c r="FJ56" s="452"/>
      <c r="FK56" s="452"/>
      <c r="FL56" s="452"/>
      <c r="FM56" s="452"/>
      <c r="FN56" s="452"/>
      <c r="FO56" s="452"/>
      <c r="FP56" s="452"/>
      <c r="FQ56" s="452"/>
      <c r="FR56" s="452"/>
      <c r="FS56" s="452"/>
      <c r="FT56" s="452"/>
      <c r="FU56" s="452"/>
      <c r="FV56" s="452"/>
      <c r="FW56" s="452"/>
      <c r="FX56" s="452"/>
      <c r="FY56" s="452"/>
      <c r="FZ56" s="452"/>
      <c r="GA56" s="452"/>
      <c r="GB56" s="452"/>
      <c r="GC56" s="452"/>
      <c r="GD56" s="452"/>
      <c r="GE56" s="452"/>
      <c r="GF56" s="452"/>
      <c r="GG56" s="452"/>
      <c r="GH56" s="452"/>
      <c r="GI56" s="452"/>
      <c r="GJ56" s="452"/>
      <c r="GK56" s="452"/>
      <c r="GL56" s="452"/>
      <c r="GM56" s="452"/>
      <c r="GN56" s="452"/>
      <c r="GO56" s="452"/>
      <c r="GP56" s="452"/>
      <c r="GQ56" s="452"/>
      <c r="GR56" s="452"/>
      <c r="GS56" s="452"/>
      <c r="GT56" s="452"/>
      <c r="GU56" s="452"/>
      <c r="GV56" s="452"/>
      <c r="GW56" s="452"/>
      <c r="GX56" s="452"/>
      <c r="GY56" s="452"/>
      <c r="GZ56" s="452"/>
      <c r="HA56" s="452"/>
      <c r="HB56" s="452"/>
      <c r="HC56" s="452"/>
      <c r="HD56" s="452"/>
      <c r="HE56" s="452"/>
      <c r="HF56" s="452"/>
      <c r="HG56" s="452"/>
      <c r="HH56" s="452"/>
      <c r="HI56" s="452"/>
      <c r="HJ56" s="452"/>
      <c r="HK56" s="452"/>
      <c r="HL56" s="452"/>
      <c r="HM56" s="452"/>
      <c r="HN56" s="452"/>
      <c r="HO56" s="452"/>
      <c r="HP56" s="452"/>
      <c r="HQ56" s="452"/>
      <c r="HR56" s="452"/>
      <c r="HS56" s="452"/>
      <c r="HT56" s="452"/>
      <c r="HU56" s="452"/>
      <c r="HV56" s="452"/>
      <c r="HW56" s="452"/>
      <c r="HX56" s="452"/>
      <c r="HY56" s="452"/>
      <c r="HZ56" s="452"/>
      <c r="IA56" s="452"/>
      <c r="IB56" s="452"/>
      <c r="IC56" s="452"/>
      <c r="ID56" s="452"/>
      <c r="IE56" s="452"/>
      <c r="IF56" s="452"/>
      <c r="IG56" s="452"/>
      <c r="IH56" s="452"/>
      <c r="II56" s="452"/>
      <c r="IJ56" s="452"/>
      <c r="IK56" s="452"/>
      <c r="IL56" s="452"/>
      <c r="IM56" s="452"/>
      <c r="IN56" s="452"/>
      <c r="IO56" s="452"/>
      <c r="IP56" s="452"/>
      <c r="IQ56" s="452"/>
      <c r="IR56" s="452"/>
      <c r="IS56" s="452"/>
      <c r="IT56" s="452"/>
      <c r="IU56" s="452"/>
      <c r="IV56" s="452"/>
    </row>
    <row r="57" spans="1:256" ht="18">
      <c r="A57" s="452"/>
      <c r="B57" s="452"/>
      <c r="C57" s="452"/>
      <c r="D57" s="452"/>
      <c r="E57" s="452"/>
      <c r="F57" s="452"/>
      <c r="G57" s="452"/>
      <c r="H57" s="452"/>
      <c r="I57" s="452"/>
      <c r="J57" s="452"/>
      <c r="K57" s="452"/>
      <c r="L57" s="452"/>
      <c r="M57" s="452"/>
      <c r="N57" s="452"/>
      <c r="O57" s="465"/>
      <c r="P57" s="465"/>
      <c r="Q57" s="452"/>
      <c r="R57" s="452"/>
      <c r="S57" s="452"/>
      <c r="T57" s="452"/>
      <c r="U57" s="452"/>
      <c r="V57" s="452"/>
      <c r="W57" s="452"/>
      <c r="X57" s="452"/>
      <c r="Y57" s="452"/>
      <c r="Z57" s="452"/>
      <c r="AA57" s="452"/>
      <c r="AB57" s="452"/>
      <c r="AC57" s="452"/>
      <c r="AD57" s="452"/>
      <c r="AE57" s="452"/>
      <c r="AF57" s="452"/>
      <c r="AG57" s="452"/>
      <c r="AH57" s="452"/>
      <c r="AI57" s="452"/>
      <c r="AJ57" s="452"/>
      <c r="AK57" s="452"/>
      <c r="AL57" s="452"/>
      <c r="AM57" s="452"/>
      <c r="AN57" s="452"/>
      <c r="AO57" s="452"/>
      <c r="AP57" s="452"/>
      <c r="AQ57" s="452"/>
      <c r="AR57" s="452"/>
      <c r="AS57" s="452"/>
      <c r="AT57" s="452"/>
      <c r="AU57" s="452"/>
      <c r="AV57" s="452"/>
      <c r="AW57" s="452"/>
      <c r="AX57" s="452"/>
      <c r="AY57" s="452"/>
      <c r="AZ57" s="452"/>
      <c r="BA57" s="452"/>
      <c r="BB57" s="452"/>
      <c r="BC57" s="452"/>
      <c r="BD57" s="452"/>
      <c r="BE57" s="452"/>
      <c r="BF57" s="452"/>
      <c r="BG57" s="452"/>
      <c r="BH57" s="452"/>
      <c r="BI57" s="452"/>
      <c r="BJ57" s="452"/>
      <c r="BK57" s="452"/>
      <c r="BL57" s="452"/>
      <c r="BM57" s="452"/>
      <c r="BN57" s="452"/>
      <c r="BO57" s="452"/>
      <c r="BP57" s="452"/>
      <c r="BQ57" s="452"/>
      <c r="BR57" s="452"/>
      <c r="BS57" s="452"/>
      <c r="BT57" s="452"/>
      <c r="BU57" s="452"/>
      <c r="BV57" s="452"/>
      <c r="BW57" s="452"/>
      <c r="BX57" s="452"/>
      <c r="BY57" s="452"/>
      <c r="BZ57" s="452"/>
      <c r="CA57" s="452"/>
      <c r="CB57" s="452"/>
      <c r="CC57" s="452"/>
      <c r="CD57" s="452"/>
      <c r="CE57" s="452"/>
      <c r="CF57" s="452"/>
      <c r="CG57" s="452"/>
      <c r="CH57" s="452"/>
      <c r="CI57" s="452"/>
      <c r="CJ57" s="452"/>
      <c r="CK57" s="452"/>
      <c r="CL57" s="452"/>
      <c r="CM57" s="452"/>
      <c r="CN57" s="452"/>
      <c r="CO57" s="452"/>
      <c r="CP57" s="452"/>
      <c r="CQ57" s="452"/>
      <c r="CR57" s="452"/>
      <c r="CS57" s="452"/>
      <c r="CT57" s="452"/>
      <c r="CU57" s="452"/>
      <c r="CV57" s="452"/>
      <c r="CW57" s="452"/>
      <c r="CX57" s="452"/>
      <c r="CY57" s="452"/>
      <c r="CZ57" s="452"/>
      <c r="DA57" s="452"/>
      <c r="DB57" s="452"/>
      <c r="DC57" s="452"/>
      <c r="DD57" s="452"/>
      <c r="DE57" s="452"/>
      <c r="DF57" s="452"/>
      <c r="DG57" s="452"/>
      <c r="DH57" s="452"/>
      <c r="DI57" s="452"/>
      <c r="DJ57" s="452"/>
      <c r="DK57" s="452"/>
      <c r="DL57" s="452"/>
      <c r="DM57" s="452"/>
      <c r="DN57" s="452"/>
      <c r="DO57" s="452"/>
      <c r="DP57" s="452"/>
      <c r="DQ57" s="452"/>
      <c r="DR57" s="452"/>
      <c r="DS57" s="452"/>
      <c r="DT57" s="452"/>
      <c r="DU57" s="452"/>
      <c r="DV57" s="452"/>
      <c r="DW57" s="452"/>
      <c r="DX57" s="452"/>
      <c r="DY57" s="452"/>
      <c r="DZ57" s="452"/>
      <c r="EA57" s="452"/>
      <c r="EB57" s="452"/>
      <c r="EC57" s="452"/>
      <c r="ED57" s="452"/>
      <c r="EE57" s="452"/>
      <c r="EF57" s="452"/>
      <c r="EG57" s="452"/>
      <c r="EH57" s="452"/>
      <c r="EI57" s="452"/>
      <c r="EJ57" s="452"/>
      <c r="EK57" s="452"/>
      <c r="EL57" s="452"/>
      <c r="EM57" s="452"/>
      <c r="EN57" s="452"/>
      <c r="EO57" s="452"/>
      <c r="EP57" s="452"/>
      <c r="EQ57" s="452"/>
      <c r="ER57" s="452"/>
      <c r="ES57" s="452"/>
      <c r="ET57" s="452"/>
      <c r="EU57" s="452"/>
      <c r="EV57" s="452"/>
      <c r="EW57" s="452"/>
      <c r="EX57" s="452"/>
      <c r="EY57" s="452"/>
      <c r="EZ57" s="452"/>
      <c r="FA57" s="452"/>
      <c r="FB57" s="452"/>
      <c r="FC57" s="452"/>
      <c r="FD57" s="452"/>
      <c r="FE57" s="452"/>
      <c r="FF57" s="452"/>
      <c r="FG57" s="452"/>
      <c r="FH57" s="452"/>
      <c r="FI57" s="452"/>
      <c r="FJ57" s="452"/>
      <c r="FK57" s="452"/>
      <c r="FL57" s="452"/>
      <c r="FM57" s="452"/>
      <c r="FN57" s="452"/>
      <c r="FO57" s="452"/>
      <c r="FP57" s="452"/>
      <c r="FQ57" s="452"/>
      <c r="FR57" s="452"/>
      <c r="FS57" s="452"/>
      <c r="FT57" s="452"/>
      <c r="FU57" s="452"/>
      <c r="FV57" s="452"/>
      <c r="FW57" s="452"/>
      <c r="FX57" s="452"/>
      <c r="FY57" s="452"/>
      <c r="FZ57" s="452"/>
      <c r="GA57" s="452"/>
      <c r="GB57" s="452"/>
      <c r="GC57" s="452"/>
      <c r="GD57" s="452"/>
      <c r="GE57" s="452"/>
      <c r="GF57" s="452"/>
      <c r="GG57" s="452"/>
      <c r="GH57" s="452"/>
      <c r="GI57" s="452"/>
      <c r="GJ57" s="452"/>
      <c r="GK57" s="452"/>
      <c r="GL57" s="452"/>
      <c r="GM57" s="452"/>
      <c r="GN57" s="452"/>
      <c r="GO57" s="452"/>
      <c r="GP57" s="452"/>
      <c r="GQ57" s="452"/>
      <c r="GR57" s="452"/>
      <c r="GS57" s="452"/>
      <c r="GT57" s="452"/>
      <c r="GU57" s="452"/>
      <c r="GV57" s="452"/>
      <c r="GW57" s="452"/>
      <c r="GX57" s="452"/>
      <c r="GY57" s="452"/>
      <c r="GZ57" s="452"/>
      <c r="HA57" s="452"/>
      <c r="HB57" s="452"/>
      <c r="HC57" s="452"/>
      <c r="HD57" s="452"/>
      <c r="HE57" s="452"/>
      <c r="HF57" s="452"/>
      <c r="HG57" s="452"/>
      <c r="HH57" s="452"/>
      <c r="HI57" s="452"/>
      <c r="HJ57" s="452"/>
      <c r="HK57" s="452"/>
      <c r="HL57" s="452"/>
      <c r="HM57" s="452"/>
      <c r="HN57" s="452"/>
      <c r="HO57" s="452"/>
      <c r="HP57" s="452"/>
      <c r="HQ57" s="452"/>
      <c r="HR57" s="452"/>
      <c r="HS57" s="452"/>
      <c r="HT57" s="452"/>
      <c r="HU57" s="452"/>
      <c r="HV57" s="452"/>
      <c r="HW57" s="452"/>
      <c r="HX57" s="452"/>
      <c r="HY57" s="452"/>
      <c r="HZ57" s="452"/>
      <c r="IA57" s="452"/>
      <c r="IB57" s="452"/>
      <c r="IC57" s="452"/>
      <c r="ID57" s="452"/>
      <c r="IE57" s="452"/>
      <c r="IF57" s="452"/>
      <c r="IG57" s="452"/>
      <c r="IH57" s="452"/>
      <c r="II57" s="452"/>
      <c r="IJ57" s="452"/>
      <c r="IK57" s="452"/>
      <c r="IL57" s="452"/>
      <c r="IM57" s="452"/>
      <c r="IN57" s="452"/>
      <c r="IO57" s="452"/>
      <c r="IP57" s="452"/>
      <c r="IQ57" s="452"/>
      <c r="IR57" s="452"/>
      <c r="IS57" s="452"/>
      <c r="IT57" s="452"/>
      <c r="IU57" s="452"/>
      <c r="IV57" s="452"/>
    </row>
    <row r="58" spans="1:256" ht="18">
      <c r="A58" s="452"/>
      <c r="B58" s="452"/>
      <c r="C58" s="452"/>
      <c r="D58" s="452"/>
      <c r="E58" s="452"/>
      <c r="F58" s="452"/>
      <c r="G58" s="452"/>
      <c r="H58" s="452"/>
      <c r="I58" s="452"/>
      <c r="J58" s="452"/>
      <c r="K58" s="452"/>
      <c r="L58" s="452"/>
      <c r="M58" s="452"/>
      <c r="N58" s="452"/>
      <c r="O58" s="465"/>
      <c r="P58" s="465"/>
      <c r="Q58" s="452"/>
      <c r="R58" s="452"/>
      <c r="S58" s="452"/>
      <c r="T58" s="452"/>
      <c r="U58" s="452"/>
      <c r="V58" s="452"/>
      <c r="W58" s="452"/>
      <c r="X58" s="452"/>
      <c r="Y58" s="452"/>
      <c r="Z58" s="452"/>
      <c r="AA58" s="452"/>
      <c r="AB58" s="452"/>
      <c r="AC58" s="452"/>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452"/>
      <c r="AZ58" s="452"/>
      <c r="BA58" s="452"/>
      <c r="BB58" s="452"/>
      <c r="BC58" s="452"/>
      <c r="BD58" s="452"/>
      <c r="BE58" s="452"/>
      <c r="BF58" s="452"/>
      <c r="BG58" s="452"/>
      <c r="BH58" s="452"/>
      <c r="BI58" s="452"/>
      <c r="BJ58" s="452"/>
      <c r="BK58" s="452"/>
      <c r="BL58" s="452"/>
      <c r="BM58" s="452"/>
      <c r="BN58" s="452"/>
      <c r="BO58" s="452"/>
      <c r="BP58" s="452"/>
      <c r="BQ58" s="452"/>
      <c r="BR58" s="452"/>
      <c r="BS58" s="452"/>
      <c r="BT58" s="452"/>
      <c r="BU58" s="452"/>
      <c r="BV58" s="452"/>
      <c r="BW58" s="452"/>
      <c r="BX58" s="452"/>
      <c r="BY58" s="452"/>
      <c r="BZ58" s="452"/>
      <c r="CA58" s="452"/>
      <c r="CB58" s="452"/>
      <c r="CC58" s="452"/>
      <c r="CD58" s="452"/>
      <c r="CE58" s="452"/>
      <c r="CF58" s="452"/>
      <c r="CG58" s="452"/>
      <c r="CH58" s="452"/>
      <c r="CI58" s="452"/>
      <c r="CJ58" s="452"/>
      <c r="CK58" s="452"/>
      <c r="CL58" s="452"/>
      <c r="CM58" s="452"/>
      <c r="CN58" s="452"/>
      <c r="CO58" s="452"/>
      <c r="CP58" s="452"/>
      <c r="CQ58" s="452"/>
      <c r="CR58" s="452"/>
      <c r="CS58" s="452"/>
      <c r="CT58" s="452"/>
      <c r="CU58" s="452"/>
      <c r="CV58" s="452"/>
      <c r="CW58" s="452"/>
      <c r="CX58" s="452"/>
      <c r="CY58" s="452"/>
      <c r="CZ58" s="452"/>
      <c r="DA58" s="452"/>
      <c r="DB58" s="452"/>
      <c r="DC58" s="452"/>
      <c r="DD58" s="452"/>
      <c r="DE58" s="452"/>
      <c r="DF58" s="452"/>
      <c r="DG58" s="452"/>
      <c r="DH58" s="452"/>
      <c r="DI58" s="452"/>
      <c r="DJ58" s="452"/>
      <c r="DK58" s="452"/>
      <c r="DL58" s="452"/>
      <c r="DM58" s="452"/>
      <c r="DN58" s="452"/>
      <c r="DO58" s="452"/>
      <c r="DP58" s="452"/>
      <c r="DQ58" s="452"/>
      <c r="DR58" s="452"/>
      <c r="DS58" s="452"/>
      <c r="DT58" s="452"/>
      <c r="DU58" s="452"/>
      <c r="DV58" s="452"/>
      <c r="DW58" s="452"/>
      <c r="DX58" s="452"/>
      <c r="DY58" s="452"/>
      <c r="DZ58" s="452"/>
      <c r="EA58" s="452"/>
      <c r="EB58" s="452"/>
      <c r="EC58" s="452"/>
      <c r="ED58" s="452"/>
      <c r="EE58" s="452"/>
      <c r="EF58" s="452"/>
      <c r="EG58" s="452"/>
      <c r="EH58" s="452"/>
      <c r="EI58" s="452"/>
      <c r="EJ58" s="452"/>
      <c r="EK58" s="452"/>
      <c r="EL58" s="452"/>
      <c r="EM58" s="452"/>
      <c r="EN58" s="452"/>
      <c r="EO58" s="452"/>
      <c r="EP58" s="452"/>
      <c r="EQ58" s="452"/>
      <c r="ER58" s="452"/>
      <c r="ES58" s="452"/>
      <c r="ET58" s="452"/>
      <c r="EU58" s="452"/>
      <c r="EV58" s="452"/>
      <c r="EW58" s="452"/>
      <c r="EX58" s="452"/>
      <c r="EY58" s="452"/>
      <c r="EZ58" s="452"/>
      <c r="FA58" s="452"/>
      <c r="FB58" s="452"/>
      <c r="FC58" s="452"/>
      <c r="FD58" s="452"/>
      <c r="FE58" s="452"/>
      <c r="FF58" s="452"/>
      <c r="FG58" s="452"/>
      <c r="FH58" s="452"/>
      <c r="FI58" s="452"/>
      <c r="FJ58" s="452"/>
      <c r="FK58" s="452"/>
      <c r="FL58" s="452"/>
      <c r="FM58" s="452"/>
      <c r="FN58" s="452"/>
      <c r="FO58" s="452"/>
      <c r="FP58" s="452"/>
      <c r="FQ58" s="452"/>
      <c r="FR58" s="452"/>
      <c r="FS58" s="452"/>
      <c r="FT58" s="452"/>
      <c r="FU58" s="452"/>
      <c r="FV58" s="452"/>
      <c r="FW58" s="452"/>
      <c r="FX58" s="452"/>
      <c r="FY58" s="452"/>
      <c r="FZ58" s="452"/>
      <c r="GA58" s="452"/>
      <c r="GB58" s="452"/>
      <c r="GC58" s="452"/>
      <c r="GD58" s="452"/>
      <c r="GE58" s="452"/>
      <c r="GF58" s="452"/>
      <c r="GG58" s="452"/>
      <c r="GH58" s="452"/>
      <c r="GI58" s="452"/>
      <c r="GJ58" s="452"/>
      <c r="GK58" s="452"/>
      <c r="GL58" s="452"/>
      <c r="GM58" s="452"/>
      <c r="GN58" s="452"/>
      <c r="GO58" s="452"/>
      <c r="GP58" s="452"/>
      <c r="GQ58" s="452"/>
      <c r="GR58" s="452"/>
      <c r="GS58" s="452"/>
      <c r="GT58" s="452"/>
      <c r="GU58" s="452"/>
      <c r="GV58" s="452"/>
      <c r="GW58" s="452"/>
      <c r="GX58" s="452"/>
      <c r="GY58" s="452"/>
      <c r="GZ58" s="452"/>
      <c r="HA58" s="452"/>
      <c r="HB58" s="452"/>
      <c r="HC58" s="452"/>
      <c r="HD58" s="452"/>
      <c r="HE58" s="452"/>
      <c r="HF58" s="452"/>
      <c r="HG58" s="452"/>
      <c r="HH58" s="452"/>
      <c r="HI58" s="452"/>
      <c r="HJ58" s="452"/>
      <c r="HK58" s="452"/>
      <c r="HL58" s="452"/>
      <c r="HM58" s="452"/>
      <c r="HN58" s="452"/>
      <c r="HO58" s="452"/>
      <c r="HP58" s="452"/>
      <c r="HQ58" s="452"/>
      <c r="HR58" s="452"/>
      <c r="HS58" s="452"/>
      <c r="HT58" s="452"/>
      <c r="HU58" s="452"/>
      <c r="HV58" s="452"/>
      <c r="HW58" s="452"/>
      <c r="HX58" s="452"/>
      <c r="HY58" s="452"/>
      <c r="HZ58" s="452"/>
      <c r="IA58" s="452"/>
      <c r="IB58" s="452"/>
      <c r="IC58" s="452"/>
      <c r="ID58" s="452"/>
      <c r="IE58" s="452"/>
      <c r="IF58" s="452"/>
      <c r="IG58" s="452"/>
      <c r="IH58" s="452"/>
      <c r="II58" s="452"/>
      <c r="IJ58" s="452"/>
      <c r="IK58" s="452"/>
      <c r="IL58" s="452"/>
      <c r="IM58" s="452"/>
      <c r="IN58" s="452"/>
      <c r="IO58" s="452"/>
      <c r="IP58" s="452"/>
      <c r="IQ58" s="452"/>
      <c r="IR58" s="452"/>
      <c r="IS58" s="452"/>
      <c r="IT58" s="452"/>
      <c r="IU58" s="452"/>
      <c r="IV58" s="452"/>
    </row>
    <row r="59" spans="1:256" ht="18">
      <c r="A59" s="452"/>
      <c r="B59" s="452"/>
      <c r="C59" s="452"/>
      <c r="D59" s="452"/>
      <c r="E59" s="452"/>
      <c r="F59" s="452"/>
      <c r="G59" s="452"/>
      <c r="H59" s="452"/>
      <c r="I59" s="452"/>
      <c r="J59" s="452"/>
      <c r="K59" s="452"/>
      <c r="L59" s="452"/>
      <c r="M59" s="452"/>
      <c r="N59" s="452"/>
      <c r="O59" s="465"/>
      <c r="P59" s="465"/>
      <c r="Q59" s="452"/>
      <c r="R59" s="452"/>
      <c r="S59" s="452"/>
      <c r="T59" s="452"/>
      <c r="U59" s="452"/>
      <c r="V59" s="452"/>
      <c r="W59" s="452"/>
      <c r="X59" s="452"/>
      <c r="Y59" s="452"/>
      <c r="Z59" s="452"/>
      <c r="AA59" s="452"/>
      <c r="AB59" s="452"/>
      <c r="AC59" s="452"/>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452"/>
      <c r="AZ59" s="452"/>
      <c r="BA59" s="452"/>
      <c r="BB59" s="452"/>
      <c r="BC59" s="452"/>
      <c r="BD59" s="452"/>
      <c r="BE59" s="452"/>
      <c r="BF59" s="452"/>
      <c r="BG59" s="452"/>
      <c r="BH59" s="452"/>
      <c r="BI59" s="452"/>
      <c r="BJ59" s="452"/>
      <c r="BK59" s="452"/>
      <c r="BL59" s="452"/>
      <c r="BM59" s="452"/>
      <c r="BN59" s="452"/>
      <c r="BO59" s="452"/>
      <c r="BP59" s="452"/>
      <c r="BQ59" s="452"/>
      <c r="BR59" s="452"/>
      <c r="BS59" s="452"/>
      <c r="BT59" s="452"/>
      <c r="BU59" s="452"/>
      <c r="BV59" s="452"/>
      <c r="BW59" s="452"/>
      <c r="BX59" s="452"/>
      <c r="BY59" s="452"/>
      <c r="BZ59" s="452"/>
      <c r="CA59" s="452"/>
      <c r="CB59" s="452"/>
      <c r="CC59" s="452"/>
      <c r="CD59" s="452"/>
      <c r="CE59" s="452"/>
      <c r="CF59" s="452"/>
      <c r="CG59" s="452"/>
      <c r="CH59" s="452"/>
      <c r="CI59" s="452"/>
      <c r="CJ59" s="452"/>
      <c r="CK59" s="452"/>
      <c r="CL59" s="452"/>
      <c r="CM59" s="452"/>
      <c r="CN59" s="452"/>
      <c r="CO59" s="452"/>
      <c r="CP59" s="452"/>
      <c r="CQ59" s="452"/>
      <c r="CR59" s="452"/>
      <c r="CS59" s="452"/>
      <c r="CT59" s="452"/>
      <c r="CU59" s="452"/>
      <c r="CV59" s="452"/>
      <c r="CW59" s="452"/>
      <c r="CX59" s="452"/>
      <c r="CY59" s="452"/>
      <c r="CZ59" s="452"/>
      <c r="DA59" s="452"/>
      <c r="DB59" s="452"/>
      <c r="DC59" s="452"/>
      <c r="DD59" s="452"/>
      <c r="DE59" s="452"/>
      <c r="DF59" s="452"/>
      <c r="DG59" s="452"/>
      <c r="DH59" s="452"/>
      <c r="DI59" s="452"/>
      <c r="DJ59" s="452"/>
      <c r="DK59" s="452"/>
      <c r="DL59" s="452"/>
      <c r="DM59" s="452"/>
      <c r="DN59" s="452"/>
      <c r="DO59" s="452"/>
      <c r="DP59" s="452"/>
      <c r="DQ59" s="452"/>
      <c r="DR59" s="452"/>
      <c r="DS59" s="452"/>
      <c r="DT59" s="452"/>
      <c r="DU59" s="452"/>
      <c r="DV59" s="452"/>
      <c r="DW59" s="452"/>
      <c r="DX59" s="452"/>
      <c r="DY59" s="452"/>
      <c r="DZ59" s="452"/>
      <c r="EA59" s="452"/>
      <c r="EB59" s="452"/>
      <c r="EC59" s="452"/>
      <c r="ED59" s="452"/>
      <c r="EE59" s="452"/>
      <c r="EF59" s="452"/>
      <c r="EG59" s="452"/>
      <c r="EH59" s="452"/>
      <c r="EI59" s="452"/>
      <c r="EJ59" s="452"/>
      <c r="EK59" s="452"/>
      <c r="EL59" s="452"/>
      <c r="EM59" s="452"/>
      <c r="EN59" s="452"/>
      <c r="EO59" s="452"/>
      <c r="EP59" s="452"/>
      <c r="EQ59" s="452"/>
      <c r="ER59" s="452"/>
      <c r="ES59" s="452"/>
      <c r="ET59" s="452"/>
      <c r="EU59" s="452"/>
      <c r="EV59" s="452"/>
      <c r="EW59" s="452"/>
      <c r="EX59" s="452"/>
      <c r="EY59" s="452"/>
      <c r="EZ59" s="452"/>
      <c r="FA59" s="452"/>
      <c r="FB59" s="452"/>
      <c r="FC59" s="452"/>
      <c r="FD59" s="452"/>
      <c r="FE59" s="452"/>
      <c r="FF59" s="452"/>
      <c r="FG59" s="452"/>
      <c r="FH59" s="452"/>
      <c r="FI59" s="452"/>
      <c r="FJ59" s="452"/>
      <c r="FK59" s="452"/>
      <c r="FL59" s="452"/>
      <c r="FM59" s="452"/>
      <c r="FN59" s="452"/>
      <c r="FO59" s="452"/>
      <c r="FP59" s="452"/>
      <c r="FQ59" s="452"/>
      <c r="FR59" s="452"/>
      <c r="FS59" s="452"/>
      <c r="FT59" s="452"/>
      <c r="FU59" s="452"/>
      <c r="FV59" s="452"/>
      <c r="FW59" s="452"/>
      <c r="FX59" s="452"/>
      <c r="FY59" s="452"/>
      <c r="FZ59" s="452"/>
      <c r="GA59" s="452"/>
      <c r="GB59" s="452"/>
      <c r="GC59" s="452"/>
      <c r="GD59" s="452"/>
      <c r="GE59" s="452"/>
      <c r="GF59" s="452"/>
      <c r="GG59" s="452"/>
      <c r="GH59" s="452"/>
      <c r="GI59" s="452"/>
      <c r="GJ59" s="452"/>
      <c r="GK59" s="452"/>
      <c r="GL59" s="452"/>
      <c r="GM59" s="452"/>
      <c r="GN59" s="452"/>
      <c r="GO59" s="452"/>
      <c r="GP59" s="452"/>
      <c r="GQ59" s="452"/>
      <c r="GR59" s="452"/>
      <c r="GS59" s="452"/>
      <c r="GT59" s="452"/>
      <c r="GU59" s="452"/>
      <c r="GV59" s="452"/>
      <c r="GW59" s="452"/>
      <c r="GX59" s="452"/>
      <c r="GY59" s="452"/>
      <c r="GZ59" s="452"/>
      <c r="HA59" s="452"/>
      <c r="HB59" s="452"/>
      <c r="HC59" s="452"/>
      <c r="HD59" s="452"/>
      <c r="HE59" s="452"/>
      <c r="HF59" s="452"/>
      <c r="HG59" s="452"/>
      <c r="HH59" s="452"/>
      <c r="HI59" s="452"/>
      <c r="HJ59" s="452"/>
      <c r="HK59" s="452"/>
      <c r="HL59" s="452"/>
      <c r="HM59" s="452"/>
      <c r="HN59" s="452"/>
      <c r="HO59" s="452"/>
      <c r="HP59" s="452"/>
      <c r="HQ59" s="452"/>
      <c r="HR59" s="452"/>
      <c r="HS59" s="452"/>
      <c r="HT59" s="452"/>
      <c r="HU59" s="452"/>
      <c r="HV59" s="452"/>
      <c r="HW59" s="452"/>
      <c r="HX59" s="452"/>
      <c r="HY59" s="452"/>
      <c r="HZ59" s="452"/>
      <c r="IA59" s="452"/>
      <c r="IB59" s="452"/>
      <c r="IC59" s="452"/>
      <c r="ID59" s="452"/>
      <c r="IE59" s="452"/>
      <c r="IF59" s="452"/>
      <c r="IG59" s="452"/>
      <c r="IH59" s="452"/>
      <c r="II59" s="452"/>
      <c r="IJ59" s="452"/>
      <c r="IK59" s="452"/>
      <c r="IL59" s="452"/>
      <c r="IM59" s="452"/>
      <c r="IN59" s="452"/>
      <c r="IO59" s="452"/>
      <c r="IP59" s="452"/>
      <c r="IQ59" s="452"/>
      <c r="IR59" s="452"/>
      <c r="IS59" s="452"/>
      <c r="IT59" s="452"/>
      <c r="IU59" s="452"/>
      <c r="IV59" s="452"/>
    </row>
    <row r="60" spans="1:256" ht="18">
      <c r="A60" s="452"/>
      <c r="B60" s="452"/>
      <c r="C60" s="452"/>
      <c r="D60" s="452"/>
      <c r="E60" s="452"/>
      <c r="F60" s="452"/>
      <c r="G60" s="452"/>
      <c r="H60" s="452"/>
      <c r="I60" s="452"/>
      <c r="J60" s="452"/>
      <c r="K60" s="452"/>
      <c r="L60" s="452"/>
      <c r="M60" s="452"/>
      <c r="N60" s="452"/>
      <c r="O60" s="465"/>
      <c r="P60" s="465"/>
      <c r="Q60" s="452"/>
      <c r="R60" s="452"/>
      <c r="S60" s="452"/>
      <c r="T60" s="452"/>
      <c r="U60" s="452"/>
      <c r="V60" s="452"/>
      <c r="W60" s="452"/>
      <c r="X60" s="452"/>
      <c r="Y60" s="452"/>
      <c r="Z60" s="452"/>
      <c r="AA60" s="452"/>
      <c r="AB60" s="452"/>
      <c r="AC60" s="452"/>
      <c r="AD60" s="452"/>
      <c r="AE60" s="452"/>
      <c r="AF60" s="452"/>
      <c r="AG60" s="452"/>
      <c r="AH60" s="452"/>
      <c r="AI60" s="452"/>
      <c r="AJ60" s="452"/>
      <c r="AK60" s="452"/>
      <c r="AL60" s="452"/>
      <c r="AM60" s="452"/>
      <c r="AN60" s="452"/>
      <c r="AO60" s="452"/>
      <c r="AP60" s="452"/>
      <c r="AQ60" s="452"/>
      <c r="AR60" s="452"/>
      <c r="AS60" s="452"/>
      <c r="AT60" s="452"/>
      <c r="AU60" s="452"/>
      <c r="AV60" s="452"/>
      <c r="AW60" s="452"/>
      <c r="AX60" s="452"/>
      <c r="AY60" s="452"/>
      <c r="AZ60" s="452"/>
      <c r="BA60" s="452"/>
      <c r="BB60" s="452"/>
      <c r="BC60" s="452"/>
      <c r="BD60" s="452"/>
      <c r="BE60" s="452"/>
      <c r="BF60" s="452"/>
      <c r="BG60" s="452"/>
      <c r="BH60" s="452"/>
      <c r="BI60" s="452"/>
      <c r="BJ60" s="452"/>
      <c r="BK60" s="452"/>
      <c r="BL60" s="452"/>
      <c r="BM60" s="452"/>
      <c r="BN60" s="452"/>
      <c r="BO60" s="452"/>
      <c r="BP60" s="452"/>
      <c r="BQ60" s="452"/>
      <c r="BR60" s="452"/>
      <c r="BS60" s="452"/>
      <c r="BT60" s="452"/>
      <c r="BU60" s="452"/>
      <c r="BV60" s="452"/>
      <c r="BW60" s="452"/>
      <c r="BX60" s="452"/>
      <c r="BY60" s="452"/>
      <c r="BZ60" s="452"/>
      <c r="CA60" s="452"/>
      <c r="CB60" s="452"/>
      <c r="CC60" s="452"/>
      <c r="CD60" s="452"/>
      <c r="CE60" s="452"/>
      <c r="CF60" s="452"/>
      <c r="CG60" s="452"/>
      <c r="CH60" s="452"/>
      <c r="CI60" s="452"/>
      <c r="CJ60" s="452"/>
      <c r="CK60" s="452"/>
      <c r="CL60" s="452"/>
      <c r="CM60" s="452"/>
      <c r="CN60" s="452"/>
      <c r="CO60" s="452"/>
      <c r="CP60" s="452"/>
      <c r="CQ60" s="452"/>
      <c r="CR60" s="452"/>
      <c r="CS60" s="452"/>
      <c r="CT60" s="452"/>
      <c r="CU60" s="452"/>
      <c r="CV60" s="452"/>
      <c r="CW60" s="452"/>
      <c r="CX60" s="452"/>
      <c r="CY60" s="452"/>
      <c r="CZ60" s="452"/>
      <c r="DA60" s="452"/>
      <c r="DB60" s="452"/>
      <c r="DC60" s="452"/>
      <c r="DD60" s="452"/>
      <c r="DE60" s="452"/>
      <c r="DF60" s="452"/>
      <c r="DG60" s="452"/>
      <c r="DH60" s="452"/>
      <c r="DI60" s="452"/>
      <c r="DJ60" s="452"/>
      <c r="DK60" s="452"/>
      <c r="DL60" s="452"/>
      <c r="DM60" s="452"/>
      <c r="DN60" s="452"/>
      <c r="DO60" s="452"/>
      <c r="DP60" s="452"/>
      <c r="DQ60" s="452"/>
      <c r="DR60" s="452"/>
      <c r="DS60" s="452"/>
      <c r="DT60" s="452"/>
      <c r="DU60" s="452"/>
      <c r="DV60" s="452"/>
      <c r="DW60" s="452"/>
      <c r="DX60" s="452"/>
      <c r="DY60" s="452"/>
      <c r="DZ60" s="452"/>
      <c r="EA60" s="452"/>
      <c r="EB60" s="452"/>
      <c r="EC60" s="452"/>
      <c r="ED60" s="452"/>
      <c r="EE60" s="452"/>
      <c r="EF60" s="452"/>
      <c r="EG60" s="452"/>
      <c r="EH60" s="452"/>
      <c r="EI60" s="452"/>
      <c r="EJ60" s="452"/>
      <c r="EK60" s="452"/>
      <c r="EL60" s="452"/>
      <c r="EM60" s="452"/>
      <c r="EN60" s="452"/>
      <c r="EO60" s="452"/>
      <c r="EP60" s="452"/>
      <c r="EQ60" s="452"/>
      <c r="ER60" s="452"/>
      <c r="ES60" s="452"/>
      <c r="ET60" s="452"/>
      <c r="EU60" s="452"/>
      <c r="EV60" s="452"/>
      <c r="EW60" s="452"/>
      <c r="EX60" s="452"/>
      <c r="EY60" s="452"/>
      <c r="EZ60" s="452"/>
      <c r="FA60" s="452"/>
      <c r="FB60" s="452"/>
      <c r="FC60" s="452"/>
      <c r="FD60" s="452"/>
      <c r="FE60" s="452"/>
      <c r="FF60" s="452"/>
      <c r="FG60" s="452"/>
      <c r="FH60" s="452"/>
      <c r="FI60" s="452"/>
      <c r="FJ60" s="452"/>
      <c r="FK60" s="452"/>
      <c r="FL60" s="452"/>
      <c r="FM60" s="452"/>
      <c r="FN60" s="452"/>
      <c r="FO60" s="452"/>
      <c r="FP60" s="452"/>
      <c r="FQ60" s="452"/>
      <c r="FR60" s="452"/>
      <c r="FS60" s="452"/>
      <c r="FT60" s="452"/>
      <c r="FU60" s="452"/>
      <c r="FV60" s="452"/>
      <c r="FW60" s="452"/>
      <c r="FX60" s="452"/>
      <c r="FY60" s="452"/>
      <c r="FZ60" s="452"/>
      <c r="GA60" s="452"/>
      <c r="GB60" s="452"/>
      <c r="GC60" s="452"/>
      <c r="GD60" s="452"/>
      <c r="GE60" s="452"/>
      <c r="GF60" s="452"/>
      <c r="GG60" s="452"/>
      <c r="GH60" s="452"/>
      <c r="GI60" s="452"/>
      <c r="GJ60" s="452"/>
      <c r="GK60" s="452"/>
      <c r="GL60" s="452"/>
      <c r="GM60" s="452"/>
      <c r="GN60" s="452"/>
      <c r="GO60" s="452"/>
      <c r="GP60" s="452"/>
      <c r="GQ60" s="452"/>
      <c r="GR60" s="452"/>
      <c r="GS60" s="452"/>
      <c r="GT60" s="452"/>
      <c r="GU60" s="452"/>
      <c r="GV60" s="452"/>
      <c r="GW60" s="452"/>
      <c r="GX60" s="452"/>
      <c r="GY60" s="452"/>
      <c r="GZ60" s="452"/>
      <c r="HA60" s="452"/>
      <c r="HB60" s="452"/>
      <c r="HC60" s="452"/>
      <c r="HD60" s="452"/>
      <c r="HE60" s="452"/>
      <c r="HF60" s="452"/>
      <c r="HG60" s="452"/>
      <c r="HH60" s="452"/>
      <c r="HI60" s="452"/>
      <c r="HJ60" s="452"/>
      <c r="HK60" s="452"/>
      <c r="HL60" s="452"/>
      <c r="HM60" s="452"/>
      <c r="HN60" s="452"/>
      <c r="HO60" s="452"/>
      <c r="HP60" s="452"/>
      <c r="HQ60" s="452"/>
      <c r="HR60" s="452"/>
      <c r="HS60" s="452"/>
      <c r="HT60" s="452"/>
      <c r="HU60" s="452"/>
      <c r="HV60" s="452"/>
      <c r="HW60" s="452"/>
      <c r="HX60" s="452"/>
      <c r="HY60" s="452"/>
      <c r="HZ60" s="452"/>
      <c r="IA60" s="452"/>
      <c r="IB60" s="452"/>
      <c r="IC60" s="452"/>
      <c r="ID60" s="452"/>
      <c r="IE60" s="452"/>
      <c r="IF60" s="452"/>
      <c r="IG60" s="452"/>
      <c r="IH60" s="452"/>
      <c r="II60" s="452"/>
      <c r="IJ60" s="452"/>
      <c r="IK60" s="452"/>
      <c r="IL60" s="452"/>
      <c r="IM60" s="452"/>
      <c r="IN60" s="452"/>
      <c r="IO60" s="452"/>
      <c r="IP60" s="452"/>
      <c r="IQ60" s="452"/>
      <c r="IR60" s="452"/>
      <c r="IS60" s="452"/>
      <c r="IT60" s="452"/>
      <c r="IU60" s="452"/>
      <c r="IV60" s="452"/>
    </row>
    <row r="61" spans="1:256" ht="18">
      <c r="A61" s="452"/>
      <c r="B61" s="452"/>
      <c r="C61" s="452"/>
      <c r="D61" s="467"/>
      <c r="E61" s="452"/>
      <c r="F61" s="452"/>
      <c r="G61" s="452"/>
      <c r="H61" s="452"/>
      <c r="I61" s="452"/>
      <c r="J61" s="467"/>
      <c r="K61" s="452"/>
      <c r="L61" s="467"/>
      <c r="M61" s="452"/>
      <c r="N61" s="452"/>
      <c r="O61" s="465"/>
      <c r="P61" s="465"/>
      <c r="Q61" s="452"/>
      <c r="R61" s="452"/>
      <c r="S61" s="452"/>
      <c r="T61" s="452"/>
      <c r="U61" s="452"/>
      <c r="V61" s="452"/>
      <c r="W61" s="452"/>
      <c r="X61" s="452"/>
      <c r="Y61" s="452"/>
      <c r="Z61" s="452"/>
      <c r="AA61" s="452"/>
      <c r="AB61" s="452"/>
      <c r="AC61" s="452"/>
      <c r="AD61" s="452"/>
      <c r="AE61" s="452"/>
      <c r="AF61" s="452"/>
      <c r="AG61" s="452"/>
      <c r="AH61" s="452"/>
      <c r="AI61" s="452"/>
      <c r="AJ61" s="452"/>
      <c r="AK61" s="452"/>
      <c r="AL61" s="452"/>
      <c r="AM61" s="452"/>
      <c r="AN61" s="452"/>
      <c r="AO61" s="452"/>
      <c r="AP61" s="452"/>
      <c r="AQ61" s="452"/>
      <c r="AR61" s="452"/>
      <c r="AS61" s="452"/>
      <c r="AT61" s="452"/>
      <c r="AU61" s="452"/>
      <c r="AV61" s="452"/>
      <c r="AW61" s="452"/>
      <c r="AX61" s="452"/>
      <c r="AY61" s="452"/>
      <c r="AZ61" s="452"/>
      <c r="BA61" s="452"/>
      <c r="BB61" s="452"/>
      <c r="BC61" s="452"/>
      <c r="BD61" s="452"/>
      <c r="BE61" s="452"/>
      <c r="BF61" s="452"/>
      <c r="BG61" s="452"/>
      <c r="BH61" s="452"/>
      <c r="BI61" s="452"/>
      <c r="BJ61" s="452"/>
      <c r="BK61" s="452"/>
      <c r="BL61" s="452"/>
      <c r="BM61" s="452"/>
      <c r="BN61" s="452"/>
      <c r="BO61" s="452"/>
      <c r="BP61" s="452"/>
      <c r="BQ61" s="452"/>
      <c r="BR61" s="452"/>
      <c r="BS61" s="452"/>
      <c r="BT61" s="452"/>
      <c r="BU61" s="452"/>
      <c r="BV61" s="452"/>
      <c r="BW61" s="452"/>
      <c r="BX61" s="452"/>
      <c r="BY61" s="452"/>
      <c r="BZ61" s="452"/>
      <c r="CA61" s="452"/>
      <c r="CB61" s="452"/>
      <c r="CC61" s="452"/>
      <c r="CD61" s="452"/>
      <c r="CE61" s="452"/>
      <c r="CF61" s="452"/>
      <c r="CG61" s="452"/>
      <c r="CH61" s="452"/>
      <c r="CI61" s="452"/>
      <c r="CJ61" s="452"/>
      <c r="CK61" s="452"/>
      <c r="CL61" s="452"/>
      <c r="CM61" s="452"/>
      <c r="CN61" s="452"/>
      <c r="CO61" s="452"/>
      <c r="CP61" s="452"/>
      <c r="CQ61" s="452"/>
      <c r="CR61" s="452"/>
      <c r="CS61" s="452"/>
      <c r="CT61" s="452"/>
      <c r="CU61" s="452"/>
      <c r="CV61" s="452"/>
      <c r="CW61" s="452"/>
      <c r="CX61" s="452"/>
      <c r="CY61" s="452"/>
      <c r="CZ61" s="452"/>
      <c r="DA61" s="452"/>
      <c r="DB61" s="452"/>
      <c r="DC61" s="452"/>
      <c r="DD61" s="452"/>
      <c r="DE61" s="452"/>
      <c r="DF61" s="452"/>
      <c r="DG61" s="452"/>
      <c r="DH61" s="452"/>
      <c r="DI61" s="452"/>
      <c r="DJ61" s="452"/>
      <c r="DK61" s="452"/>
      <c r="DL61" s="452"/>
      <c r="DM61" s="452"/>
      <c r="DN61" s="452"/>
      <c r="DO61" s="452"/>
      <c r="DP61" s="452"/>
      <c r="DQ61" s="452"/>
      <c r="DR61" s="452"/>
      <c r="DS61" s="452"/>
      <c r="DT61" s="452"/>
      <c r="DU61" s="452"/>
      <c r="DV61" s="452"/>
      <c r="DW61" s="452"/>
      <c r="DX61" s="452"/>
      <c r="DY61" s="452"/>
      <c r="DZ61" s="452"/>
      <c r="EA61" s="452"/>
      <c r="EB61" s="452"/>
      <c r="EC61" s="452"/>
      <c r="ED61" s="452"/>
      <c r="EE61" s="452"/>
      <c r="EF61" s="452"/>
      <c r="EG61" s="452"/>
      <c r="EH61" s="452"/>
      <c r="EI61" s="452"/>
      <c r="EJ61" s="452"/>
      <c r="EK61" s="452"/>
      <c r="EL61" s="452"/>
      <c r="EM61" s="452"/>
      <c r="EN61" s="452"/>
      <c r="EO61" s="452"/>
      <c r="EP61" s="452"/>
      <c r="EQ61" s="452"/>
      <c r="ER61" s="452"/>
      <c r="ES61" s="452"/>
      <c r="ET61" s="452"/>
      <c r="EU61" s="452"/>
      <c r="EV61" s="452"/>
      <c r="EW61" s="452"/>
      <c r="EX61" s="452"/>
      <c r="EY61" s="452"/>
      <c r="EZ61" s="452"/>
      <c r="FA61" s="452"/>
      <c r="FB61" s="452"/>
      <c r="FC61" s="452"/>
      <c r="FD61" s="452"/>
      <c r="FE61" s="452"/>
      <c r="FF61" s="452"/>
      <c r="FG61" s="452"/>
      <c r="FH61" s="452"/>
      <c r="FI61" s="452"/>
      <c r="FJ61" s="452"/>
      <c r="FK61" s="452"/>
      <c r="FL61" s="452"/>
      <c r="FM61" s="452"/>
      <c r="FN61" s="452"/>
      <c r="FO61" s="452"/>
      <c r="FP61" s="452"/>
      <c r="FQ61" s="452"/>
      <c r="FR61" s="452"/>
      <c r="FS61" s="452"/>
      <c r="FT61" s="452"/>
      <c r="FU61" s="452"/>
      <c r="FV61" s="452"/>
      <c r="FW61" s="452"/>
      <c r="FX61" s="452"/>
      <c r="FY61" s="452"/>
      <c r="FZ61" s="452"/>
      <c r="GA61" s="452"/>
      <c r="GB61" s="452"/>
      <c r="GC61" s="452"/>
      <c r="GD61" s="452"/>
      <c r="GE61" s="452"/>
      <c r="GF61" s="452"/>
      <c r="GG61" s="452"/>
      <c r="GH61" s="452"/>
      <c r="GI61" s="452"/>
      <c r="GJ61" s="452"/>
      <c r="GK61" s="452"/>
      <c r="GL61" s="452"/>
      <c r="GM61" s="452"/>
      <c r="GN61" s="452"/>
      <c r="GO61" s="452"/>
      <c r="GP61" s="452"/>
      <c r="GQ61" s="452"/>
      <c r="GR61" s="452"/>
      <c r="GS61" s="452"/>
      <c r="GT61" s="452"/>
      <c r="GU61" s="452"/>
      <c r="GV61" s="452"/>
      <c r="GW61" s="452"/>
      <c r="GX61" s="452"/>
      <c r="GY61" s="452"/>
      <c r="GZ61" s="452"/>
      <c r="HA61" s="452"/>
      <c r="HB61" s="452"/>
      <c r="HC61" s="452"/>
      <c r="HD61" s="452"/>
      <c r="HE61" s="452"/>
      <c r="HF61" s="452"/>
      <c r="HG61" s="452"/>
      <c r="HH61" s="452"/>
      <c r="HI61" s="452"/>
      <c r="HJ61" s="452"/>
      <c r="HK61" s="452"/>
      <c r="HL61" s="452"/>
      <c r="HM61" s="452"/>
      <c r="HN61" s="452"/>
      <c r="HO61" s="452"/>
      <c r="HP61" s="452"/>
      <c r="HQ61" s="452"/>
      <c r="HR61" s="452"/>
      <c r="HS61" s="452"/>
      <c r="HT61" s="452"/>
      <c r="HU61" s="452"/>
      <c r="HV61" s="452"/>
      <c r="HW61" s="452"/>
      <c r="HX61" s="452"/>
      <c r="HY61" s="452"/>
      <c r="HZ61" s="452"/>
      <c r="IA61" s="452"/>
      <c r="IB61" s="452"/>
      <c r="IC61" s="452"/>
      <c r="ID61" s="452"/>
      <c r="IE61" s="452"/>
      <c r="IF61" s="452"/>
      <c r="IG61" s="452"/>
      <c r="IH61" s="452"/>
      <c r="II61" s="452"/>
      <c r="IJ61" s="452"/>
      <c r="IK61" s="452"/>
      <c r="IL61" s="452"/>
      <c r="IM61" s="452"/>
      <c r="IN61" s="452"/>
      <c r="IO61" s="452"/>
      <c r="IP61" s="452"/>
      <c r="IQ61" s="452"/>
      <c r="IR61" s="452"/>
      <c r="IS61" s="452"/>
      <c r="IT61" s="452"/>
      <c r="IU61" s="452"/>
      <c r="IV61" s="452"/>
    </row>
    <row r="62" spans="1:256" ht="18">
      <c r="A62" s="452"/>
      <c r="B62" s="452"/>
      <c r="C62" s="452"/>
      <c r="D62" s="467"/>
      <c r="E62" s="452"/>
      <c r="F62" s="452"/>
      <c r="G62" s="452"/>
      <c r="H62" s="452"/>
      <c r="I62" s="452"/>
      <c r="J62" s="467"/>
      <c r="K62" s="452"/>
      <c r="L62" s="467"/>
      <c r="M62" s="452"/>
      <c r="N62" s="452"/>
      <c r="O62" s="465"/>
      <c r="P62" s="465"/>
      <c r="Q62" s="452"/>
      <c r="R62" s="452"/>
      <c r="S62" s="452"/>
      <c r="T62" s="452"/>
      <c r="U62" s="452"/>
      <c r="V62" s="452"/>
      <c r="W62" s="452"/>
      <c r="X62" s="452"/>
      <c r="Y62" s="452"/>
      <c r="Z62" s="452"/>
      <c r="AA62" s="452"/>
      <c r="AB62" s="452"/>
      <c r="AC62" s="452"/>
      <c r="AD62" s="452"/>
      <c r="AE62" s="452"/>
      <c r="AF62" s="452"/>
      <c r="AG62" s="452"/>
      <c r="AH62" s="452"/>
      <c r="AI62" s="452"/>
      <c r="AJ62" s="452"/>
      <c r="AK62" s="452"/>
      <c r="AL62" s="452"/>
      <c r="AM62" s="452"/>
      <c r="AN62" s="452"/>
      <c r="AO62" s="452"/>
      <c r="AP62" s="452"/>
      <c r="AQ62" s="452"/>
      <c r="AR62" s="452"/>
      <c r="AS62" s="452"/>
      <c r="AT62" s="452"/>
      <c r="AU62" s="452"/>
      <c r="AV62" s="452"/>
      <c r="AW62" s="452"/>
      <c r="AX62" s="452"/>
      <c r="AY62" s="452"/>
      <c r="AZ62" s="452"/>
      <c r="BA62" s="452"/>
      <c r="BB62" s="452"/>
      <c r="BC62" s="452"/>
      <c r="BD62" s="452"/>
      <c r="BE62" s="452"/>
      <c r="BF62" s="452"/>
      <c r="BG62" s="452"/>
      <c r="BH62" s="452"/>
      <c r="BI62" s="452"/>
      <c r="BJ62" s="452"/>
      <c r="BK62" s="452"/>
      <c r="BL62" s="452"/>
      <c r="BM62" s="452"/>
      <c r="BN62" s="452"/>
      <c r="BO62" s="452"/>
      <c r="BP62" s="452"/>
      <c r="BQ62" s="452"/>
      <c r="BR62" s="452"/>
      <c r="BS62" s="452"/>
      <c r="BT62" s="452"/>
      <c r="BU62" s="452"/>
      <c r="BV62" s="452"/>
      <c r="BW62" s="452"/>
      <c r="BX62" s="452"/>
      <c r="BY62" s="452"/>
      <c r="BZ62" s="452"/>
      <c r="CA62" s="452"/>
      <c r="CB62" s="452"/>
      <c r="CC62" s="452"/>
      <c r="CD62" s="452"/>
      <c r="CE62" s="452"/>
      <c r="CF62" s="452"/>
      <c r="CG62" s="452"/>
      <c r="CH62" s="452"/>
      <c r="CI62" s="452"/>
      <c r="CJ62" s="452"/>
      <c r="CK62" s="452"/>
      <c r="CL62" s="452"/>
      <c r="CM62" s="452"/>
      <c r="CN62" s="452"/>
      <c r="CO62" s="452"/>
      <c r="CP62" s="452"/>
      <c r="CQ62" s="452"/>
      <c r="CR62" s="452"/>
      <c r="CS62" s="452"/>
      <c r="CT62" s="452"/>
      <c r="CU62" s="452"/>
      <c r="CV62" s="452"/>
      <c r="CW62" s="452"/>
      <c r="CX62" s="452"/>
      <c r="CY62" s="452"/>
      <c r="CZ62" s="452"/>
      <c r="DA62" s="452"/>
      <c r="DB62" s="452"/>
      <c r="DC62" s="452"/>
      <c r="DD62" s="452"/>
      <c r="DE62" s="452"/>
      <c r="DF62" s="452"/>
      <c r="DG62" s="452"/>
      <c r="DH62" s="452"/>
      <c r="DI62" s="452"/>
      <c r="DJ62" s="452"/>
      <c r="DK62" s="452"/>
      <c r="DL62" s="452"/>
      <c r="DM62" s="452"/>
      <c r="DN62" s="452"/>
      <c r="DO62" s="452"/>
      <c r="DP62" s="452"/>
      <c r="DQ62" s="452"/>
      <c r="DR62" s="452"/>
      <c r="DS62" s="452"/>
      <c r="DT62" s="452"/>
      <c r="DU62" s="452"/>
      <c r="DV62" s="452"/>
      <c r="DW62" s="452"/>
      <c r="DX62" s="452"/>
      <c r="DY62" s="452"/>
      <c r="DZ62" s="452"/>
      <c r="EA62" s="452"/>
      <c r="EB62" s="452"/>
      <c r="EC62" s="452"/>
      <c r="ED62" s="452"/>
      <c r="EE62" s="452"/>
      <c r="EF62" s="452"/>
      <c r="EG62" s="452"/>
      <c r="EH62" s="452"/>
      <c r="EI62" s="452"/>
      <c r="EJ62" s="452"/>
      <c r="EK62" s="452"/>
      <c r="EL62" s="452"/>
      <c r="EM62" s="452"/>
      <c r="EN62" s="452"/>
      <c r="EO62" s="452"/>
      <c r="EP62" s="452"/>
      <c r="EQ62" s="452"/>
      <c r="ER62" s="452"/>
      <c r="ES62" s="452"/>
      <c r="ET62" s="452"/>
      <c r="EU62" s="452"/>
      <c r="EV62" s="452"/>
      <c r="EW62" s="452"/>
      <c r="EX62" s="452"/>
      <c r="EY62" s="452"/>
      <c r="EZ62" s="452"/>
      <c r="FA62" s="452"/>
      <c r="FB62" s="452"/>
      <c r="FC62" s="452"/>
      <c r="FD62" s="452"/>
      <c r="FE62" s="452"/>
      <c r="FF62" s="452"/>
      <c r="FG62" s="452"/>
      <c r="FH62" s="452"/>
      <c r="FI62" s="452"/>
      <c r="FJ62" s="452"/>
      <c r="FK62" s="452"/>
      <c r="FL62" s="452"/>
      <c r="FM62" s="452"/>
      <c r="FN62" s="452"/>
      <c r="FO62" s="452"/>
      <c r="FP62" s="452"/>
      <c r="FQ62" s="452"/>
      <c r="FR62" s="452"/>
      <c r="FS62" s="452"/>
      <c r="FT62" s="452"/>
      <c r="FU62" s="452"/>
      <c r="FV62" s="452"/>
      <c r="FW62" s="452"/>
      <c r="FX62" s="452"/>
      <c r="FY62" s="452"/>
      <c r="FZ62" s="452"/>
      <c r="GA62" s="452"/>
      <c r="GB62" s="452"/>
      <c r="GC62" s="452"/>
      <c r="GD62" s="452"/>
      <c r="GE62" s="452"/>
      <c r="GF62" s="452"/>
      <c r="GG62" s="452"/>
      <c r="GH62" s="452"/>
      <c r="GI62" s="452"/>
      <c r="GJ62" s="452"/>
      <c r="GK62" s="452"/>
      <c r="GL62" s="452"/>
      <c r="GM62" s="452"/>
      <c r="GN62" s="452"/>
      <c r="GO62" s="452"/>
      <c r="GP62" s="452"/>
      <c r="GQ62" s="452"/>
      <c r="GR62" s="452"/>
      <c r="GS62" s="452"/>
      <c r="GT62" s="452"/>
      <c r="GU62" s="452"/>
      <c r="GV62" s="452"/>
      <c r="GW62" s="452"/>
      <c r="GX62" s="452"/>
      <c r="GY62" s="452"/>
      <c r="GZ62" s="452"/>
      <c r="HA62" s="452"/>
      <c r="HB62" s="452"/>
      <c r="HC62" s="452"/>
      <c r="HD62" s="452"/>
      <c r="HE62" s="452"/>
      <c r="HF62" s="452"/>
      <c r="HG62" s="452"/>
      <c r="HH62" s="452"/>
      <c r="HI62" s="452"/>
      <c r="HJ62" s="452"/>
      <c r="HK62" s="452"/>
      <c r="HL62" s="452"/>
      <c r="HM62" s="452"/>
      <c r="HN62" s="452"/>
      <c r="HO62" s="452"/>
      <c r="HP62" s="452"/>
      <c r="HQ62" s="452"/>
      <c r="HR62" s="452"/>
      <c r="HS62" s="452"/>
      <c r="HT62" s="452"/>
      <c r="HU62" s="452"/>
      <c r="HV62" s="452"/>
      <c r="HW62" s="452"/>
      <c r="HX62" s="452"/>
      <c r="HY62" s="452"/>
      <c r="HZ62" s="452"/>
      <c r="IA62" s="452"/>
      <c r="IB62" s="452"/>
      <c r="IC62" s="452"/>
      <c r="ID62" s="452"/>
      <c r="IE62" s="452"/>
      <c r="IF62" s="452"/>
      <c r="IG62" s="452"/>
      <c r="IH62" s="452"/>
      <c r="II62" s="452"/>
      <c r="IJ62" s="452"/>
      <c r="IK62" s="452"/>
      <c r="IL62" s="452"/>
      <c r="IM62" s="452"/>
      <c r="IN62" s="452"/>
      <c r="IO62" s="452"/>
      <c r="IP62" s="452"/>
      <c r="IQ62" s="452"/>
      <c r="IR62" s="452"/>
      <c r="IS62" s="452"/>
      <c r="IT62" s="452"/>
      <c r="IU62" s="452"/>
      <c r="IV62" s="452"/>
    </row>
    <row r="63" spans="1:256" ht="18">
      <c r="A63" s="468"/>
      <c r="B63" s="452"/>
      <c r="C63" s="452"/>
      <c r="D63" s="469"/>
      <c r="E63" s="457"/>
      <c r="F63" s="469"/>
      <c r="G63" s="457"/>
      <c r="H63" s="469"/>
      <c r="I63" s="457"/>
      <c r="J63" s="469"/>
      <c r="K63" s="457"/>
      <c r="L63" s="469"/>
      <c r="M63" s="452"/>
      <c r="N63" s="452"/>
      <c r="O63" s="465"/>
      <c r="P63" s="465"/>
      <c r="Q63" s="452"/>
      <c r="R63" s="452"/>
      <c r="S63" s="452"/>
      <c r="T63" s="452"/>
      <c r="U63" s="452"/>
      <c r="V63" s="452"/>
      <c r="W63" s="452"/>
      <c r="X63" s="452"/>
      <c r="Y63" s="452"/>
      <c r="Z63" s="452"/>
      <c r="AA63" s="452"/>
      <c r="AB63" s="452"/>
      <c r="AC63" s="452"/>
      <c r="AD63" s="452"/>
      <c r="AE63" s="452"/>
      <c r="AF63" s="452"/>
      <c r="AG63" s="452"/>
      <c r="AH63" s="452"/>
      <c r="AI63" s="452"/>
      <c r="AJ63" s="452"/>
      <c r="AK63" s="452"/>
      <c r="AL63" s="452"/>
      <c r="AM63" s="452"/>
      <c r="AN63" s="452"/>
      <c r="AO63" s="452"/>
      <c r="AP63" s="452"/>
      <c r="AQ63" s="452"/>
      <c r="AR63" s="452"/>
      <c r="AS63" s="452"/>
      <c r="AT63" s="452"/>
      <c r="AU63" s="452"/>
      <c r="AV63" s="452"/>
      <c r="AW63" s="452"/>
      <c r="AX63" s="452"/>
      <c r="AY63" s="452"/>
      <c r="AZ63" s="452"/>
      <c r="BA63" s="452"/>
      <c r="BB63" s="452"/>
      <c r="BC63" s="452"/>
      <c r="BD63" s="452"/>
      <c r="BE63" s="452"/>
      <c r="BF63" s="452"/>
      <c r="BG63" s="452"/>
      <c r="BH63" s="452"/>
      <c r="BI63" s="452"/>
      <c r="BJ63" s="452"/>
      <c r="BK63" s="452"/>
      <c r="BL63" s="452"/>
      <c r="BM63" s="452"/>
      <c r="BN63" s="452"/>
      <c r="BO63" s="452"/>
      <c r="BP63" s="452"/>
      <c r="BQ63" s="452"/>
      <c r="BR63" s="452"/>
      <c r="BS63" s="452"/>
      <c r="BT63" s="452"/>
      <c r="BU63" s="452"/>
      <c r="BV63" s="452"/>
      <c r="BW63" s="452"/>
      <c r="BX63" s="452"/>
      <c r="BY63" s="452"/>
      <c r="BZ63" s="452"/>
      <c r="CA63" s="452"/>
      <c r="CB63" s="452"/>
      <c r="CC63" s="452"/>
      <c r="CD63" s="452"/>
      <c r="CE63" s="452"/>
      <c r="CF63" s="452"/>
      <c r="CG63" s="452"/>
      <c r="CH63" s="452"/>
      <c r="CI63" s="452"/>
      <c r="CJ63" s="452"/>
      <c r="CK63" s="452"/>
      <c r="CL63" s="452"/>
      <c r="CM63" s="452"/>
      <c r="CN63" s="452"/>
      <c r="CO63" s="452"/>
      <c r="CP63" s="452"/>
      <c r="CQ63" s="452"/>
      <c r="CR63" s="452"/>
      <c r="CS63" s="452"/>
      <c r="CT63" s="452"/>
      <c r="CU63" s="452"/>
      <c r="CV63" s="452"/>
      <c r="CW63" s="452"/>
      <c r="CX63" s="452"/>
      <c r="CY63" s="452"/>
      <c r="CZ63" s="452"/>
      <c r="DA63" s="452"/>
      <c r="DB63" s="452"/>
      <c r="DC63" s="452"/>
      <c r="DD63" s="452"/>
      <c r="DE63" s="452"/>
      <c r="DF63" s="452"/>
      <c r="DG63" s="452"/>
      <c r="DH63" s="452"/>
      <c r="DI63" s="452"/>
      <c r="DJ63" s="452"/>
      <c r="DK63" s="452"/>
      <c r="DL63" s="452"/>
      <c r="DM63" s="452"/>
      <c r="DN63" s="452"/>
      <c r="DO63" s="452"/>
      <c r="DP63" s="452"/>
      <c r="DQ63" s="452"/>
      <c r="DR63" s="452"/>
      <c r="DS63" s="452"/>
      <c r="DT63" s="452"/>
      <c r="DU63" s="452"/>
      <c r="DV63" s="452"/>
      <c r="DW63" s="452"/>
      <c r="DX63" s="452"/>
      <c r="DY63" s="452"/>
      <c r="DZ63" s="452"/>
      <c r="EA63" s="452"/>
      <c r="EB63" s="452"/>
      <c r="EC63" s="452"/>
      <c r="ED63" s="452"/>
      <c r="EE63" s="452"/>
      <c r="EF63" s="452"/>
      <c r="EG63" s="452"/>
      <c r="EH63" s="452"/>
      <c r="EI63" s="452"/>
      <c r="EJ63" s="452"/>
      <c r="EK63" s="452"/>
      <c r="EL63" s="452"/>
      <c r="EM63" s="452"/>
      <c r="EN63" s="452"/>
      <c r="EO63" s="452"/>
      <c r="EP63" s="452"/>
      <c r="EQ63" s="452"/>
      <c r="ER63" s="452"/>
      <c r="ES63" s="452"/>
      <c r="ET63" s="452"/>
      <c r="EU63" s="452"/>
      <c r="EV63" s="452"/>
      <c r="EW63" s="452"/>
      <c r="EX63" s="452"/>
      <c r="EY63" s="452"/>
      <c r="EZ63" s="452"/>
      <c r="FA63" s="452"/>
      <c r="FB63" s="452"/>
      <c r="FC63" s="452"/>
      <c r="FD63" s="452"/>
      <c r="FE63" s="452"/>
      <c r="FF63" s="452"/>
      <c r="FG63" s="452"/>
      <c r="FH63" s="452"/>
      <c r="FI63" s="452"/>
      <c r="FJ63" s="452"/>
      <c r="FK63" s="452"/>
      <c r="FL63" s="452"/>
      <c r="FM63" s="452"/>
      <c r="FN63" s="452"/>
      <c r="FO63" s="452"/>
      <c r="FP63" s="452"/>
      <c r="FQ63" s="452"/>
      <c r="FR63" s="452"/>
      <c r="FS63" s="452"/>
      <c r="FT63" s="452"/>
      <c r="FU63" s="452"/>
      <c r="FV63" s="452"/>
      <c r="FW63" s="452"/>
      <c r="FX63" s="452"/>
      <c r="FY63" s="452"/>
      <c r="FZ63" s="452"/>
      <c r="GA63" s="452"/>
      <c r="GB63" s="452"/>
      <c r="GC63" s="452"/>
      <c r="GD63" s="452"/>
      <c r="GE63" s="452"/>
      <c r="GF63" s="452"/>
      <c r="GG63" s="452"/>
      <c r="GH63" s="452"/>
      <c r="GI63" s="452"/>
      <c r="GJ63" s="452"/>
      <c r="GK63" s="452"/>
      <c r="GL63" s="452"/>
      <c r="GM63" s="452"/>
      <c r="GN63" s="452"/>
      <c r="GO63" s="452"/>
      <c r="GP63" s="452"/>
      <c r="GQ63" s="452"/>
      <c r="GR63" s="452"/>
      <c r="GS63" s="452"/>
      <c r="GT63" s="452"/>
      <c r="GU63" s="452"/>
      <c r="GV63" s="452"/>
      <c r="GW63" s="452"/>
      <c r="GX63" s="452"/>
      <c r="GY63" s="452"/>
      <c r="GZ63" s="452"/>
      <c r="HA63" s="452"/>
      <c r="HB63" s="452"/>
      <c r="HC63" s="452"/>
      <c r="HD63" s="452"/>
      <c r="HE63" s="452"/>
      <c r="HF63" s="452"/>
      <c r="HG63" s="452"/>
      <c r="HH63" s="452"/>
      <c r="HI63" s="452"/>
      <c r="HJ63" s="452"/>
      <c r="HK63" s="452"/>
      <c r="HL63" s="452"/>
      <c r="HM63" s="452"/>
      <c r="HN63" s="452"/>
      <c r="HO63" s="452"/>
      <c r="HP63" s="452"/>
      <c r="HQ63" s="452"/>
      <c r="HR63" s="452"/>
      <c r="HS63" s="452"/>
      <c r="HT63" s="452"/>
      <c r="HU63" s="452"/>
      <c r="HV63" s="452"/>
      <c r="HW63" s="452"/>
      <c r="HX63" s="452"/>
      <c r="HY63" s="452"/>
      <c r="HZ63" s="452"/>
      <c r="IA63" s="452"/>
      <c r="IB63" s="452"/>
      <c r="IC63" s="452"/>
      <c r="ID63" s="452"/>
      <c r="IE63" s="452"/>
      <c r="IF63" s="452"/>
      <c r="IG63" s="452"/>
      <c r="IH63" s="452"/>
      <c r="II63" s="452"/>
      <c r="IJ63" s="452"/>
      <c r="IK63" s="452"/>
      <c r="IL63" s="452"/>
      <c r="IM63" s="452"/>
      <c r="IN63" s="452"/>
      <c r="IO63" s="452"/>
      <c r="IP63" s="452"/>
      <c r="IQ63" s="452"/>
      <c r="IR63" s="452"/>
      <c r="IS63" s="452"/>
      <c r="IT63" s="452"/>
      <c r="IU63" s="452"/>
      <c r="IV63" s="452"/>
    </row>
    <row r="64" spans="1:256" ht="18">
      <c r="A64" s="452"/>
      <c r="B64" s="452"/>
      <c r="C64" s="452"/>
      <c r="D64" s="457"/>
      <c r="E64" s="452"/>
      <c r="F64" s="457"/>
      <c r="G64" s="452"/>
      <c r="H64" s="457"/>
      <c r="I64" s="452"/>
      <c r="J64" s="457"/>
      <c r="K64" s="452"/>
      <c r="L64" s="457"/>
      <c r="M64" s="452"/>
      <c r="N64" s="452"/>
      <c r="O64" s="465"/>
      <c r="P64" s="465"/>
      <c r="Q64" s="452"/>
      <c r="R64" s="452"/>
      <c r="S64" s="452"/>
      <c r="T64" s="452"/>
      <c r="U64" s="452"/>
      <c r="V64" s="452"/>
      <c r="W64" s="452"/>
      <c r="X64" s="452"/>
      <c r="Y64" s="452"/>
      <c r="Z64" s="452"/>
      <c r="AA64" s="452"/>
      <c r="AB64" s="452"/>
      <c r="AC64" s="452"/>
      <c r="AD64" s="452"/>
      <c r="AE64" s="452"/>
      <c r="AF64" s="452"/>
      <c r="AG64" s="452"/>
      <c r="AH64" s="452"/>
      <c r="AI64" s="452"/>
      <c r="AJ64" s="452"/>
      <c r="AK64" s="452"/>
      <c r="AL64" s="452"/>
      <c r="AM64" s="452"/>
      <c r="AN64" s="452"/>
      <c r="AO64" s="452"/>
      <c r="AP64" s="452"/>
      <c r="AQ64" s="452"/>
      <c r="AR64" s="452"/>
      <c r="AS64" s="452"/>
      <c r="AT64" s="452"/>
      <c r="AU64" s="452"/>
      <c r="AV64" s="452"/>
      <c r="AW64" s="452"/>
      <c r="AX64" s="452"/>
      <c r="AY64" s="452"/>
      <c r="AZ64" s="452"/>
      <c r="BA64" s="452"/>
      <c r="BB64" s="452"/>
      <c r="BC64" s="452"/>
      <c r="BD64" s="452"/>
      <c r="BE64" s="452"/>
      <c r="BF64" s="452"/>
      <c r="BG64" s="452"/>
      <c r="BH64" s="452"/>
      <c r="BI64" s="452"/>
      <c r="BJ64" s="452"/>
      <c r="BK64" s="452"/>
      <c r="BL64" s="452"/>
      <c r="BM64" s="452"/>
      <c r="BN64" s="452"/>
      <c r="BO64" s="452"/>
      <c r="BP64" s="452"/>
      <c r="BQ64" s="452"/>
      <c r="BR64" s="452"/>
      <c r="BS64" s="452"/>
      <c r="BT64" s="452"/>
      <c r="BU64" s="452"/>
      <c r="BV64" s="452"/>
      <c r="BW64" s="452"/>
      <c r="BX64" s="452"/>
      <c r="BY64" s="452"/>
      <c r="BZ64" s="452"/>
      <c r="CA64" s="452"/>
      <c r="CB64" s="452"/>
      <c r="CC64" s="452"/>
      <c r="CD64" s="452"/>
      <c r="CE64" s="452"/>
      <c r="CF64" s="452"/>
      <c r="CG64" s="452"/>
      <c r="CH64" s="452"/>
      <c r="CI64" s="452"/>
      <c r="CJ64" s="452"/>
      <c r="CK64" s="452"/>
      <c r="CL64" s="452"/>
      <c r="CM64" s="452"/>
      <c r="CN64" s="452"/>
      <c r="CO64" s="452"/>
      <c r="CP64" s="452"/>
      <c r="CQ64" s="452"/>
      <c r="CR64" s="452"/>
      <c r="CS64" s="452"/>
      <c r="CT64" s="452"/>
      <c r="CU64" s="452"/>
      <c r="CV64" s="452"/>
      <c r="CW64" s="452"/>
      <c r="CX64" s="452"/>
      <c r="CY64" s="452"/>
      <c r="CZ64" s="452"/>
      <c r="DA64" s="452"/>
      <c r="DB64" s="452"/>
      <c r="DC64" s="452"/>
      <c r="DD64" s="452"/>
      <c r="DE64" s="452"/>
      <c r="DF64" s="452"/>
      <c r="DG64" s="452"/>
      <c r="DH64" s="452"/>
      <c r="DI64" s="452"/>
      <c r="DJ64" s="452"/>
      <c r="DK64" s="452"/>
      <c r="DL64" s="452"/>
      <c r="DM64" s="452"/>
      <c r="DN64" s="452"/>
      <c r="DO64" s="452"/>
      <c r="DP64" s="452"/>
      <c r="DQ64" s="452"/>
      <c r="DR64" s="452"/>
      <c r="DS64" s="452"/>
      <c r="DT64" s="452"/>
      <c r="DU64" s="452"/>
      <c r="DV64" s="452"/>
      <c r="DW64" s="452"/>
      <c r="DX64" s="452"/>
      <c r="DY64" s="452"/>
      <c r="DZ64" s="452"/>
      <c r="EA64" s="452"/>
      <c r="EB64" s="452"/>
      <c r="EC64" s="452"/>
      <c r="ED64" s="452"/>
      <c r="EE64" s="452"/>
      <c r="EF64" s="452"/>
      <c r="EG64" s="452"/>
      <c r="EH64" s="452"/>
      <c r="EI64" s="452"/>
      <c r="EJ64" s="452"/>
      <c r="EK64" s="452"/>
      <c r="EL64" s="452"/>
      <c r="EM64" s="452"/>
      <c r="EN64" s="452"/>
      <c r="EO64" s="452"/>
      <c r="EP64" s="452"/>
      <c r="EQ64" s="452"/>
      <c r="ER64" s="452"/>
      <c r="ES64" s="452"/>
      <c r="ET64" s="452"/>
      <c r="EU64" s="452"/>
      <c r="EV64" s="452"/>
      <c r="EW64" s="452"/>
      <c r="EX64" s="452"/>
      <c r="EY64" s="452"/>
      <c r="EZ64" s="452"/>
      <c r="FA64" s="452"/>
      <c r="FB64" s="452"/>
      <c r="FC64" s="452"/>
      <c r="FD64" s="452"/>
      <c r="FE64" s="452"/>
      <c r="FF64" s="452"/>
      <c r="FG64" s="452"/>
      <c r="FH64" s="452"/>
      <c r="FI64" s="452"/>
      <c r="FJ64" s="452"/>
      <c r="FK64" s="452"/>
      <c r="FL64" s="452"/>
      <c r="FM64" s="452"/>
      <c r="FN64" s="452"/>
      <c r="FO64" s="452"/>
      <c r="FP64" s="452"/>
      <c r="FQ64" s="452"/>
      <c r="FR64" s="452"/>
      <c r="FS64" s="452"/>
      <c r="FT64" s="452"/>
      <c r="FU64" s="452"/>
      <c r="FV64" s="452"/>
      <c r="FW64" s="452"/>
      <c r="FX64" s="452"/>
      <c r="FY64" s="452"/>
      <c r="FZ64" s="452"/>
      <c r="GA64" s="452"/>
      <c r="GB64" s="452"/>
      <c r="GC64" s="452"/>
      <c r="GD64" s="452"/>
      <c r="GE64" s="452"/>
      <c r="GF64" s="452"/>
      <c r="GG64" s="452"/>
      <c r="GH64" s="452"/>
      <c r="GI64" s="452"/>
      <c r="GJ64" s="452"/>
      <c r="GK64" s="452"/>
      <c r="GL64" s="452"/>
      <c r="GM64" s="452"/>
      <c r="GN64" s="452"/>
      <c r="GO64" s="452"/>
      <c r="GP64" s="452"/>
      <c r="GQ64" s="452"/>
      <c r="GR64" s="452"/>
      <c r="GS64" s="452"/>
      <c r="GT64" s="452"/>
      <c r="GU64" s="452"/>
      <c r="GV64" s="452"/>
      <c r="GW64" s="452"/>
      <c r="GX64" s="452"/>
      <c r="GY64" s="452"/>
      <c r="GZ64" s="452"/>
      <c r="HA64" s="452"/>
      <c r="HB64" s="452"/>
      <c r="HC64" s="452"/>
      <c r="HD64" s="452"/>
      <c r="HE64" s="452"/>
      <c r="HF64" s="452"/>
      <c r="HG64" s="452"/>
      <c r="HH64" s="452"/>
      <c r="HI64" s="452"/>
      <c r="HJ64" s="452"/>
      <c r="HK64" s="452"/>
      <c r="HL64" s="452"/>
      <c r="HM64" s="452"/>
      <c r="HN64" s="452"/>
      <c r="HO64" s="452"/>
      <c r="HP64" s="452"/>
      <c r="HQ64" s="452"/>
      <c r="HR64" s="452"/>
      <c r="HS64" s="452"/>
      <c r="HT64" s="452"/>
      <c r="HU64" s="452"/>
      <c r="HV64" s="452"/>
      <c r="HW64" s="452"/>
      <c r="HX64" s="452"/>
      <c r="HY64" s="452"/>
      <c r="HZ64" s="452"/>
      <c r="IA64" s="452"/>
      <c r="IB64" s="452"/>
      <c r="IC64" s="452"/>
      <c r="ID64" s="452"/>
      <c r="IE64" s="452"/>
      <c r="IF64" s="452"/>
      <c r="IG64" s="452"/>
      <c r="IH64" s="452"/>
      <c r="II64" s="452"/>
      <c r="IJ64" s="452"/>
      <c r="IK64" s="452"/>
      <c r="IL64" s="452"/>
      <c r="IM64" s="452"/>
      <c r="IN64" s="452"/>
      <c r="IO64" s="452"/>
      <c r="IP64" s="452"/>
      <c r="IQ64" s="452"/>
      <c r="IR64" s="452"/>
      <c r="IS64" s="452"/>
      <c r="IT64" s="452"/>
      <c r="IU64" s="452"/>
      <c r="IV64" s="452"/>
    </row>
    <row r="65" spans="1:256" ht="18">
      <c r="A65" s="455"/>
      <c r="B65" s="452"/>
      <c r="C65" s="452"/>
      <c r="D65" s="452"/>
      <c r="E65" s="452"/>
      <c r="F65" s="452"/>
      <c r="G65" s="452"/>
      <c r="H65" s="452"/>
      <c r="I65" s="452"/>
      <c r="J65" s="452"/>
      <c r="K65" s="452"/>
      <c r="L65" s="452"/>
      <c r="M65" s="452"/>
      <c r="N65" s="452"/>
      <c r="O65" s="465"/>
      <c r="P65" s="465"/>
      <c r="Q65" s="452"/>
      <c r="R65" s="452"/>
      <c r="S65" s="452"/>
      <c r="T65" s="452"/>
      <c r="U65" s="452"/>
      <c r="V65" s="452"/>
      <c r="W65" s="452"/>
      <c r="X65" s="452"/>
      <c r="Y65" s="452"/>
      <c r="Z65" s="452"/>
      <c r="AA65" s="452"/>
      <c r="AB65" s="452"/>
      <c r="AC65" s="452"/>
      <c r="AD65" s="452"/>
      <c r="AE65" s="452"/>
      <c r="AF65" s="452"/>
      <c r="AG65" s="452"/>
      <c r="AH65" s="452"/>
      <c r="AI65" s="452"/>
      <c r="AJ65" s="452"/>
      <c r="AK65" s="452"/>
      <c r="AL65" s="452"/>
      <c r="AM65" s="452"/>
      <c r="AN65" s="452"/>
      <c r="AO65" s="452"/>
      <c r="AP65" s="452"/>
      <c r="AQ65" s="452"/>
      <c r="AR65" s="452"/>
      <c r="AS65" s="452"/>
      <c r="AT65" s="452"/>
      <c r="AU65" s="452"/>
      <c r="AV65" s="452"/>
      <c r="AW65" s="452"/>
      <c r="AX65" s="452"/>
      <c r="AY65" s="452"/>
      <c r="AZ65" s="452"/>
      <c r="BA65" s="452"/>
      <c r="BB65" s="452"/>
      <c r="BC65" s="452"/>
      <c r="BD65" s="452"/>
      <c r="BE65" s="452"/>
      <c r="BF65" s="452"/>
      <c r="BG65" s="452"/>
      <c r="BH65" s="452"/>
      <c r="BI65" s="452"/>
      <c r="BJ65" s="452"/>
      <c r="BK65" s="452"/>
      <c r="BL65" s="452"/>
      <c r="BM65" s="452"/>
      <c r="BN65" s="452"/>
      <c r="BO65" s="452"/>
      <c r="BP65" s="452"/>
      <c r="BQ65" s="452"/>
      <c r="BR65" s="452"/>
      <c r="BS65" s="452"/>
      <c r="BT65" s="452"/>
      <c r="BU65" s="452"/>
      <c r="BV65" s="452"/>
      <c r="BW65" s="452"/>
      <c r="BX65" s="452"/>
      <c r="BY65" s="452"/>
      <c r="BZ65" s="452"/>
      <c r="CA65" s="452"/>
      <c r="CB65" s="452"/>
      <c r="CC65" s="452"/>
      <c r="CD65" s="452"/>
      <c r="CE65" s="452"/>
      <c r="CF65" s="452"/>
      <c r="CG65" s="452"/>
      <c r="CH65" s="452"/>
      <c r="CI65" s="452"/>
      <c r="CJ65" s="452"/>
      <c r="CK65" s="452"/>
      <c r="CL65" s="452"/>
      <c r="CM65" s="452"/>
      <c r="CN65" s="452"/>
      <c r="CO65" s="452"/>
      <c r="CP65" s="452"/>
      <c r="CQ65" s="452"/>
      <c r="CR65" s="452"/>
      <c r="CS65" s="452"/>
      <c r="CT65" s="452"/>
      <c r="CU65" s="452"/>
      <c r="CV65" s="452"/>
      <c r="CW65" s="452"/>
      <c r="CX65" s="452"/>
      <c r="CY65" s="452"/>
      <c r="CZ65" s="452"/>
      <c r="DA65" s="452"/>
      <c r="DB65" s="452"/>
      <c r="DC65" s="452"/>
      <c r="DD65" s="452"/>
      <c r="DE65" s="452"/>
      <c r="DF65" s="452"/>
      <c r="DG65" s="452"/>
      <c r="DH65" s="452"/>
      <c r="DI65" s="452"/>
      <c r="DJ65" s="452"/>
      <c r="DK65" s="452"/>
      <c r="DL65" s="452"/>
      <c r="DM65" s="452"/>
      <c r="DN65" s="452"/>
      <c r="DO65" s="452"/>
      <c r="DP65" s="452"/>
      <c r="DQ65" s="452"/>
      <c r="DR65" s="452"/>
      <c r="DS65" s="452"/>
      <c r="DT65" s="452"/>
      <c r="DU65" s="452"/>
      <c r="DV65" s="452"/>
      <c r="DW65" s="452"/>
      <c r="DX65" s="452"/>
      <c r="DY65" s="452"/>
      <c r="DZ65" s="452"/>
      <c r="EA65" s="452"/>
      <c r="EB65" s="452"/>
      <c r="EC65" s="452"/>
      <c r="ED65" s="452"/>
      <c r="EE65" s="452"/>
      <c r="EF65" s="452"/>
      <c r="EG65" s="452"/>
      <c r="EH65" s="452"/>
      <c r="EI65" s="452"/>
      <c r="EJ65" s="452"/>
      <c r="EK65" s="452"/>
      <c r="EL65" s="452"/>
      <c r="EM65" s="452"/>
      <c r="EN65" s="452"/>
      <c r="EO65" s="452"/>
      <c r="EP65" s="452"/>
      <c r="EQ65" s="452"/>
      <c r="ER65" s="452"/>
      <c r="ES65" s="452"/>
      <c r="ET65" s="452"/>
      <c r="EU65" s="452"/>
      <c r="EV65" s="452"/>
      <c r="EW65" s="452"/>
      <c r="EX65" s="452"/>
      <c r="EY65" s="452"/>
      <c r="EZ65" s="452"/>
      <c r="FA65" s="452"/>
      <c r="FB65" s="452"/>
      <c r="FC65" s="452"/>
      <c r="FD65" s="452"/>
      <c r="FE65" s="452"/>
      <c r="FF65" s="452"/>
      <c r="FG65" s="452"/>
      <c r="FH65" s="452"/>
      <c r="FI65" s="452"/>
      <c r="FJ65" s="452"/>
      <c r="FK65" s="452"/>
      <c r="FL65" s="452"/>
      <c r="FM65" s="452"/>
      <c r="FN65" s="452"/>
      <c r="FO65" s="452"/>
      <c r="FP65" s="452"/>
      <c r="FQ65" s="452"/>
      <c r="FR65" s="452"/>
      <c r="FS65" s="452"/>
      <c r="FT65" s="452"/>
      <c r="FU65" s="452"/>
      <c r="FV65" s="452"/>
      <c r="FW65" s="452"/>
      <c r="FX65" s="452"/>
      <c r="FY65" s="452"/>
      <c r="FZ65" s="452"/>
      <c r="GA65" s="452"/>
      <c r="GB65" s="452"/>
      <c r="GC65" s="452"/>
      <c r="GD65" s="452"/>
      <c r="GE65" s="452"/>
      <c r="GF65" s="452"/>
      <c r="GG65" s="452"/>
      <c r="GH65" s="452"/>
      <c r="GI65" s="452"/>
      <c r="GJ65" s="452"/>
      <c r="GK65" s="452"/>
      <c r="GL65" s="452"/>
      <c r="GM65" s="452"/>
      <c r="GN65" s="452"/>
      <c r="GO65" s="452"/>
      <c r="GP65" s="452"/>
      <c r="GQ65" s="452"/>
      <c r="GR65" s="452"/>
      <c r="GS65" s="452"/>
      <c r="GT65" s="452"/>
      <c r="GU65" s="452"/>
      <c r="GV65" s="452"/>
      <c r="GW65" s="452"/>
      <c r="GX65" s="452"/>
      <c r="GY65" s="452"/>
      <c r="GZ65" s="452"/>
      <c r="HA65" s="452"/>
      <c r="HB65" s="452"/>
      <c r="HC65" s="452"/>
      <c r="HD65" s="452"/>
      <c r="HE65" s="452"/>
      <c r="HF65" s="452"/>
      <c r="HG65" s="452"/>
      <c r="HH65" s="452"/>
      <c r="HI65" s="452"/>
      <c r="HJ65" s="452"/>
      <c r="HK65" s="452"/>
      <c r="HL65" s="452"/>
      <c r="HM65" s="452"/>
      <c r="HN65" s="452"/>
      <c r="HO65" s="452"/>
      <c r="HP65" s="452"/>
      <c r="HQ65" s="452"/>
      <c r="HR65" s="452"/>
      <c r="HS65" s="452"/>
      <c r="HT65" s="452"/>
      <c r="HU65" s="452"/>
      <c r="HV65" s="452"/>
      <c r="HW65" s="452"/>
      <c r="HX65" s="452"/>
      <c r="HY65" s="452"/>
      <c r="HZ65" s="452"/>
      <c r="IA65" s="452"/>
      <c r="IB65" s="452"/>
      <c r="IC65" s="452"/>
      <c r="ID65" s="452"/>
      <c r="IE65" s="452"/>
      <c r="IF65" s="452"/>
      <c r="IG65" s="452"/>
      <c r="IH65" s="452"/>
      <c r="II65" s="452"/>
      <c r="IJ65" s="452"/>
      <c r="IK65" s="452"/>
      <c r="IL65" s="452"/>
      <c r="IM65" s="452"/>
      <c r="IN65" s="452"/>
      <c r="IO65" s="452"/>
      <c r="IP65" s="452"/>
      <c r="IQ65" s="452"/>
      <c r="IR65" s="452"/>
      <c r="IS65" s="452"/>
      <c r="IT65" s="452"/>
      <c r="IU65" s="452"/>
      <c r="IV65" s="452"/>
    </row>
    <row r="66" spans="1:256" ht="18">
      <c r="A66" s="452"/>
      <c r="B66" s="452"/>
      <c r="C66" s="452"/>
      <c r="D66" s="452"/>
      <c r="E66" s="452"/>
      <c r="F66" s="452"/>
      <c r="G66" s="452"/>
      <c r="H66" s="452"/>
      <c r="I66" s="452"/>
      <c r="J66" s="452"/>
      <c r="K66" s="452"/>
      <c r="L66" s="452"/>
      <c r="M66" s="452"/>
      <c r="N66" s="452"/>
      <c r="O66" s="465"/>
      <c r="P66" s="465"/>
      <c r="Q66" s="452"/>
      <c r="R66" s="452"/>
      <c r="S66" s="452"/>
      <c r="T66" s="452"/>
      <c r="U66" s="452"/>
      <c r="V66" s="452"/>
      <c r="W66" s="452"/>
      <c r="X66" s="452"/>
      <c r="Y66" s="452"/>
      <c r="Z66" s="452"/>
      <c r="AA66" s="452"/>
      <c r="AB66" s="452"/>
      <c r="AC66" s="452"/>
      <c r="AD66" s="452"/>
      <c r="AE66" s="452"/>
      <c r="AF66" s="452"/>
      <c r="AG66" s="452"/>
      <c r="AH66" s="452"/>
      <c r="AI66" s="452"/>
      <c r="AJ66" s="452"/>
      <c r="AK66" s="452"/>
      <c r="AL66" s="452"/>
      <c r="AM66" s="452"/>
      <c r="AN66" s="452"/>
      <c r="AO66" s="452"/>
      <c r="AP66" s="452"/>
      <c r="AQ66" s="452"/>
      <c r="AR66" s="452"/>
      <c r="AS66" s="452"/>
      <c r="AT66" s="452"/>
      <c r="AU66" s="452"/>
      <c r="AV66" s="452"/>
      <c r="AW66" s="452"/>
      <c r="AX66" s="452"/>
      <c r="AY66" s="452"/>
      <c r="AZ66" s="452"/>
      <c r="BA66" s="452"/>
      <c r="BB66" s="452"/>
      <c r="BC66" s="452"/>
      <c r="BD66" s="452"/>
      <c r="BE66" s="452"/>
      <c r="BF66" s="452"/>
      <c r="BG66" s="452"/>
      <c r="BH66" s="452"/>
      <c r="BI66" s="452"/>
      <c r="BJ66" s="452"/>
      <c r="BK66" s="452"/>
      <c r="BL66" s="452"/>
      <c r="BM66" s="452"/>
      <c r="BN66" s="452"/>
      <c r="BO66" s="452"/>
      <c r="BP66" s="452"/>
      <c r="BQ66" s="452"/>
      <c r="BR66" s="452"/>
      <c r="BS66" s="452"/>
      <c r="BT66" s="452"/>
      <c r="BU66" s="452"/>
      <c r="BV66" s="452"/>
      <c r="BW66" s="452"/>
      <c r="BX66" s="452"/>
      <c r="BY66" s="452"/>
      <c r="BZ66" s="452"/>
      <c r="CA66" s="452"/>
      <c r="CB66" s="452"/>
      <c r="CC66" s="452"/>
      <c r="CD66" s="452"/>
      <c r="CE66" s="452"/>
      <c r="CF66" s="452"/>
      <c r="CG66" s="452"/>
      <c r="CH66" s="452"/>
      <c r="CI66" s="452"/>
      <c r="CJ66" s="452"/>
      <c r="CK66" s="452"/>
      <c r="CL66" s="452"/>
      <c r="CM66" s="452"/>
      <c r="CN66" s="452"/>
      <c r="CO66" s="452"/>
      <c r="CP66" s="452"/>
      <c r="CQ66" s="452"/>
      <c r="CR66" s="452"/>
      <c r="CS66" s="452"/>
      <c r="CT66" s="452"/>
      <c r="CU66" s="452"/>
      <c r="CV66" s="452"/>
      <c r="CW66" s="452"/>
      <c r="CX66" s="452"/>
      <c r="CY66" s="452"/>
      <c r="CZ66" s="452"/>
      <c r="DA66" s="452"/>
      <c r="DB66" s="452"/>
      <c r="DC66" s="452"/>
      <c r="DD66" s="452"/>
      <c r="DE66" s="452"/>
      <c r="DF66" s="452"/>
      <c r="DG66" s="452"/>
      <c r="DH66" s="452"/>
      <c r="DI66" s="452"/>
      <c r="DJ66" s="452"/>
      <c r="DK66" s="452"/>
      <c r="DL66" s="452"/>
      <c r="DM66" s="452"/>
      <c r="DN66" s="452"/>
      <c r="DO66" s="452"/>
      <c r="DP66" s="452"/>
      <c r="DQ66" s="452"/>
      <c r="DR66" s="452"/>
      <c r="DS66" s="452"/>
      <c r="DT66" s="452"/>
      <c r="DU66" s="452"/>
      <c r="DV66" s="452"/>
      <c r="DW66" s="452"/>
      <c r="DX66" s="452"/>
      <c r="DY66" s="452"/>
      <c r="DZ66" s="452"/>
      <c r="EA66" s="452"/>
      <c r="EB66" s="452"/>
      <c r="EC66" s="452"/>
      <c r="ED66" s="452"/>
      <c r="EE66" s="452"/>
      <c r="EF66" s="452"/>
      <c r="EG66" s="452"/>
      <c r="EH66" s="452"/>
      <c r="EI66" s="452"/>
      <c r="EJ66" s="452"/>
      <c r="EK66" s="452"/>
      <c r="EL66" s="452"/>
      <c r="EM66" s="452"/>
      <c r="EN66" s="452"/>
      <c r="EO66" s="452"/>
      <c r="EP66" s="452"/>
      <c r="EQ66" s="452"/>
      <c r="ER66" s="452"/>
      <c r="ES66" s="452"/>
      <c r="ET66" s="452"/>
      <c r="EU66" s="452"/>
      <c r="EV66" s="452"/>
      <c r="EW66" s="452"/>
      <c r="EX66" s="452"/>
      <c r="EY66" s="452"/>
      <c r="EZ66" s="452"/>
      <c r="FA66" s="452"/>
      <c r="FB66" s="452"/>
      <c r="FC66" s="452"/>
      <c r="FD66" s="452"/>
      <c r="FE66" s="452"/>
      <c r="FF66" s="452"/>
      <c r="FG66" s="452"/>
      <c r="FH66" s="452"/>
      <c r="FI66" s="452"/>
      <c r="FJ66" s="452"/>
      <c r="FK66" s="452"/>
      <c r="FL66" s="452"/>
      <c r="FM66" s="452"/>
      <c r="FN66" s="452"/>
      <c r="FO66" s="452"/>
      <c r="FP66" s="452"/>
      <c r="FQ66" s="452"/>
      <c r="FR66" s="452"/>
      <c r="FS66" s="452"/>
      <c r="FT66" s="452"/>
      <c r="FU66" s="452"/>
      <c r="FV66" s="452"/>
      <c r="FW66" s="452"/>
      <c r="FX66" s="452"/>
      <c r="FY66" s="452"/>
      <c r="FZ66" s="452"/>
      <c r="GA66" s="452"/>
      <c r="GB66" s="452"/>
      <c r="GC66" s="452"/>
      <c r="GD66" s="452"/>
      <c r="GE66" s="452"/>
      <c r="GF66" s="452"/>
      <c r="GG66" s="452"/>
      <c r="GH66" s="452"/>
      <c r="GI66" s="452"/>
      <c r="GJ66" s="452"/>
      <c r="GK66" s="452"/>
      <c r="GL66" s="452"/>
      <c r="GM66" s="452"/>
      <c r="GN66" s="452"/>
      <c r="GO66" s="452"/>
      <c r="GP66" s="452"/>
      <c r="GQ66" s="452"/>
      <c r="GR66" s="452"/>
      <c r="GS66" s="452"/>
      <c r="GT66" s="452"/>
      <c r="GU66" s="452"/>
      <c r="GV66" s="452"/>
      <c r="GW66" s="452"/>
      <c r="GX66" s="452"/>
      <c r="GY66" s="452"/>
      <c r="GZ66" s="452"/>
      <c r="HA66" s="452"/>
      <c r="HB66" s="452"/>
      <c r="HC66" s="452"/>
      <c r="HD66" s="452"/>
      <c r="HE66" s="452"/>
      <c r="HF66" s="452"/>
      <c r="HG66" s="452"/>
      <c r="HH66" s="452"/>
      <c r="HI66" s="452"/>
      <c r="HJ66" s="452"/>
      <c r="HK66" s="452"/>
      <c r="HL66" s="452"/>
      <c r="HM66" s="452"/>
      <c r="HN66" s="452"/>
      <c r="HO66" s="452"/>
      <c r="HP66" s="452"/>
      <c r="HQ66" s="452"/>
      <c r="HR66" s="452"/>
      <c r="HS66" s="452"/>
      <c r="HT66" s="452"/>
      <c r="HU66" s="452"/>
      <c r="HV66" s="452"/>
      <c r="HW66" s="452"/>
      <c r="HX66" s="452"/>
      <c r="HY66" s="452"/>
      <c r="HZ66" s="452"/>
      <c r="IA66" s="452"/>
      <c r="IB66" s="452"/>
      <c r="IC66" s="452"/>
      <c r="ID66" s="452"/>
      <c r="IE66" s="452"/>
      <c r="IF66" s="452"/>
      <c r="IG66" s="452"/>
      <c r="IH66" s="452"/>
      <c r="II66" s="452"/>
      <c r="IJ66" s="452"/>
      <c r="IK66" s="452"/>
      <c r="IL66" s="452"/>
      <c r="IM66" s="452"/>
      <c r="IN66" s="452"/>
      <c r="IO66" s="452"/>
      <c r="IP66" s="452"/>
      <c r="IQ66" s="452"/>
      <c r="IR66" s="452"/>
      <c r="IS66" s="452"/>
      <c r="IT66" s="452"/>
      <c r="IU66" s="452"/>
      <c r="IV66" s="452"/>
    </row>
    <row r="67" spans="1:256" ht="20.100000000000001" customHeight="1">
      <c r="A67" s="452"/>
      <c r="B67" s="452"/>
      <c r="C67" s="470"/>
      <c r="D67" s="471"/>
      <c r="E67" s="470"/>
      <c r="F67" s="472"/>
      <c r="G67" s="470"/>
      <c r="H67" s="473"/>
      <c r="I67" s="470"/>
      <c r="J67" s="474"/>
      <c r="K67" s="470"/>
      <c r="L67" s="471"/>
      <c r="M67" s="452"/>
      <c r="N67" s="452"/>
      <c r="O67" s="465"/>
      <c r="P67" s="465"/>
      <c r="Q67" s="452"/>
      <c r="R67" s="452"/>
      <c r="S67" s="452"/>
      <c r="T67" s="452"/>
      <c r="U67" s="452"/>
      <c r="V67" s="452"/>
      <c r="W67" s="452"/>
      <c r="X67" s="452"/>
      <c r="Y67" s="452"/>
      <c r="Z67" s="452"/>
      <c r="AA67" s="452"/>
      <c r="AB67" s="452"/>
      <c r="AC67" s="452"/>
      <c r="AD67" s="452"/>
      <c r="AE67" s="452"/>
      <c r="AF67" s="452"/>
      <c r="AG67" s="452"/>
      <c r="AH67" s="452"/>
      <c r="AI67" s="452"/>
      <c r="AJ67" s="452"/>
      <c r="AK67" s="452"/>
      <c r="AL67" s="452"/>
      <c r="AM67" s="452"/>
      <c r="AN67" s="452"/>
      <c r="AO67" s="452"/>
      <c r="AP67" s="452"/>
      <c r="AQ67" s="452"/>
      <c r="AR67" s="452"/>
      <c r="AS67" s="452"/>
      <c r="AT67" s="452"/>
      <c r="AU67" s="452"/>
      <c r="AV67" s="452"/>
      <c r="AW67" s="452"/>
      <c r="AX67" s="452"/>
      <c r="AY67" s="452"/>
      <c r="AZ67" s="452"/>
      <c r="BA67" s="452"/>
      <c r="BB67" s="452"/>
      <c r="BC67" s="452"/>
      <c r="BD67" s="452"/>
      <c r="BE67" s="452"/>
      <c r="BF67" s="452"/>
      <c r="BG67" s="452"/>
      <c r="BH67" s="452"/>
      <c r="BI67" s="452"/>
      <c r="BJ67" s="452"/>
      <c r="BK67" s="452"/>
      <c r="BL67" s="452"/>
      <c r="BM67" s="452"/>
      <c r="BN67" s="452"/>
      <c r="BO67" s="452"/>
      <c r="BP67" s="452"/>
      <c r="BQ67" s="452"/>
      <c r="BR67" s="452"/>
      <c r="BS67" s="452"/>
      <c r="BT67" s="452"/>
      <c r="BU67" s="452"/>
      <c r="BV67" s="452"/>
      <c r="BW67" s="452"/>
      <c r="BX67" s="452"/>
      <c r="BY67" s="452"/>
      <c r="BZ67" s="452"/>
      <c r="CA67" s="452"/>
      <c r="CB67" s="452"/>
      <c r="CC67" s="452"/>
      <c r="CD67" s="452"/>
      <c r="CE67" s="452"/>
      <c r="CF67" s="452"/>
      <c r="CG67" s="452"/>
      <c r="CH67" s="452"/>
      <c r="CI67" s="452"/>
      <c r="CJ67" s="452"/>
      <c r="CK67" s="452"/>
      <c r="CL67" s="452"/>
      <c r="CM67" s="452"/>
      <c r="CN67" s="452"/>
      <c r="CO67" s="452"/>
      <c r="CP67" s="452"/>
      <c r="CQ67" s="452"/>
      <c r="CR67" s="452"/>
      <c r="CS67" s="452"/>
      <c r="CT67" s="452"/>
      <c r="CU67" s="452"/>
      <c r="CV67" s="452"/>
      <c r="CW67" s="452"/>
      <c r="CX67" s="452"/>
      <c r="CY67" s="452"/>
      <c r="CZ67" s="452"/>
      <c r="DA67" s="452"/>
      <c r="DB67" s="452"/>
      <c r="DC67" s="452"/>
      <c r="DD67" s="452"/>
      <c r="DE67" s="452"/>
      <c r="DF67" s="452"/>
      <c r="DG67" s="452"/>
      <c r="DH67" s="452"/>
      <c r="DI67" s="452"/>
      <c r="DJ67" s="452"/>
      <c r="DK67" s="452"/>
      <c r="DL67" s="452"/>
      <c r="DM67" s="452"/>
      <c r="DN67" s="452"/>
      <c r="DO67" s="452"/>
      <c r="DP67" s="452"/>
      <c r="DQ67" s="452"/>
      <c r="DR67" s="452"/>
      <c r="DS67" s="452"/>
      <c r="DT67" s="452"/>
      <c r="DU67" s="452"/>
      <c r="DV67" s="452"/>
      <c r="DW67" s="452"/>
      <c r="DX67" s="452"/>
      <c r="DY67" s="452"/>
      <c r="DZ67" s="452"/>
      <c r="EA67" s="452"/>
      <c r="EB67" s="452"/>
      <c r="EC67" s="452"/>
      <c r="ED67" s="452"/>
      <c r="EE67" s="452"/>
      <c r="EF67" s="452"/>
      <c r="EG67" s="452"/>
      <c r="EH67" s="452"/>
      <c r="EI67" s="452"/>
      <c r="EJ67" s="452"/>
      <c r="EK67" s="452"/>
      <c r="EL67" s="452"/>
      <c r="EM67" s="452"/>
      <c r="EN67" s="452"/>
      <c r="EO67" s="452"/>
      <c r="EP67" s="452"/>
      <c r="EQ67" s="452"/>
      <c r="ER67" s="452"/>
      <c r="ES67" s="452"/>
      <c r="ET67" s="452"/>
      <c r="EU67" s="452"/>
      <c r="EV67" s="452"/>
      <c r="EW67" s="452"/>
      <c r="EX67" s="452"/>
      <c r="EY67" s="452"/>
      <c r="EZ67" s="452"/>
      <c r="FA67" s="452"/>
      <c r="FB67" s="452"/>
      <c r="FC67" s="452"/>
      <c r="FD67" s="452"/>
      <c r="FE67" s="452"/>
      <c r="FF67" s="452"/>
      <c r="FG67" s="452"/>
      <c r="FH67" s="452"/>
      <c r="FI67" s="452"/>
      <c r="FJ67" s="452"/>
      <c r="FK67" s="452"/>
      <c r="FL67" s="452"/>
      <c r="FM67" s="452"/>
      <c r="FN67" s="452"/>
      <c r="FO67" s="452"/>
      <c r="FP67" s="452"/>
      <c r="FQ67" s="452"/>
      <c r="FR67" s="452"/>
      <c r="FS67" s="452"/>
      <c r="FT67" s="452"/>
      <c r="FU67" s="452"/>
      <c r="FV67" s="452"/>
      <c r="FW67" s="452"/>
      <c r="FX67" s="452"/>
      <c r="FY67" s="452"/>
      <c r="FZ67" s="452"/>
      <c r="GA67" s="452"/>
      <c r="GB67" s="452"/>
      <c r="GC67" s="452"/>
      <c r="GD67" s="452"/>
      <c r="GE67" s="452"/>
      <c r="GF67" s="452"/>
      <c r="GG67" s="452"/>
      <c r="GH67" s="452"/>
      <c r="GI67" s="452"/>
      <c r="GJ67" s="452"/>
      <c r="GK67" s="452"/>
      <c r="GL67" s="452"/>
      <c r="GM67" s="452"/>
      <c r="GN67" s="452"/>
      <c r="GO67" s="452"/>
      <c r="GP67" s="452"/>
      <c r="GQ67" s="452"/>
      <c r="GR67" s="452"/>
      <c r="GS67" s="452"/>
      <c r="GT67" s="452"/>
      <c r="GU67" s="452"/>
      <c r="GV67" s="452"/>
      <c r="GW67" s="452"/>
      <c r="GX67" s="452"/>
      <c r="GY67" s="452"/>
      <c r="GZ67" s="452"/>
      <c r="HA67" s="452"/>
      <c r="HB67" s="452"/>
      <c r="HC67" s="452"/>
      <c r="HD67" s="452"/>
      <c r="HE67" s="452"/>
      <c r="HF67" s="452"/>
      <c r="HG67" s="452"/>
      <c r="HH67" s="452"/>
      <c r="HI67" s="452"/>
      <c r="HJ67" s="452"/>
      <c r="HK67" s="452"/>
      <c r="HL67" s="452"/>
      <c r="HM67" s="452"/>
      <c r="HN67" s="452"/>
      <c r="HO67" s="452"/>
      <c r="HP67" s="452"/>
      <c r="HQ67" s="452"/>
      <c r="HR67" s="452"/>
      <c r="HS67" s="452"/>
      <c r="HT67" s="452"/>
      <c r="HU67" s="452"/>
      <c r="HV67" s="452"/>
      <c r="HW67" s="452"/>
      <c r="HX67" s="452"/>
      <c r="HY67" s="452"/>
      <c r="HZ67" s="452"/>
      <c r="IA67" s="452"/>
      <c r="IB67" s="452"/>
      <c r="IC67" s="452"/>
      <c r="ID67" s="452"/>
      <c r="IE67" s="452"/>
      <c r="IF67" s="452"/>
      <c r="IG67" s="452"/>
      <c r="IH67" s="452"/>
      <c r="II67" s="452"/>
      <c r="IJ67" s="452"/>
      <c r="IK67" s="452"/>
      <c r="IL67" s="452"/>
      <c r="IM67" s="452"/>
      <c r="IN67" s="452"/>
      <c r="IO67" s="452"/>
      <c r="IP67" s="452"/>
      <c r="IQ67" s="452"/>
      <c r="IR67" s="452"/>
      <c r="IS67" s="452"/>
      <c r="IT67" s="452"/>
      <c r="IU67" s="452"/>
      <c r="IV67" s="452"/>
    </row>
    <row r="68" spans="1:256" ht="20.100000000000001" customHeight="1">
      <c r="A68" s="452"/>
      <c r="B68" s="452"/>
      <c r="C68" s="452"/>
      <c r="D68" s="471"/>
      <c r="E68" s="452"/>
      <c r="F68" s="452"/>
      <c r="G68" s="452"/>
      <c r="H68" s="473"/>
      <c r="I68" s="452"/>
      <c r="J68" s="474"/>
      <c r="K68" s="452"/>
      <c r="L68" s="471"/>
      <c r="M68" s="452"/>
      <c r="N68" s="452"/>
      <c r="O68" s="465"/>
      <c r="P68" s="465"/>
      <c r="Q68" s="452"/>
      <c r="R68" s="452"/>
      <c r="S68" s="452"/>
      <c r="T68" s="452"/>
      <c r="U68" s="452"/>
      <c r="V68" s="452"/>
      <c r="W68" s="452"/>
      <c r="X68" s="452"/>
      <c r="Y68" s="452"/>
      <c r="Z68" s="452"/>
      <c r="AA68" s="452"/>
      <c r="AB68" s="452"/>
      <c r="AC68" s="452"/>
      <c r="AD68" s="452"/>
      <c r="AE68" s="452"/>
      <c r="AF68" s="452"/>
      <c r="AG68" s="452"/>
      <c r="AH68" s="452"/>
      <c r="AI68" s="452"/>
      <c r="AJ68" s="452"/>
      <c r="AK68" s="452"/>
      <c r="AL68" s="452"/>
      <c r="AM68" s="452"/>
      <c r="AN68" s="452"/>
      <c r="AO68" s="452"/>
      <c r="AP68" s="452"/>
      <c r="AQ68" s="452"/>
      <c r="AR68" s="452"/>
      <c r="AS68" s="452"/>
      <c r="AT68" s="452"/>
      <c r="AU68" s="452"/>
      <c r="AV68" s="452"/>
      <c r="AW68" s="452"/>
      <c r="AX68" s="452"/>
      <c r="AY68" s="452"/>
      <c r="AZ68" s="452"/>
      <c r="BA68" s="452"/>
      <c r="BB68" s="452"/>
      <c r="BC68" s="452"/>
      <c r="BD68" s="452"/>
      <c r="BE68" s="452"/>
      <c r="BF68" s="452"/>
      <c r="BG68" s="452"/>
      <c r="BH68" s="452"/>
      <c r="BI68" s="452"/>
      <c r="BJ68" s="452"/>
      <c r="BK68" s="452"/>
      <c r="BL68" s="452"/>
      <c r="BM68" s="452"/>
      <c r="BN68" s="452"/>
      <c r="BO68" s="452"/>
      <c r="BP68" s="452"/>
      <c r="BQ68" s="452"/>
      <c r="BR68" s="452"/>
      <c r="BS68" s="452"/>
      <c r="BT68" s="452"/>
      <c r="BU68" s="452"/>
      <c r="BV68" s="452"/>
      <c r="BW68" s="452"/>
      <c r="BX68" s="452"/>
      <c r="BY68" s="452"/>
      <c r="BZ68" s="452"/>
      <c r="CA68" s="452"/>
      <c r="CB68" s="452"/>
      <c r="CC68" s="452"/>
      <c r="CD68" s="452"/>
      <c r="CE68" s="452"/>
      <c r="CF68" s="452"/>
      <c r="CG68" s="452"/>
      <c r="CH68" s="452"/>
      <c r="CI68" s="452"/>
      <c r="CJ68" s="452"/>
      <c r="CK68" s="452"/>
      <c r="CL68" s="452"/>
      <c r="CM68" s="452"/>
      <c r="CN68" s="452"/>
      <c r="CO68" s="452"/>
      <c r="CP68" s="452"/>
      <c r="CQ68" s="452"/>
      <c r="CR68" s="452"/>
      <c r="CS68" s="452"/>
      <c r="CT68" s="452"/>
      <c r="CU68" s="452"/>
      <c r="CV68" s="452"/>
      <c r="CW68" s="452"/>
      <c r="CX68" s="452"/>
      <c r="CY68" s="452"/>
      <c r="CZ68" s="452"/>
      <c r="DA68" s="452"/>
      <c r="DB68" s="452"/>
      <c r="DC68" s="452"/>
      <c r="DD68" s="452"/>
      <c r="DE68" s="452"/>
      <c r="DF68" s="452"/>
      <c r="DG68" s="452"/>
      <c r="DH68" s="452"/>
      <c r="DI68" s="452"/>
      <c r="DJ68" s="452"/>
      <c r="DK68" s="452"/>
      <c r="DL68" s="452"/>
      <c r="DM68" s="452"/>
      <c r="DN68" s="452"/>
      <c r="DO68" s="452"/>
      <c r="DP68" s="452"/>
      <c r="DQ68" s="452"/>
      <c r="DR68" s="452"/>
      <c r="DS68" s="452"/>
      <c r="DT68" s="452"/>
      <c r="DU68" s="452"/>
      <c r="DV68" s="452"/>
      <c r="DW68" s="452"/>
      <c r="DX68" s="452"/>
      <c r="DY68" s="452"/>
      <c r="DZ68" s="452"/>
      <c r="EA68" s="452"/>
      <c r="EB68" s="452"/>
      <c r="EC68" s="452"/>
      <c r="ED68" s="452"/>
      <c r="EE68" s="452"/>
      <c r="EF68" s="452"/>
      <c r="EG68" s="452"/>
      <c r="EH68" s="452"/>
      <c r="EI68" s="452"/>
      <c r="EJ68" s="452"/>
      <c r="EK68" s="452"/>
      <c r="EL68" s="452"/>
      <c r="EM68" s="452"/>
      <c r="EN68" s="452"/>
      <c r="EO68" s="452"/>
      <c r="EP68" s="452"/>
      <c r="EQ68" s="452"/>
      <c r="ER68" s="452"/>
      <c r="ES68" s="452"/>
      <c r="ET68" s="452"/>
      <c r="EU68" s="452"/>
      <c r="EV68" s="452"/>
      <c r="EW68" s="452"/>
      <c r="EX68" s="452"/>
      <c r="EY68" s="452"/>
      <c r="EZ68" s="452"/>
      <c r="FA68" s="452"/>
      <c r="FB68" s="452"/>
      <c r="FC68" s="452"/>
      <c r="FD68" s="452"/>
      <c r="FE68" s="452"/>
      <c r="FF68" s="452"/>
      <c r="FG68" s="452"/>
      <c r="FH68" s="452"/>
      <c r="FI68" s="452"/>
      <c r="FJ68" s="452"/>
      <c r="FK68" s="452"/>
      <c r="FL68" s="452"/>
      <c r="FM68" s="452"/>
      <c r="FN68" s="452"/>
      <c r="FO68" s="452"/>
      <c r="FP68" s="452"/>
      <c r="FQ68" s="452"/>
      <c r="FR68" s="452"/>
      <c r="FS68" s="452"/>
      <c r="FT68" s="452"/>
      <c r="FU68" s="452"/>
      <c r="FV68" s="452"/>
      <c r="FW68" s="452"/>
      <c r="FX68" s="452"/>
      <c r="FY68" s="452"/>
      <c r="FZ68" s="452"/>
      <c r="GA68" s="452"/>
      <c r="GB68" s="452"/>
      <c r="GC68" s="452"/>
      <c r="GD68" s="452"/>
      <c r="GE68" s="452"/>
      <c r="GF68" s="452"/>
      <c r="GG68" s="452"/>
      <c r="GH68" s="452"/>
      <c r="GI68" s="452"/>
      <c r="GJ68" s="452"/>
      <c r="GK68" s="452"/>
      <c r="GL68" s="452"/>
      <c r="GM68" s="452"/>
      <c r="GN68" s="452"/>
      <c r="GO68" s="452"/>
      <c r="GP68" s="452"/>
      <c r="GQ68" s="452"/>
      <c r="GR68" s="452"/>
      <c r="GS68" s="452"/>
      <c r="GT68" s="452"/>
      <c r="GU68" s="452"/>
      <c r="GV68" s="452"/>
      <c r="GW68" s="452"/>
      <c r="GX68" s="452"/>
      <c r="GY68" s="452"/>
      <c r="GZ68" s="452"/>
      <c r="HA68" s="452"/>
      <c r="HB68" s="452"/>
      <c r="HC68" s="452"/>
      <c r="HD68" s="452"/>
      <c r="HE68" s="452"/>
      <c r="HF68" s="452"/>
      <c r="HG68" s="452"/>
      <c r="HH68" s="452"/>
      <c r="HI68" s="452"/>
      <c r="HJ68" s="452"/>
      <c r="HK68" s="452"/>
      <c r="HL68" s="452"/>
      <c r="HM68" s="452"/>
      <c r="HN68" s="452"/>
      <c r="HO68" s="452"/>
      <c r="HP68" s="452"/>
      <c r="HQ68" s="452"/>
      <c r="HR68" s="452"/>
      <c r="HS68" s="452"/>
      <c r="HT68" s="452"/>
      <c r="HU68" s="452"/>
      <c r="HV68" s="452"/>
      <c r="HW68" s="452"/>
      <c r="HX68" s="452"/>
      <c r="HY68" s="452"/>
      <c r="HZ68" s="452"/>
      <c r="IA68" s="452"/>
      <c r="IB68" s="452"/>
      <c r="IC68" s="452"/>
      <c r="ID68" s="452"/>
      <c r="IE68" s="452"/>
      <c r="IF68" s="452"/>
      <c r="IG68" s="452"/>
      <c r="IH68" s="452"/>
      <c r="II68" s="452"/>
      <c r="IJ68" s="452"/>
      <c r="IK68" s="452"/>
      <c r="IL68" s="452"/>
      <c r="IM68" s="452"/>
      <c r="IN68" s="452"/>
      <c r="IO68" s="452"/>
      <c r="IP68" s="452"/>
      <c r="IQ68" s="452"/>
      <c r="IR68" s="452"/>
      <c r="IS68" s="452"/>
      <c r="IT68" s="452"/>
      <c r="IU68" s="452"/>
      <c r="IV68" s="452"/>
    </row>
    <row r="69" spans="1:256" ht="20.100000000000001" customHeight="1">
      <c r="A69" s="452"/>
      <c r="B69" s="452"/>
      <c r="C69" s="452"/>
      <c r="D69" s="471"/>
      <c r="E69" s="452"/>
      <c r="F69" s="452"/>
      <c r="G69" s="452"/>
      <c r="H69" s="475"/>
      <c r="I69" s="452"/>
      <c r="J69" s="474"/>
      <c r="K69" s="452"/>
      <c r="L69" s="471"/>
      <c r="M69" s="452"/>
      <c r="N69" s="452"/>
      <c r="O69" s="452"/>
      <c r="P69" s="452"/>
      <c r="Q69" s="452"/>
      <c r="R69" s="452"/>
      <c r="S69" s="452"/>
      <c r="T69" s="452"/>
      <c r="U69" s="452"/>
      <c r="V69" s="452"/>
      <c r="W69" s="452"/>
      <c r="X69" s="452"/>
      <c r="Y69" s="452"/>
      <c r="Z69" s="452"/>
      <c r="AA69" s="452"/>
      <c r="AB69" s="452"/>
      <c r="AC69" s="452"/>
      <c r="AD69" s="452"/>
      <c r="AE69" s="452"/>
      <c r="AF69" s="452"/>
      <c r="AG69" s="452"/>
      <c r="AH69" s="452"/>
      <c r="AI69" s="452"/>
      <c r="AJ69" s="452"/>
      <c r="AK69" s="452"/>
      <c r="AL69" s="452"/>
      <c r="AM69" s="452"/>
      <c r="AN69" s="452"/>
      <c r="AO69" s="452"/>
      <c r="AP69" s="452"/>
      <c r="AQ69" s="452"/>
      <c r="AR69" s="452"/>
      <c r="AS69" s="452"/>
      <c r="AT69" s="452"/>
      <c r="AU69" s="452"/>
      <c r="AV69" s="452"/>
      <c r="AW69" s="452"/>
      <c r="AX69" s="452"/>
      <c r="AY69" s="452"/>
      <c r="AZ69" s="452"/>
      <c r="BA69" s="452"/>
      <c r="BB69" s="452"/>
      <c r="BC69" s="452"/>
      <c r="BD69" s="452"/>
      <c r="BE69" s="452"/>
      <c r="BF69" s="452"/>
      <c r="BG69" s="452"/>
      <c r="BH69" s="452"/>
      <c r="BI69" s="452"/>
      <c r="BJ69" s="452"/>
      <c r="BK69" s="452"/>
      <c r="BL69" s="452"/>
      <c r="BM69" s="452"/>
      <c r="BN69" s="452"/>
      <c r="BO69" s="452"/>
      <c r="BP69" s="452"/>
      <c r="BQ69" s="452"/>
      <c r="BR69" s="452"/>
      <c r="BS69" s="452"/>
      <c r="BT69" s="452"/>
      <c r="BU69" s="452"/>
      <c r="BV69" s="452"/>
      <c r="BW69" s="452"/>
      <c r="BX69" s="452"/>
      <c r="BY69" s="452"/>
      <c r="BZ69" s="452"/>
      <c r="CA69" s="452"/>
      <c r="CB69" s="452"/>
      <c r="CC69" s="452"/>
      <c r="CD69" s="452"/>
      <c r="CE69" s="452"/>
      <c r="CF69" s="452"/>
      <c r="CG69" s="452"/>
      <c r="CH69" s="452"/>
      <c r="CI69" s="452"/>
      <c r="CJ69" s="452"/>
      <c r="CK69" s="452"/>
      <c r="CL69" s="452"/>
      <c r="CM69" s="452"/>
      <c r="CN69" s="452"/>
      <c r="CO69" s="452"/>
      <c r="CP69" s="452"/>
      <c r="CQ69" s="452"/>
      <c r="CR69" s="452"/>
      <c r="CS69" s="452"/>
      <c r="CT69" s="452"/>
      <c r="CU69" s="452"/>
      <c r="CV69" s="452"/>
      <c r="CW69" s="452"/>
      <c r="CX69" s="452"/>
      <c r="CY69" s="452"/>
      <c r="CZ69" s="452"/>
      <c r="DA69" s="452"/>
      <c r="DB69" s="452"/>
      <c r="DC69" s="452"/>
      <c r="DD69" s="452"/>
      <c r="DE69" s="452"/>
      <c r="DF69" s="452"/>
      <c r="DG69" s="452"/>
      <c r="DH69" s="452"/>
      <c r="DI69" s="452"/>
      <c r="DJ69" s="452"/>
      <c r="DK69" s="452"/>
      <c r="DL69" s="452"/>
      <c r="DM69" s="452"/>
      <c r="DN69" s="452"/>
      <c r="DO69" s="452"/>
      <c r="DP69" s="452"/>
      <c r="DQ69" s="452"/>
      <c r="DR69" s="452"/>
      <c r="DS69" s="452"/>
      <c r="DT69" s="452"/>
      <c r="DU69" s="452"/>
      <c r="DV69" s="452"/>
      <c r="DW69" s="452"/>
      <c r="DX69" s="452"/>
      <c r="DY69" s="452"/>
      <c r="DZ69" s="452"/>
      <c r="EA69" s="452"/>
      <c r="EB69" s="452"/>
      <c r="EC69" s="452"/>
      <c r="ED69" s="452"/>
      <c r="EE69" s="452"/>
      <c r="EF69" s="452"/>
      <c r="EG69" s="452"/>
      <c r="EH69" s="452"/>
      <c r="EI69" s="452"/>
      <c r="EJ69" s="452"/>
      <c r="EK69" s="452"/>
      <c r="EL69" s="452"/>
      <c r="EM69" s="452"/>
      <c r="EN69" s="452"/>
      <c r="EO69" s="452"/>
      <c r="EP69" s="452"/>
      <c r="EQ69" s="452"/>
      <c r="ER69" s="452"/>
      <c r="ES69" s="452"/>
      <c r="ET69" s="452"/>
      <c r="EU69" s="452"/>
      <c r="EV69" s="452"/>
      <c r="EW69" s="452"/>
      <c r="EX69" s="452"/>
      <c r="EY69" s="452"/>
      <c r="EZ69" s="452"/>
      <c r="FA69" s="452"/>
      <c r="FB69" s="452"/>
      <c r="FC69" s="452"/>
      <c r="FD69" s="452"/>
      <c r="FE69" s="452"/>
      <c r="FF69" s="452"/>
      <c r="FG69" s="452"/>
      <c r="FH69" s="452"/>
      <c r="FI69" s="452"/>
      <c r="FJ69" s="452"/>
      <c r="FK69" s="452"/>
      <c r="FL69" s="452"/>
      <c r="FM69" s="452"/>
      <c r="FN69" s="452"/>
      <c r="FO69" s="452"/>
      <c r="FP69" s="452"/>
      <c r="FQ69" s="452"/>
      <c r="FR69" s="452"/>
      <c r="FS69" s="452"/>
      <c r="FT69" s="452"/>
      <c r="FU69" s="452"/>
      <c r="FV69" s="452"/>
      <c r="FW69" s="452"/>
      <c r="FX69" s="452"/>
      <c r="FY69" s="452"/>
      <c r="FZ69" s="452"/>
      <c r="GA69" s="452"/>
      <c r="GB69" s="452"/>
      <c r="GC69" s="452"/>
      <c r="GD69" s="452"/>
      <c r="GE69" s="452"/>
      <c r="GF69" s="452"/>
      <c r="GG69" s="452"/>
      <c r="GH69" s="452"/>
      <c r="GI69" s="452"/>
      <c r="GJ69" s="452"/>
      <c r="GK69" s="452"/>
      <c r="GL69" s="452"/>
      <c r="GM69" s="452"/>
      <c r="GN69" s="452"/>
      <c r="GO69" s="452"/>
      <c r="GP69" s="452"/>
      <c r="GQ69" s="452"/>
      <c r="GR69" s="452"/>
      <c r="GS69" s="452"/>
      <c r="GT69" s="452"/>
      <c r="GU69" s="452"/>
      <c r="GV69" s="452"/>
      <c r="GW69" s="452"/>
      <c r="GX69" s="452"/>
      <c r="GY69" s="452"/>
      <c r="GZ69" s="452"/>
      <c r="HA69" s="452"/>
      <c r="HB69" s="452"/>
      <c r="HC69" s="452"/>
      <c r="HD69" s="452"/>
      <c r="HE69" s="452"/>
      <c r="HF69" s="452"/>
      <c r="HG69" s="452"/>
      <c r="HH69" s="452"/>
      <c r="HI69" s="452"/>
      <c r="HJ69" s="452"/>
      <c r="HK69" s="452"/>
      <c r="HL69" s="452"/>
      <c r="HM69" s="452"/>
      <c r="HN69" s="452"/>
      <c r="HO69" s="452"/>
      <c r="HP69" s="452"/>
      <c r="HQ69" s="452"/>
      <c r="HR69" s="452"/>
      <c r="HS69" s="452"/>
      <c r="HT69" s="452"/>
      <c r="HU69" s="452"/>
      <c r="HV69" s="452"/>
      <c r="HW69" s="452"/>
      <c r="HX69" s="452"/>
      <c r="HY69" s="452"/>
      <c r="HZ69" s="452"/>
      <c r="IA69" s="452"/>
      <c r="IB69" s="452"/>
      <c r="IC69" s="452"/>
      <c r="ID69" s="452"/>
      <c r="IE69" s="452"/>
      <c r="IF69" s="452"/>
      <c r="IG69" s="452"/>
      <c r="IH69" s="452"/>
      <c r="II69" s="452"/>
      <c r="IJ69" s="452"/>
      <c r="IK69" s="452"/>
      <c r="IL69" s="452"/>
      <c r="IM69" s="452"/>
      <c r="IN69" s="452"/>
      <c r="IO69" s="452"/>
      <c r="IP69" s="452"/>
      <c r="IQ69" s="452"/>
      <c r="IR69" s="452"/>
      <c r="IS69" s="452"/>
      <c r="IT69" s="452"/>
      <c r="IU69" s="452"/>
      <c r="IV69" s="452"/>
    </row>
    <row r="70" spans="1:256" ht="20.100000000000001" customHeight="1">
      <c r="A70" s="452"/>
      <c r="B70" s="452"/>
      <c r="C70" s="452"/>
      <c r="D70" s="471"/>
      <c r="E70" s="452"/>
      <c r="F70" s="452"/>
      <c r="G70" s="452"/>
      <c r="H70" s="473"/>
      <c r="I70" s="452"/>
      <c r="J70" s="474"/>
      <c r="K70" s="452"/>
      <c r="L70" s="471"/>
      <c r="M70" s="452"/>
      <c r="N70" s="452"/>
      <c r="O70" s="465"/>
      <c r="P70" s="465"/>
      <c r="Q70" s="452"/>
      <c r="R70" s="452"/>
      <c r="S70" s="452"/>
      <c r="T70" s="452"/>
      <c r="U70" s="452"/>
      <c r="V70" s="452"/>
      <c r="W70" s="452"/>
      <c r="X70" s="452"/>
      <c r="Y70" s="452"/>
      <c r="Z70" s="452"/>
      <c r="AA70" s="452"/>
      <c r="AB70" s="452"/>
      <c r="AC70" s="452"/>
      <c r="AD70" s="452"/>
      <c r="AE70" s="452"/>
      <c r="AF70" s="452"/>
      <c r="AG70" s="452"/>
      <c r="AH70" s="452"/>
      <c r="AI70" s="452"/>
      <c r="AJ70" s="452"/>
      <c r="AK70" s="452"/>
      <c r="AL70" s="452"/>
      <c r="AM70" s="452"/>
      <c r="AN70" s="452"/>
      <c r="AO70" s="452"/>
      <c r="AP70" s="452"/>
      <c r="AQ70" s="452"/>
      <c r="AR70" s="452"/>
      <c r="AS70" s="452"/>
      <c r="AT70" s="452"/>
      <c r="AU70" s="452"/>
      <c r="AV70" s="452"/>
      <c r="AW70" s="452"/>
      <c r="AX70" s="452"/>
      <c r="AY70" s="452"/>
      <c r="AZ70" s="452"/>
      <c r="BA70" s="452"/>
      <c r="BB70" s="452"/>
      <c r="BC70" s="452"/>
      <c r="BD70" s="452"/>
      <c r="BE70" s="452"/>
      <c r="BF70" s="452"/>
      <c r="BG70" s="452"/>
      <c r="BH70" s="452"/>
      <c r="BI70" s="452"/>
      <c r="BJ70" s="452"/>
      <c r="BK70" s="452"/>
      <c r="BL70" s="452"/>
      <c r="BM70" s="452"/>
      <c r="BN70" s="452"/>
      <c r="BO70" s="452"/>
      <c r="BP70" s="452"/>
      <c r="BQ70" s="452"/>
      <c r="BR70" s="452"/>
      <c r="BS70" s="452"/>
      <c r="BT70" s="452"/>
      <c r="BU70" s="452"/>
      <c r="BV70" s="452"/>
      <c r="BW70" s="452"/>
      <c r="BX70" s="452"/>
      <c r="BY70" s="452"/>
      <c r="BZ70" s="452"/>
      <c r="CA70" s="452"/>
      <c r="CB70" s="452"/>
      <c r="CC70" s="452"/>
      <c r="CD70" s="452"/>
      <c r="CE70" s="452"/>
      <c r="CF70" s="452"/>
      <c r="CG70" s="452"/>
      <c r="CH70" s="452"/>
      <c r="CI70" s="452"/>
      <c r="CJ70" s="452"/>
      <c r="CK70" s="452"/>
      <c r="CL70" s="452"/>
      <c r="CM70" s="452"/>
      <c r="CN70" s="452"/>
      <c r="CO70" s="452"/>
      <c r="CP70" s="452"/>
      <c r="CQ70" s="452"/>
      <c r="CR70" s="452"/>
      <c r="CS70" s="452"/>
      <c r="CT70" s="452"/>
      <c r="CU70" s="452"/>
      <c r="CV70" s="452"/>
      <c r="CW70" s="452"/>
      <c r="CX70" s="452"/>
      <c r="CY70" s="452"/>
      <c r="CZ70" s="452"/>
      <c r="DA70" s="452"/>
      <c r="DB70" s="452"/>
      <c r="DC70" s="452"/>
      <c r="DD70" s="452"/>
      <c r="DE70" s="452"/>
      <c r="DF70" s="452"/>
      <c r="DG70" s="452"/>
      <c r="DH70" s="452"/>
      <c r="DI70" s="452"/>
      <c r="DJ70" s="452"/>
      <c r="DK70" s="452"/>
      <c r="DL70" s="452"/>
      <c r="DM70" s="452"/>
      <c r="DN70" s="452"/>
      <c r="DO70" s="452"/>
      <c r="DP70" s="452"/>
      <c r="DQ70" s="452"/>
      <c r="DR70" s="452"/>
      <c r="DS70" s="452"/>
      <c r="DT70" s="452"/>
      <c r="DU70" s="452"/>
      <c r="DV70" s="452"/>
      <c r="DW70" s="452"/>
      <c r="DX70" s="452"/>
      <c r="DY70" s="452"/>
      <c r="DZ70" s="452"/>
      <c r="EA70" s="452"/>
      <c r="EB70" s="452"/>
      <c r="EC70" s="452"/>
      <c r="ED70" s="452"/>
      <c r="EE70" s="452"/>
      <c r="EF70" s="452"/>
      <c r="EG70" s="452"/>
      <c r="EH70" s="452"/>
      <c r="EI70" s="452"/>
      <c r="EJ70" s="452"/>
      <c r="EK70" s="452"/>
      <c r="EL70" s="452"/>
      <c r="EM70" s="452"/>
      <c r="EN70" s="452"/>
      <c r="EO70" s="452"/>
      <c r="EP70" s="452"/>
      <c r="EQ70" s="452"/>
      <c r="ER70" s="452"/>
      <c r="ES70" s="452"/>
      <c r="ET70" s="452"/>
      <c r="EU70" s="452"/>
      <c r="EV70" s="452"/>
      <c r="EW70" s="452"/>
      <c r="EX70" s="452"/>
      <c r="EY70" s="452"/>
      <c r="EZ70" s="452"/>
      <c r="FA70" s="452"/>
      <c r="FB70" s="452"/>
      <c r="FC70" s="452"/>
      <c r="FD70" s="452"/>
      <c r="FE70" s="452"/>
      <c r="FF70" s="452"/>
      <c r="FG70" s="452"/>
      <c r="FH70" s="452"/>
      <c r="FI70" s="452"/>
      <c r="FJ70" s="452"/>
      <c r="FK70" s="452"/>
      <c r="FL70" s="452"/>
      <c r="FM70" s="452"/>
      <c r="FN70" s="452"/>
      <c r="FO70" s="452"/>
      <c r="FP70" s="452"/>
      <c r="FQ70" s="452"/>
      <c r="FR70" s="452"/>
      <c r="FS70" s="452"/>
      <c r="FT70" s="452"/>
      <c r="FU70" s="452"/>
      <c r="FV70" s="452"/>
      <c r="FW70" s="452"/>
      <c r="FX70" s="452"/>
      <c r="FY70" s="452"/>
      <c r="FZ70" s="452"/>
      <c r="GA70" s="452"/>
      <c r="GB70" s="452"/>
      <c r="GC70" s="452"/>
      <c r="GD70" s="452"/>
      <c r="GE70" s="452"/>
      <c r="GF70" s="452"/>
      <c r="GG70" s="452"/>
      <c r="GH70" s="452"/>
      <c r="GI70" s="452"/>
      <c r="GJ70" s="452"/>
      <c r="GK70" s="452"/>
      <c r="GL70" s="452"/>
      <c r="GM70" s="452"/>
      <c r="GN70" s="452"/>
      <c r="GO70" s="452"/>
      <c r="GP70" s="452"/>
      <c r="GQ70" s="452"/>
      <c r="GR70" s="452"/>
      <c r="GS70" s="452"/>
      <c r="GT70" s="452"/>
      <c r="GU70" s="452"/>
      <c r="GV70" s="452"/>
      <c r="GW70" s="452"/>
      <c r="GX70" s="452"/>
      <c r="GY70" s="452"/>
      <c r="GZ70" s="452"/>
      <c r="HA70" s="452"/>
      <c r="HB70" s="452"/>
      <c r="HC70" s="452"/>
      <c r="HD70" s="452"/>
      <c r="HE70" s="452"/>
      <c r="HF70" s="452"/>
      <c r="HG70" s="452"/>
      <c r="HH70" s="452"/>
      <c r="HI70" s="452"/>
      <c r="HJ70" s="452"/>
      <c r="HK70" s="452"/>
      <c r="HL70" s="452"/>
      <c r="HM70" s="452"/>
      <c r="HN70" s="452"/>
      <c r="HO70" s="452"/>
      <c r="HP70" s="452"/>
      <c r="HQ70" s="452"/>
      <c r="HR70" s="452"/>
      <c r="HS70" s="452"/>
      <c r="HT70" s="452"/>
      <c r="HU70" s="452"/>
      <c r="HV70" s="452"/>
      <c r="HW70" s="452"/>
      <c r="HX70" s="452"/>
      <c r="HY70" s="452"/>
      <c r="HZ70" s="452"/>
      <c r="IA70" s="452"/>
      <c r="IB70" s="452"/>
      <c r="IC70" s="452"/>
      <c r="ID70" s="452"/>
      <c r="IE70" s="452"/>
      <c r="IF70" s="452"/>
      <c r="IG70" s="452"/>
      <c r="IH70" s="452"/>
      <c r="II70" s="452"/>
      <c r="IJ70" s="452"/>
      <c r="IK70" s="452"/>
      <c r="IL70" s="452"/>
      <c r="IM70" s="452"/>
      <c r="IN70" s="452"/>
      <c r="IO70" s="452"/>
      <c r="IP70" s="452"/>
      <c r="IQ70" s="452"/>
      <c r="IR70" s="452"/>
      <c r="IS70" s="452"/>
      <c r="IT70" s="452"/>
      <c r="IU70" s="452"/>
      <c r="IV70" s="452"/>
    </row>
    <row r="71" spans="1:256" ht="20.100000000000001" customHeight="1">
      <c r="A71" s="452"/>
      <c r="B71" s="452"/>
      <c r="C71" s="452"/>
      <c r="D71" s="471"/>
      <c r="E71" s="452"/>
      <c r="F71" s="452"/>
      <c r="G71" s="452"/>
      <c r="H71" s="473"/>
      <c r="I71" s="452"/>
      <c r="J71" s="474"/>
      <c r="K71" s="452"/>
      <c r="L71" s="471"/>
      <c r="M71" s="452"/>
      <c r="N71" s="452"/>
      <c r="O71" s="452"/>
      <c r="P71" s="452"/>
      <c r="Q71" s="452"/>
      <c r="R71" s="452"/>
      <c r="S71" s="452"/>
      <c r="T71" s="452"/>
      <c r="U71" s="452"/>
      <c r="V71" s="452"/>
      <c r="W71" s="452"/>
      <c r="X71" s="452"/>
      <c r="Y71" s="452"/>
      <c r="Z71" s="452"/>
      <c r="AA71" s="452"/>
      <c r="AB71" s="452"/>
      <c r="AC71" s="452"/>
      <c r="AD71" s="452"/>
      <c r="AE71" s="452"/>
      <c r="AF71" s="452"/>
      <c r="AG71" s="452"/>
      <c r="AH71" s="452"/>
      <c r="AI71" s="452"/>
      <c r="AJ71" s="452"/>
      <c r="AK71" s="452"/>
      <c r="AL71" s="452"/>
      <c r="AM71" s="452"/>
      <c r="AN71" s="452"/>
      <c r="AO71" s="452"/>
      <c r="AP71" s="452"/>
      <c r="AQ71" s="452"/>
      <c r="AR71" s="452"/>
      <c r="AS71" s="452"/>
      <c r="AT71" s="452"/>
      <c r="AU71" s="452"/>
      <c r="AV71" s="452"/>
      <c r="AW71" s="452"/>
      <c r="AX71" s="452"/>
      <c r="AY71" s="452"/>
      <c r="AZ71" s="452"/>
      <c r="BA71" s="452"/>
      <c r="BB71" s="452"/>
      <c r="BC71" s="452"/>
      <c r="BD71" s="452"/>
      <c r="BE71" s="452"/>
      <c r="BF71" s="452"/>
      <c r="BG71" s="452"/>
      <c r="BH71" s="452"/>
      <c r="BI71" s="452"/>
      <c r="BJ71" s="452"/>
      <c r="BK71" s="452"/>
      <c r="BL71" s="452"/>
      <c r="BM71" s="452"/>
      <c r="BN71" s="452"/>
      <c r="BO71" s="452"/>
      <c r="BP71" s="452"/>
      <c r="BQ71" s="452"/>
      <c r="BR71" s="452"/>
      <c r="BS71" s="452"/>
      <c r="BT71" s="452"/>
      <c r="BU71" s="452"/>
      <c r="BV71" s="452"/>
      <c r="BW71" s="452"/>
      <c r="BX71" s="452"/>
      <c r="BY71" s="452"/>
      <c r="BZ71" s="452"/>
      <c r="CA71" s="452"/>
      <c r="CB71" s="452"/>
      <c r="CC71" s="452"/>
      <c r="CD71" s="452"/>
      <c r="CE71" s="452"/>
      <c r="CF71" s="452"/>
      <c r="CG71" s="452"/>
      <c r="CH71" s="452"/>
      <c r="CI71" s="452"/>
      <c r="CJ71" s="452"/>
      <c r="CK71" s="452"/>
      <c r="CL71" s="452"/>
      <c r="CM71" s="452"/>
      <c r="CN71" s="452"/>
      <c r="CO71" s="452"/>
      <c r="CP71" s="452"/>
      <c r="CQ71" s="452"/>
      <c r="CR71" s="452"/>
      <c r="CS71" s="452"/>
      <c r="CT71" s="452"/>
      <c r="CU71" s="452"/>
      <c r="CV71" s="452"/>
      <c r="CW71" s="452"/>
      <c r="CX71" s="452"/>
      <c r="CY71" s="452"/>
      <c r="CZ71" s="452"/>
      <c r="DA71" s="452"/>
      <c r="DB71" s="452"/>
      <c r="DC71" s="452"/>
      <c r="DD71" s="452"/>
      <c r="DE71" s="452"/>
      <c r="DF71" s="452"/>
      <c r="DG71" s="452"/>
      <c r="DH71" s="452"/>
      <c r="DI71" s="452"/>
      <c r="DJ71" s="452"/>
      <c r="DK71" s="452"/>
      <c r="DL71" s="452"/>
      <c r="DM71" s="452"/>
      <c r="DN71" s="452"/>
      <c r="DO71" s="452"/>
      <c r="DP71" s="452"/>
      <c r="DQ71" s="452"/>
      <c r="DR71" s="452"/>
      <c r="DS71" s="452"/>
      <c r="DT71" s="452"/>
      <c r="DU71" s="452"/>
      <c r="DV71" s="452"/>
      <c r="DW71" s="452"/>
      <c r="DX71" s="452"/>
      <c r="DY71" s="452"/>
      <c r="DZ71" s="452"/>
      <c r="EA71" s="452"/>
      <c r="EB71" s="452"/>
      <c r="EC71" s="452"/>
      <c r="ED71" s="452"/>
      <c r="EE71" s="452"/>
      <c r="EF71" s="452"/>
      <c r="EG71" s="452"/>
      <c r="EH71" s="452"/>
      <c r="EI71" s="452"/>
      <c r="EJ71" s="452"/>
      <c r="EK71" s="452"/>
      <c r="EL71" s="452"/>
      <c r="EM71" s="452"/>
      <c r="EN71" s="452"/>
      <c r="EO71" s="452"/>
      <c r="EP71" s="452"/>
      <c r="EQ71" s="452"/>
      <c r="ER71" s="452"/>
      <c r="ES71" s="452"/>
      <c r="ET71" s="452"/>
      <c r="EU71" s="452"/>
      <c r="EV71" s="452"/>
      <c r="EW71" s="452"/>
      <c r="EX71" s="452"/>
      <c r="EY71" s="452"/>
      <c r="EZ71" s="452"/>
      <c r="FA71" s="452"/>
      <c r="FB71" s="452"/>
      <c r="FC71" s="452"/>
      <c r="FD71" s="452"/>
      <c r="FE71" s="452"/>
      <c r="FF71" s="452"/>
      <c r="FG71" s="452"/>
      <c r="FH71" s="452"/>
      <c r="FI71" s="452"/>
      <c r="FJ71" s="452"/>
      <c r="FK71" s="452"/>
      <c r="FL71" s="452"/>
      <c r="FM71" s="452"/>
      <c r="FN71" s="452"/>
      <c r="FO71" s="452"/>
      <c r="FP71" s="452"/>
      <c r="FQ71" s="452"/>
      <c r="FR71" s="452"/>
      <c r="FS71" s="452"/>
      <c r="FT71" s="452"/>
      <c r="FU71" s="452"/>
      <c r="FV71" s="452"/>
      <c r="FW71" s="452"/>
      <c r="FX71" s="452"/>
      <c r="FY71" s="452"/>
      <c r="FZ71" s="452"/>
      <c r="GA71" s="452"/>
      <c r="GB71" s="452"/>
      <c r="GC71" s="452"/>
      <c r="GD71" s="452"/>
      <c r="GE71" s="452"/>
      <c r="GF71" s="452"/>
      <c r="GG71" s="452"/>
      <c r="GH71" s="452"/>
      <c r="GI71" s="452"/>
      <c r="GJ71" s="452"/>
      <c r="GK71" s="452"/>
      <c r="GL71" s="452"/>
      <c r="GM71" s="452"/>
      <c r="GN71" s="452"/>
      <c r="GO71" s="452"/>
      <c r="GP71" s="452"/>
      <c r="GQ71" s="452"/>
      <c r="GR71" s="452"/>
      <c r="GS71" s="452"/>
      <c r="GT71" s="452"/>
      <c r="GU71" s="452"/>
      <c r="GV71" s="452"/>
      <c r="GW71" s="452"/>
      <c r="GX71" s="452"/>
      <c r="GY71" s="452"/>
      <c r="GZ71" s="452"/>
      <c r="HA71" s="452"/>
      <c r="HB71" s="452"/>
      <c r="HC71" s="452"/>
      <c r="HD71" s="452"/>
      <c r="HE71" s="452"/>
      <c r="HF71" s="452"/>
      <c r="HG71" s="452"/>
      <c r="HH71" s="452"/>
      <c r="HI71" s="452"/>
      <c r="HJ71" s="452"/>
      <c r="HK71" s="452"/>
      <c r="HL71" s="452"/>
      <c r="HM71" s="452"/>
      <c r="HN71" s="452"/>
      <c r="HO71" s="452"/>
      <c r="HP71" s="452"/>
      <c r="HQ71" s="452"/>
      <c r="HR71" s="452"/>
      <c r="HS71" s="452"/>
      <c r="HT71" s="452"/>
      <c r="HU71" s="452"/>
      <c r="HV71" s="452"/>
      <c r="HW71" s="452"/>
      <c r="HX71" s="452"/>
      <c r="HY71" s="452"/>
      <c r="HZ71" s="452"/>
      <c r="IA71" s="452"/>
      <c r="IB71" s="452"/>
      <c r="IC71" s="452"/>
      <c r="ID71" s="452"/>
      <c r="IE71" s="452"/>
      <c r="IF71" s="452"/>
      <c r="IG71" s="452"/>
      <c r="IH71" s="452"/>
      <c r="II71" s="452"/>
      <c r="IJ71" s="452"/>
      <c r="IK71" s="452"/>
      <c r="IL71" s="452"/>
      <c r="IM71" s="452"/>
      <c r="IN71" s="452"/>
      <c r="IO71" s="452"/>
      <c r="IP71" s="452"/>
      <c r="IQ71" s="452"/>
      <c r="IR71" s="452"/>
      <c r="IS71" s="452"/>
      <c r="IT71" s="452"/>
      <c r="IU71" s="452"/>
      <c r="IV71" s="452"/>
    </row>
    <row r="72" spans="1:256" ht="20.100000000000001" customHeight="1">
      <c r="A72" s="452"/>
      <c r="B72" s="452"/>
      <c r="C72" s="452"/>
      <c r="D72" s="471"/>
      <c r="E72" s="452"/>
      <c r="F72" s="452"/>
      <c r="G72" s="452"/>
      <c r="H72" s="476"/>
      <c r="I72" s="452"/>
      <c r="J72" s="474"/>
      <c r="K72" s="452"/>
      <c r="L72" s="471"/>
      <c r="M72" s="452"/>
      <c r="N72" s="452"/>
      <c r="O72" s="465"/>
      <c r="P72" s="465"/>
      <c r="Q72" s="452"/>
      <c r="R72" s="452"/>
      <c r="S72" s="452"/>
      <c r="T72" s="452"/>
      <c r="U72" s="452"/>
      <c r="V72" s="452"/>
      <c r="W72" s="452"/>
      <c r="X72" s="452"/>
      <c r="Y72" s="452"/>
      <c r="Z72" s="452"/>
      <c r="AA72" s="452"/>
      <c r="AB72" s="452"/>
      <c r="AC72" s="452"/>
      <c r="AD72" s="452"/>
      <c r="AE72" s="452"/>
      <c r="AF72" s="452"/>
      <c r="AG72" s="452"/>
      <c r="AH72" s="452"/>
      <c r="AI72" s="452"/>
      <c r="AJ72" s="452"/>
      <c r="AK72" s="452"/>
      <c r="AL72" s="452"/>
      <c r="AM72" s="452"/>
      <c r="AN72" s="452"/>
      <c r="AO72" s="452"/>
      <c r="AP72" s="452"/>
      <c r="AQ72" s="452"/>
      <c r="AR72" s="452"/>
      <c r="AS72" s="452"/>
      <c r="AT72" s="452"/>
      <c r="AU72" s="452"/>
      <c r="AV72" s="452"/>
      <c r="AW72" s="452"/>
      <c r="AX72" s="452"/>
      <c r="AY72" s="452"/>
      <c r="AZ72" s="452"/>
      <c r="BA72" s="452"/>
      <c r="BB72" s="452"/>
      <c r="BC72" s="452"/>
      <c r="BD72" s="452"/>
      <c r="BE72" s="452"/>
      <c r="BF72" s="452"/>
      <c r="BG72" s="452"/>
      <c r="BH72" s="452"/>
      <c r="BI72" s="452"/>
      <c r="BJ72" s="452"/>
      <c r="BK72" s="452"/>
      <c r="BL72" s="452"/>
      <c r="BM72" s="452"/>
      <c r="BN72" s="452"/>
      <c r="BO72" s="452"/>
      <c r="BP72" s="452"/>
      <c r="BQ72" s="452"/>
      <c r="BR72" s="452"/>
      <c r="BS72" s="452"/>
      <c r="BT72" s="452"/>
      <c r="BU72" s="452"/>
      <c r="BV72" s="452"/>
      <c r="BW72" s="452"/>
      <c r="BX72" s="452"/>
      <c r="BY72" s="452"/>
      <c r="BZ72" s="452"/>
      <c r="CA72" s="452"/>
      <c r="CB72" s="452"/>
      <c r="CC72" s="452"/>
      <c r="CD72" s="452"/>
      <c r="CE72" s="452"/>
      <c r="CF72" s="452"/>
      <c r="CG72" s="452"/>
      <c r="CH72" s="452"/>
      <c r="CI72" s="452"/>
      <c r="CJ72" s="452"/>
      <c r="CK72" s="452"/>
      <c r="CL72" s="452"/>
      <c r="CM72" s="452"/>
      <c r="CN72" s="452"/>
      <c r="CO72" s="452"/>
      <c r="CP72" s="452"/>
      <c r="CQ72" s="452"/>
      <c r="CR72" s="452"/>
      <c r="CS72" s="452"/>
      <c r="CT72" s="452"/>
      <c r="CU72" s="452"/>
      <c r="CV72" s="452"/>
      <c r="CW72" s="452"/>
      <c r="CX72" s="452"/>
      <c r="CY72" s="452"/>
      <c r="CZ72" s="452"/>
      <c r="DA72" s="452"/>
      <c r="DB72" s="452"/>
      <c r="DC72" s="452"/>
      <c r="DD72" s="452"/>
      <c r="DE72" s="452"/>
      <c r="DF72" s="452"/>
      <c r="DG72" s="452"/>
      <c r="DH72" s="452"/>
      <c r="DI72" s="452"/>
      <c r="DJ72" s="452"/>
      <c r="DK72" s="452"/>
      <c r="DL72" s="452"/>
      <c r="DM72" s="452"/>
      <c r="DN72" s="452"/>
      <c r="DO72" s="452"/>
      <c r="DP72" s="452"/>
      <c r="DQ72" s="452"/>
      <c r="DR72" s="452"/>
      <c r="DS72" s="452"/>
      <c r="DT72" s="452"/>
      <c r="DU72" s="452"/>
      <c r="DV72" s="452"/>
      <c r="DW72" s="452"/>
      <c r="DX72" s="452"/>
      <c r="DY72" s="452"/>
      <c r="DZ72" s="452"/>
      <c r="EA72" s="452"/>
      <c r="EB72" s="452"/>
      <c r="EC72" s="452"/>
      <c r="ED72" s="452"/>
      <c r="EE72" s="452"/>
      <c r="EF72" s="452"/>
      <c r="EG72" s="452"/>
      <c r="EH72" s="452"/>
      <c r="EI72" s="452"/>
      <c r="EJ72" s="452"/>
      <c r="EK72" s="452"/>
      <c r="EL72" s="452"/>
      <c r="EM72" s="452"/>
      <c r="EN72" s="452"/>
      <c r="EO72" s="452"/>
      <c r="EP72" s="452"/>
      <c r="EQ72" s="452"/>
      <c r="ER72" s="452"/>
      <c r="ES72" s="452"/>
      <c r="ET72" s="452"/>
      <c r="EU72" s="452"/>
      <c r="EV72" s="452"/>
      <c r="EW72" s="452"/>
      <c r="EX72" s="452"/>
      <c r="EY72" s="452"/>
      <c r="EZ72" s="452"/>
      <c r="FA72" s="452"/>
      <c r="FB72" s="452"/>
      <c r="FC72" s="452"/>
      <c r="FD72" s="452"/>
      <c r="FE72" s="452"/>
      <c r="FF72" s="452"/>
      <c r="FG72" s="452"/>
      <c r="FH72" s="452"/>
      <c r="FI72" s="452"/>
      <c r="FJ72" s="452"/>
      <c r="FK72" s="452"/>
      <c r="FL72" s="452"/>
      <c r="FM72" s="452"/>
      <c r="FN72" s="452"/>
      <c r="FO72" s="452"/>
      <c r="FP72" s="452"/>
      <c r="FQ72" s="452"/>
      <c r="FR72" s="452"/>
      <c r="FS72" s="452"/>
      <c r="FT72" s="452"/>
      <c r="FU72" s="452"/>
      <c r="FV72" s="452"/>
      <c r="FW72" s="452"/>
      <c r="FX72" s="452"/>
      <c r="FY72" s="452"/>
      <c r="FZ72" s="452"/>
      <c r="GA72" s="452"/>
      <c r="GB72" s="452"/>
      <c r="GC72" s="452"/>
      <c r="GD72" s="452"/>
      <c r="GE72" s="452"/>
      <c r="GF72" s="452"/>
      <c r="GG72" s="452"/>
      <c r="GH72" s="452"/>
      <c r="GI72" s="452"/>
      <c r="GJ72" s="452"/>
      <c r="GK72" s="452"/>
      <c r="GL72" s="452"/>
      <c r="GM72" s="452"/>
      <c r="GN72" s="452"/>
      <c r="GO72" s="452"/>
      <c r="GP72" s="452"/>
      <c r="GQ72" s="452"/>
      <c r="GR72" s="452"/>
      <c r="GS72" s="452"/>
      <c r="GT72" s="452"/>
      <c r="GU72" s="452"/>
      <c r="GV72" s="452"/>
      <c r="GW72" s="452"/>
      <c r="GX72" s="452"/>
      <c r="GY72" s="452"/>
      <c r="GZ72" s="452"/>
      <c r="HA72" s="452"/>
      <c r="HB72" s="452"/>
      <c r="HC72" s="452"/>
      <c r="HD72" s="452"/>
      <c r="HE72" s="452"/>
      <c r="HF72" s="452"/>
      <c r="HG72" s="452"/>
      <c r="HH72" s="452"/>
      <c r="HI72" s="452"/>
      <c r="HJ72" s="452"/>
      <c r="HK72" s="452"/>
      <c r="HL72" s="452"/>
      <c r="HM72" s="452"/>
      <c r="HN72" s="452"/>
      <c r="HO72" s="452"/>
      <c r="HP72" s="452"/>
      <c r="HQ72" s="452"/>
      <c r="HR72" s="452"/>
      <c r="HS72" s="452"/>
      <c r="HT72" s="452"/>
      <c r="HU72" s="452"/>
      <c r="HV72" s="452"/>
      <c r="HW72" s="452"/>
      <c r="HX72" s="452"/>
      <c r="HY72" s="452"/>
      <c r="HZ72" s="452"/>
      <c r="IA72" s="452"/>
      <c r="IB72" s="452"/>
      <c r="IC72" s="452"/>
      <c r="ID72" s="452"/>
      <c r="IE72" s="452"/>
      <c r="IF72" s="452"/>
      <c r="IG72" s="452"/>
      <c r="IH72" s="452"/>
      <c r="II72" s="452"/>
      <c r="IJ72" s="452"/>
      <c r="IK72" s="452"/>
      <c r="IL72" s="452"/>
      <c r="IM72" s="452"/>
      <c r="IN72" s="452"/>
      <c r="IO72" s="452"/>
      <c r="IP72" s="452"/>
      <c r="IQ72" s="452"/>
      <c r="IR72" s="452"/>
      <c r="IS72" s="452"/>
      <c r="IT72" s="452"/>
      <c r="IU72" s="452"/>
      <c r="IV72" s="452"/>
    </row>
    <row r="73" spans="1:256" ht="18">
      <c r="A73" s="714"/>
      <c r="B73" s="452"/>
      <c r="C73" s="452"/>
      <c r="D73" s="452"/>
      <c r="E73" s="452"/>
      <c r="F73" s="452"/>
      <c r="G73" s="452"/>
      <c r="H73" s="452"/>
      <c r="I73" s="452"/>
      <c r="J73" s="452"/>
      <c r="K73" s="452"/>
      <c r="L73" s="452"/>
      <c r="M73" s="452"/>
      <c r="N73" s="452"/>
      <c r="O73" s="452"/>
      <c r="P73" s="452"/>
      <c r="Q73" s="452"/>
      <c r="R73" s="452"/>
      <c r="S73" s="452"/>
      <c r="T73" s="452"/>
      <c r="U73" s="452"/>
      <c r="V73" s="452"/>
      <c r="W73" s="452"/>
      <c r="X73" s="452"/>
      <c r="Y73" s="452"/>
      <c r="Z73" s="452"/>
      <c r="AA73" s="452"/>
      <c r="AB73" s="452"/>
      <c r="AC73" s="452"/>
      <c r="AD73" s="452"/>
      <c r="AE73" s="452"/>
      <c r="AF73" s="452"/>
      <c r="AG73" s="452"/>
      <c r="AH73" s="452"/>
      <c r="AI73" s="452"/>
      <c r="AJ73" s="452"/>
      <c r="AK73" s="452"/>
      <c r="AL73" s="452"/>
      <c r="AM73" s="452"/>
      <c r="AN73" s="452"/>
      <c r="AO73" s="452"/>
      <c r="AP73" s="452"/>
      <c r="AQ73" s="452"/>
      <c r="AR73" s="452"/>
      <c r="AS73" s="452"/>
      <c r="AT73" s="452"/>
      <c r="AU73" s="452"/>
      <c r="AV73" s="452"/>
      <c r="AW73" s="452"/>
      <c r="AX73" s="452"/>
      <c r="AY73" s="452"/>
      <c r="AZ73" s="452"/>
      <c r="BA73" s="452"/>
      <c r="BB73" s="452"/>
      <c r="BC73" s="452"/>
      <c r="BD73" s="452"/>
      <c r="BE73" s="452"/>
      <c r="BF73" s="452"/>
      <c r="BG73" s="452"/>
      <c r="BH73" s="452"/>
      <c r="BI73" s="452"/>
      <c r="BJ73" s="452"/>
      <c r="BK73" s="452"/>
      <c r="BL73" s="452"/>
      <c r="BM73" s="452"/>
      <c r="BN73" s="452"/>
      <c r="BO73" s="452"/>
      <c r="BP73" s="452"/>
      <c r="BQ73" s="452"/>
      <c r="BR73" s="452"/>
      <c r="BS73" s="452"/>
      <c r="BT73" s="452"/>
      <c r="BU73" s="452"/>
      <c r="BV73" s="452"/>
      <c r="BW73" s="452"/>
      <c r="BX73" s="452"/>
      <c r="BY73" s="452"/>
      <c r="BZ73" s="452"/>
      <c r="CA73" s="452"/>
      <c r="CB73" s="452"/>
      <c r="CC73" s="452"/>
      <c r="CD73" s="452"/>
      <c r="CE73" s="452"/>
      <c r="CF73" s="452"/>
      <c r="CG73" s="452"/>
      <c r="CH73" s="452"/>
      <c r="CI73" s="452"/>
      <c r="CJ73" s="452"/>
      <c r="CK73" s="452"/>
      <c r="CL73" s="452"/>
      <c r="CM73" s="452"/>
      <c r="CN73" s="452"/>
      <c r="CO73" s="452"/>
      <c r="CP73" s="452"/>
      <c r="CQ73" s="452"/>
      <c r="CR73" s="452"/>
      <c r="CS73" s="452"/>
      <c r="CT73" s="452"/>
      <c r="CU73" s="452"/>
      <c r="CV73" s="452"/>
      <c r="CW73" s="452"/>
      <c r="CX73" s="452"/>
      <c r="CY73" s="452"/>
      <c r="CZ73" s="452"/>
      <c r="DA73" s="452"/>
      <c r="DB73" s="452"/>
      <c r="DC73" s="452"/>
      <c r="DD73" s="452"/>
      <c r="DE73" s="452"/>
      <c r="DF73" s="452"/>
      <c r="DG73" s="452"/>
      <c r="DH73" s="452"/>
      <c r="DI73" s="452"/>
      <c r="DJ73" s="452"/>
      <c r="DK73" s="452"/>
      <c r="DL73" s="452"/>
      <c r="DM73" s="452"/>
      <c r="DN73" s="452"/>
      <c r="DO73" s="452"/>
      <c r="DP73" s="452"/>
      <c r="DQ73" s="452"/>
      <c r="DR73" s="452"/>
      <c r="DS73" s="452"/>
      <c r="DT73" s="452"/>
      <c r="DU73" s="452"/>
      <c r="DV73" s="452"/>
      <c r="DW73" s="452"/>
      <c r="DX73" s="452"/>
      <c r="DY73" s="452"/>
      <c r="DZ73" s="452"/>
      <c r="EA73" s="452"/>
      <c r="EB73" s="452"/>
      <c r="EC73" s="452"/>
      <c r="ED73" s="452"/>
      <c r="EE73" s="452"/>
      <c r="EF73" s="452"/>
      <c r="EG73" s="452"/>
      <c r="EH73" s="452"/>
      <c r="EI73" s="452"/>
      <c r="EJ73" s="452"/>
      <c r="EK73" s="452"/>
      <c r="EL73" s="452"/>
      <c r="EM73" s="452"/>
      <c r="EN73" s="452"/>
      <c r="EO73" s="452"/>
      <c r="EP73" s="452"/>
      <c r="EQ73" s="452"/>
      <c r="ER73" s="452"/>
      <c r="ES73" s="452"/>
      <c r="ET73" s="452"/>
      <c r="EU73" s="452"/>
      <c r="EV73" s="452"/>
      <c r="EW73" s="452"/>
      <c r="EX73" s="452"/>
      <c r="EY73" s="452"/>
      <c r="EZ73" s="452"/>
      <c r="FA73" s="452"/>
      <c r="FB73" s="452"/>
      <c r="FC73" s="452"/>
      <c r="FD73" s="452"/>
      <c r="FE73" s="452"/>
      <c r="FF73" s="452"/>
      <c r="FG73" s="452"/>
      <c r="FH73" s="452"/>
      <c r="FI73" s="452"/>
      <c r="FJ73" s="452"/>
      <c r="FK73" s="452"/>
      <c r="FL73" s="452"/>
      <c r="FM73" s="452"/>
      <c r="FN73" s="452"/>
      <c r="FO73" s="452"/>
      <c r="FP73" s="452"/>
      <c r="FQ73" s="452"/>
      <c r="FR73" s="452"/>
      <c r="FS73" s="452"/>
      <c r="FT73" s="452"/>
      <c r="FU73" s="452"/>
      <c r="FV73" s="452"/>
      <c r="FW73" s="452"/>
      <c r="FX73" s="452"/>
      <c r="FY73" s="452"/>
      <c r="FZ73" s="452"/>
      <c r="GA73" s="452"/>
      <c r="GB73" s="452"/>
      <c r="GC73" s="452"/>
      <c r="GD73" s="452"/>
      <c r="GE73" s="452"/>
      <c r="GF73" s="452"/>
      <c r="GG73" s="452"/>
      <c r="GH73" s="452"/>
      <c r="GI73" s="452"/>
      <c r="GJ73" s="452"/>
      <c r="GK73" s="452"/>
      <c r="GL73" s="452"/>
      <c r="GM73" s="452"/>
      <c r="GN73" s="452"/>
      <c r="GO73" s="452"/>
      <c r="GP73" s="452"/>
      <c r="GQ73" s="452"/>
      <c r="GR73" s="452"/>
      <c r="GS73" s="452"/>
      <c r="GT73" s="452"/>
      <c r="GU73" s="452"/>
      <c r="GV73" s="452"/>
      <c r="GW73" s="452"/>
      <c r="GX73" s="452"/>
      <c r="GY73" s="452"/>
      <c r="GZ73" s="452"/>
      <c r="HA73" s="452"/>
      <c r="HB73" s="452"/>
      <c r="HC73" s="452"/>
      <c r="HD73" s="452"/>
      <c r="HE73" s="452"/>
      <c r="HF73" s="452"/>
      <c r="HG73" s="452"/>
      <c r="HH73" s="452"/>
      <c r="HI73" s="452"/>
      <c r="HJ73" s="452"/>
      <c r="HK73" s="452"/>
      <c r="HL73" s="452"/>
      <c r="HM73" s="452"/>
      <c r="HN73" s="452"/>
      <c r="HO73" s="452"/>
      <c r="HP73" s="452"/>
      <c r="HQ73" s="452"/>
      <c r="HR73" s="452"/>
      <c r="HS73" s="452"/>
      <c r="HT73" s="452"/>
      <c r="HU73" s="452"/>
      <c r="HV73" s="452"/>
      <c r="HW73" s="452"/>
      <c r="HX73" s="452"/>
      <c r="HY73" s="452"/>
      <c r="HZ73" s="452"/>
      <c r="IA73" s="452"/>
      <c r="IB73" s="452"/>
      <c r="IC73" s="452"/>
      <c r="ID73" s="452"/>
      <c r="IE73" s="452"/>
      <c r="IF73" s="452"/>
      <c r="IG73" s="452"/>
      <c r="IH73" s="452"/>
      <c r="II73" s="452"/>
      <c r="IJ73" s="452"/>
      <c r="IK73" s="452"/>
      <c r="IL73" s="452"/>
      <c r="IM73" s="452"/>
      <c r="IN73" s="452"/>
      <c r="IO73" s="452"/>
      <c r="IP73" s="452"/>
      <c r="IQ73" s="452"/>
      <c r="IR73" s="452"/>
      <c r="IS73" s="452"/>
      <c r="IT73" s="452"/>
      <c r="IU73" s="452"/>
      <c r="IV73" s="452"/>
    </row>
    <row r="74" spans="1:256" ht="18">
      <c r="A74" s="477"/>
      <c r="B74" s="452"/>
      <c r="C74" s="452"/>
      <c r="D74" s="452"/>
      <c r="E74" s="452"/>
      <c r="F74" s="452"/>
      <c r="G74" s="452"/>
      <c r="H74" s="452"/>
      <c r="I74" s="452"/>
      <c r="J74" s="452"/>
      <c r="K74" s="452"/>
      <c r="L74" s="452"/>
      <c r="M74" s="452"/>
      <c r="N74" s="452"/>
      <c r="O74" s="452"/>
      <c r="P74" s="452"/>
      <c r="Q74" s="452"/>
      <c r="R74" s="452"/>
      <c r="S74" s="452"/>
      <c r="T74" s="452"/>
      <c r="U74" s="452"/>
      <c r="V74" s="452"/>
      <c r="W74" s="452"/>
      <c r="X74" s="452"/>
      <c r="Y74" s="452"/>
      <c r="Z74" s="452"/>
      <c r="AA74" s="452"/>
      <c r="AB74" s="452"/>
      <c r="AC74" s="452"/>
      <c r="AD74" s="452"/>
      <c r="AE74" s="452"/>
      <c r="AF74" s="452"/>
      <c r="AG74" s="452"/>
      <c r="AH74" s="452"/>
      <c r="AI74" s="452"/>
      <c r="AJ74" s="452"/>
      <c r="AK74" s="452"/>
      <c r="AL74" s="452"/>
      <c r="AM74" s="452"/>
      <c r="AN74" s="452"/>
      <c r="AO74" s="452"/>
      <c r="AP74" s="452"/>
      <c r="AQ74" s="452"/>
      <c r="AR74" s="452"/>
      <c r="AS74" s="452"/>
      <c r="AT74" s="452"/>
      <c r="AU74" s="452"/>
      <c r="AV74" s="452"/>
      <c r="AW74" s="452"/>
      <c r="AX74" s="452"/>
      <c r="AY74" s="452"/>
      <c r="AZ74" s="452"/>
      <c r="BA74" s="452"/>
      <c r="BB74" s="452"/>
      <c r="BC74" s="452"/>
      <c r="BD74" s="452"/>
      <c r="BE74" s="452"/>
      <c r="BF74" s="452"/>
      <c r="BG74" s="452"/>
      <c r="BH74" s="452"/>
      <c r="BI74" s="452"/>
      <c r="BJ74" s="452"/>
      <c r="BK74" s="452"/>
      <c r="BL74" s="452"/>
      <c r="BM74" s="452"/>
      <c r="BN74" s="452"/>
      <c r="BO74" s="452"/>
      <c r="BP74" s="452"/>
      <c r="BQ74" s="452"/>
      <c r="BR74" s="452"/>
      <c r="BS74" s="452"/>
      <c r="BT74" s="452"/>
      <c r="BU74" s="452"/>
      <c r="BV74" s="452"/>
      <c r="BW74" s="452"/>
      <c r="BX74" s="452"/>
      <c r="BY74" s="452"/>
      <c r="BZ74" s="452"/>
      <c r="CA74" s="452"/>
      <c r="CB74" s="452"/>
      <c r="CC74" s="452"/>
      <c r="CD74" s="452"/>
      <c r="CE74" s="452"/>
      <c r="CF74" s="452"/>
      <c r="CG74" s="452"/>
      <c r="CH74" s="452"/>
      <c r="CI74" s="452"/>
      <c r="CJ74" s="452"/>
      <c r="CK74" s="452"/>
      <c r="CL74" s="452"/>
      <c r="CM74" s="452"/>
      <c r="CN74" s="452"/>
      <c r="CO74" s="452"/>
      <c r="CP74" s="452"/>
      <c r="CQ74" s="452"/>
      <c r="CR74" s="452"/>
      <c r="CS74" s="452"/>
      <c r="CT74" s="452"/>
      <c r="CU74" s="452"/>
      <c r="CV74" s="452"/>
      <c r="CW74" s="452"/>
      <c r="CX74" s="452"/>
      <c r="CY74" s="452"/>
      <c r="CZ74" s="452"/>
      <c r="DA74" s="452"/>
      <c r="DB74" s="452"/>
      <c r="DC74" s="452"/>
      <c r="DD74" s="452"/>
      <c r="DE74" s="452"/>
      <c r="DF74" s="452"/>
      <c r="DG74" s="452"/>
      <c r="DH74" s="452"/>
      <c r="DI74" s="452"/>
      <c r="DJ74" s="452"/>
      <c r="DK74" s="452"/>
      <c r="DL74" s="452"/>
      <c r="DM74" s="452"/>
      <c r="DN74" s="452"/>
      <c r="DO74" s="452"/>
      <c r="DP74" s="452"/>
      <c r="DQ74" s="452"/>
      <c r="DR74" s="452"/>
      <c r="DS74" s="452"/>
      <c r="DT74" s="452"/>
      <c r="DU74" s="452"/>
      <c r="DV74" s="452"/>
      <c r="DW74" s="452"/>
      <c r="DX74" s="452"/>
      <c r="DY74" s="452"/>
      <c r="DZ74" s="452"/>
      <c r="EA74" s="452"/>
      <c r="EB74" s="452"/>
      <c r="EC74" s="452"/>
      <c r="ED74" s="452"/>
      <c r="EE74" s="452"/>
      <c r="EF74" s="452"/>
      <c r="EG74" s="452"/>
      <c r="EH74" s="452"/>
      <c r="EI74" s="452"/>
      <c r="EJ74" s="452"/>
      <c r="EK74" s="452"/>
      <c r="EL74" s="452"/>
      <c r="EM74" s="452"/>
      <c r="EN74" s="452"/>
      <c r="EO74" s="452"/>
      <c r="EP74" s="452"/>
      <c r="EQ74" s="452"/>
      <c r="ER74" s="452"/>
      <c r="ES74" s="452"/>
      <c r="ET74" s="452"/>
      <c r="EU74" s="452"/>
      <c r="EV74" s="452"/>
      <c r="EW74" s="452"/>
      <c r="EX74" s="452"/>
      <c r="EY74" s="452"/>
      <c r="EZ74" s="452"/>
      <c r="FA74" s="452"/>
      <c r="FB74" s="452"/>
      <c r="FC74" s="452"/>
      <c r="FD74" s="452"/>
      <c r="FE74" s="452"/>
      <c r="FF74" s="452"/>
      <c r="FG74" s="452"/>
      <c r="FH74" s="452"/>
      <c r="FI74" s="452"/>
      <c r="FJ74" s="452"/>
      <c r="FK74" s="452"/>
      <c r="FL74" s="452"/>
      <c r="FM74" s="452"/>
      <c r="FN74" s="452"/>
      <c r="FO74" s="452"/>
      <c r="FP74" s="452"/>
      <c r="FQ74" s="452"/>
      <c r="FR74" s="452"/>
      <c r="FS74" s="452"/>
      <c r="FT74" s="452"/>
      <c r="FU74" s="452"/>
      <c r="FV74" s="452"/>
      <c r="FW74" s="452"/>
      <c r="FX74" s="452"/>
      <c r="FY74" s="452"/>
      <c r="FZ74" s="452"/>
      <c r="GA74" s="452"/>
      <c r="GB74" s="452"/>
      <c r="GC74" s="452"/>
      <c r="GD74" s="452"/>
      <c r="GE74" s="452"/>
      <c r="GF74" s="452"/>
      <c r="GG74" s="452"/>
      <c r="GH74" s="452"/>
      <c r="GI74" s="452"/>
      <c r="GJ74" s="452"/>
      <c r="GK74" s="452"/>
      <c r="GL74" s="452"/>
      <c r="GM74" s="452"/>
      <c r="GN74" s="452"/>
      <c r="GO74" s="452"/>
      <c r="GP74" s="452"/>
      <c r="GQ74" s="452"/>
      <c r="GR74" s="452"/>
      <c r="GS74" s="452"/>
      <c r="GT74" s="452"/>
      <c r="GU74" s="452"/>
      <c r="GV74" s="452"/>
      <c r="GW74" s="452"/>
      <c r="GX74" s="452"/>
      <c r="GY74" s="452"/>
      <c r="GZ74" s="452"/>
      <c r="HA74" s="452"/>
      <c r="HB74" s="452"/>
      <c r="HC74" s="452"/>
      <c r="HD74" s="452"/>
      <c r="HE74" s="452"/>
      <c r="HF74" s="452"/>
      <c r="HG74" s="452"/>
      <c r="HH74" s="452"/>
      <c r="HI74" s="452"/>
      <c r="HJ74" s="452"/>
      <c r="HK74" s="452"/>
      <c r="HL74" s="452"/>
      <c r="HM74" s="452"/>
      <c r="HN74" s="452"/>
      <c r="HO74" s="452"/>
      <c r="HP74" s="452"/>
      <c r="HQ74" s="452"/>
      <c r="HR74" s="452"/>
      <c r="HS74" s="452"/>
      <c r="HT74" s="452"/>
      <c r="HU74" s="452"/>
      <c r="HV74" s="452"/>
      <c r="HW74" s="452"/>
      <c r="HX74" s="452"/>
      <c r="HY74" s="452"/>
      <c r="HZ74" s="452"/>
      <c r="IA74" s="452"/>
      <c r="IB74" s="452"/>
      <c r="IC74" s="452"/>
      <c r="ID74" s="452"/>
      <c r="IE74" s="452"/>
      <c r="IF74" s="452"/>
      <c r="IG74" s="452"/>
      <c r="IH74" s="452"/>
      <c r="II74" s="452"/>
      <c r="IJ74" s="452"/>
      <c r="IK74" s="452"/>
      <c r="IL74" s="452"/>
      <c r="IM74" s="452"/>
      <c r="IN74" s="452"/>
      <c r="IO74" s="452"/>
      <c r="IP74" s="452"/>
      <c r="IQ74" s="452"/>
      <c r="IR74" s="452"/>
      <c r="IS74" s="452"/>
      <c r="IT74" s="452"/>
      <c r="IU74" s="452"/>
      <c r="IV74" s="452"/>
    </row>
    <row r="75" spans="1:256" ht="18">
      <c r="A75" s="452"/>
      <c r="B75" s="452"/>
      <c r="C75" s="452"/>
      <c r="D75" s="452"/>
      <c r="E75" s="452"/>
      <c r="F75" s="452"/>
      <c r="G75" s="452"/>
      <c r="H75" s="452"/>
      <c r="I75" s="452"/>
      <c r="J75" s="452"/>
      <c r="K75" s="452"/>
      <c r="L75" s="452"/>
      <c r="M75" s="452"/>
      <c r="N75" s="452"/>
      <c r="O75" s="452"/>
      <c r="P75" s="452"/>
      <c r="Q75" s="452"/>
      <c r="R75" s="452"/>
      <c r="S75" s="452"/>
      <c r="T75" s="452"/>
      <c r="U75" s="452"/>
      <c r="V75" s="452"/>
      <c r="W75" s="452"/>
      <c r="X75" s="452"/>
      <c r="Y75" s="452"/>
      <c r="Z75" s="452"/>
      <c r="AA75" s="452"/>
      <c r="AB75" s="452"/>
      <c r="AC75" s="452"/>
      <c r="AD75" s="452"/>
      <c r="AE75" s="452"/>
      <c r="AF75" s="452"/>
      <c r="AG75" s="452"/>
      <c r="AH75" s="452"/>
      <c r="AI75" s="452"/>
      <c r="AJ75" s="452"/>
      <c r="AK75" s="452"/>
      <c r="AL75" s="452"/>
      <c r="AM75" s="452"/>
      <c r="AN75" s="452"/>
      <c r="AO75" s="452"/>
      <c r="AP75" s="452"/>
      <c r="AQ75" s="452"/>
      <c r="AR75" s="452"/>
      <c r="AS75" s="452"/>
      <c r="AT75" s="452"/>
      <c r="AU75" s="452"/>
      <c r="AV75" s="452"/>
      <c r="AW75" s="452"/>
      <c r="AX75" s="452"/>
      <c r="AY75" s="452"/>
      <c r="AZ75" s="452"/>
      <c r="BA75" s="452"/>
      <c r="BB75" s="452"/>
      <c r="BC75" s="452"/>
      <c r="BD75" s="452"/>
      <c r="BE75" s="452"/>
      <c r="BF75" s="452"/>
      <c r="BG75" s="452"/>
      <c r="BH75" s="452"/>
      <c r="BI75" s="452"/>
      <c r="BJ75" s="452"/>
      <c r="BK75" s="452"/>
      <c r="BL75" s="452"/>
      <c r="BM75" s="452"/>
      <c r="BN75" s="452"/>
      <c r="BO75" s="452"/>
      <c r="BP75" s="452"/>
      <c r="BQ75" s="452"/>
      <c r="BR75" s="452"/>
      <c r="BS75" s="452"/>
      <c r="BT75" s="452"/>
      <c r="BU75" s="452"/>
      <c r="BV75" s="452"/>
      <c r="BW75" s="452"/>
      <c r="BX75" s="452"/>
      <c r="BY75" s="452"/>
      <c r="BZ75" s="452"/>
      <c r="CA75" s="452"/>
      <c r="CB75" s="452"/>
      <c r="CC75" s="452"/>
      <c r="CD75" s="452"/>
      <c r="CE75" s="452"/>
      <c r="CF75" s="452"/>
      <c r="CG75" s="452"/>
      <c r="CH75" s="452"/>
      <c r="CI75" s="452"/>
      <c r="CJ75" s="452"/>
      <c r="CK75" s="452"/>
      <c r="CL75" s="452"/>
      <c r="CM75" s="452"/>
      <c r="CN75" s="452"/>
      <c r="CO75" s="452"/>
      <c r="CP75" s="452"/>
      <c r="CQ75" s="452"/>
      <c r="CR75" s="452"/>
      <c r="CS75" s="452"/>
      <c r="CT75" s="452"/>
      <c r="CU75" s="452"/>
      <c r="CV75" s="452"/>
      <c r="CW75" s="452"/>
      <c r="CX75" s="452"/>
      <c r="CY75" s="452"/>
      <c r="CZ75" s="452"/>
      <c r="DA75" s="452"/>
      <c r="DB75" s="452"/>
      <c r="DC75" s="452"/>
      <c r="DD75" s="452"/>
      <c r="DE75" s="452"/>
      <c r="DF75" s="452"/>
      <c r="DG75" s="452"/>
      <c r="DH75" s="452"/>
      <c r="DI75" s="452"/>
      <c r="DJ75" s="452"/>
      <c r="DK75" s="452"/>
      <c r="DL75" s="452"/>
      <c r="DM75" s="452"/>
      <c r="DN75" s="452"/>
      <c r="DO75" s="452"/>
      <c r="DP75" s="452"/>
      <c r="DQ75" s="452"/>
      <c r="DR75" s="452"/>
      <c r="DS75" s="452"/>
      <c r="DT75" s="452"/>
      <c r="DU75" s="452"/>
      <c r="DV75" s="452"/>
      <c r="DW75" s="452"/>
      <c r="DX75" s="452"/>
      <c r="DY75" s="452"/>
      <c r="DZ75" s="452"/>
      <c r="EA75" s="452"/>
      <c r="EB75" s="452"/>
      <c r="EC75" s="452"/>
      <c r="ED75" s="452"/>
      <c r="EE75" s="452"/>
      <c r="EF75" s="452"/>
      <c r="EG75" s="452"/>
      <c r="EH75" s="452"/>
      <c r="EI75" s="452"/>
      <c r="EJ75" s="452"/>
      <c r="EK75" s="452"/>
      <c r="EL75" s="452"/>
      <c r="EM75" s="452"/>
      <c r="EN75" s="452"/>
      <c r="EO75" s="452"/>
      <c r="EP75" s="452"/>
      <c r="EQ75" s="452"/>
      <c r="ER75" s="452"/>
      <c r="ES75" s="452"/>
      <c r="ET75" s="452"/>
      <c r="EU75" s="452"/>
      <c r="EV75" s="452"/>
      <c r="EW75" s="452"/>
      <c r="EX75" s="452"/>
      <c r="EY75" s="452"/>
      <c r="EZ75" s="452"/>
      <c r="FA75" s="452"/>
      <c r="FB75" s="452"/>
      <c r="FC75" s="452"/>
      <c r="FD75" s="452"/>
      <c r="FE75" s="452"/>
      <c r="FF75" s="452"/>
      <c r="FG75" s="452"/>
      <c r="FH75" s="452"/>
      <c r="FI75" s="452"/>
      <c r="FJ75" s="452"/>
      <c r="FK75" s="452"/>
      <c r="FL75" s="452"/>
      <c r="FM75" s="452"/>
      <c r="FN75" s="452"/>
      <c r="FO75" s="452"/>
      <c r="FP75" s="452"/>
      <c r="FQ75" s="452"/>
      <c r="FR75" s="452"/>
      <c r="FS75" s="452"/>
      <c r="FT75" s="452"/>
      <c r="FU75" s="452"/>
      <c r="FV75" s="452"/>
      <c r="FW75" s="452"/>
      <c r="FX75" s="452"/>
      <c r="FY75" s="452"/>
      <c r="FZ75" s="452"/>
      <c r="GA75" s="452"/>
      <c r="GB75" s="452"/>
      <c r="GC75" s="452"/>
      <c r="GD75" s="452"/>
      <c r="GE75" s="452"/>
      <c r="GF75" s="452"/>
      <c r="GG75" s="452"/>
      <c r="GH75" s="452"/>
      <c r="GI75" s="452"/>
      <c r="GJ75" s="452"/>
      <c r="GK75" s="452"/>
      <c r="GL75" s="452"/>
      <c r="GM75" s="452"/>
      <c r="GN75" s="452"/>
      <c r="GO75" s="452"/>
      <c r="GP75" s="452"/>
      <c r="GQ75" s="452"/>
      <c r="GR75" s="452"/>
      <c r="GS75" s="452"/>
      <c r="GT75" s="452"/>
      <c r="GU75" s="452"/>
      <c r="GV75" s="452"/>
      <c r="GW75" s="452"/>
      <c r="GX75" s="452"/>
      <c r="GY75" s="452"/>
      <c r="GZ75" s="452"/>
      <c r="HA75" s="452"/>
      <c r="HB75" s="452"/>
      <c r="HC75" s="452"/>
      <c r="HD75" s="452"/>
      <c r="HE75" s="452"/>
      <c r="HF75" s="452"/>
      <c r="HG75" s="452"/>
      <c r="HH75" s="452"/>
      <c r="HI75" s="452"/>
      <c r="HJ75" s="452"/>
      <c r="HK75" s="452"/>
      <c r="HL75" s="452"/>
      <c r="HM75" s="452"/>
      <c r="HN75" s="452"/>
      <c r="HO75" s="452"/>
      <c r="HP75" s="452"/>
      <c r="HQ75" s="452"/>
      <c r="HR75" s="452"/>
      <c r="HS75" s="452"/>
      <c r="HT75" s="452"/>
      <c r="HU75" s="452"/>
      <c r="HV75" s="452"/>
      <c r="HW75" s="452"/>
      <c r="HX75" s="452"/>
      <c r="HY75" s="452"/>
      <c r="HZ75" s="452"/>
      <c r="IA75" s="452"/>
      <c r="IB75" s="452"/>
      <c r="IC75" s="452"/>
      <c r="ID75" s="452"/>
      <c r="IE75" s="452"/>
      <c r="IF75" s="452"/>
      <c r="IG75" s="452"/>
      <c r="IH75" s="452"/>
      <c r="II75" s="452"/>
      <c r="IJ75" s="452"/>
      <c r="IK75" s="452"/>
      <c r="IL75" s="452"/>
      <c r="IM75" s="452"/>
      <c r="IN75" s="452"/>
      <c r="IO75" s="452"/>
      <c r="IP75" s="452"/>
      <c r="IQ75" s="452"/>
      <c r="IR75" s="452"/>
      <c r="IS75" s="452"/>
      <c r="IT75" s="452"/>
      <c r="IU75" s="452"/>
      <c r="IV75" s="452"/>
    </row>
    <row r="76" spans="1:256" ht="18">
      <c r="A76" s="452"/>
      <c r="B76" s="452"/>
      <c r="C76" s="452"/>
      <c r="D76" s="452"/>
      <c r="E76" s="452"/>
      <c r="F76" s="452"/>
      <c r="G76" s="452"/>
      <c r="H76" s="452"/>
      <c r="I76" s="452"/>
      <c r="J76" s="452"/>
      <c r="K76" s="452"/>
      <c r="L76" s="452"/>
      <c r="M76" s="452"/>
      <c r="N76" s="452"/>
      <c r="O76" s="452"/>
      <c r="P76" s="452"/>
      <c r="Q76" s="452"/>
      <c r="R76" s="452"/>
      <c r="S76" s="452"/>
      <c r="T76" s="452"/>
      <c r="U76" s="452"/>
      <c r="V76" s="452"/>
      <c r="W76" s="452"/>
      <c r="X76" s="452"/>
      <c r="Y76" s="452"/>
      <c r="Z76" s="452"/>
      <c r="AA76" s="452"/>
      <c r="AB76" s="452"/>
      <c r="AC76" s="452"/>
      <c r="AD76" s="452"/>
      <c r="AE76" s="452"/>
      <c r="AF76" s="452"/>
      <c r="AG76" s="452"/>
      <c r="AH76" s="452"/>
      <c r="AI76" s="452"/>
      <c r="AJ76" s="452"/>
      <c r="AK76" s="452"/>
      <c r="AL76" s="452"/>
      <c r="AM76" s="452"/>
      <c r="AN76" s="452"/>
      <c r="AO76" s="452"/>
      <c r="AP76" s="452"/>
      <c r="AQ76" s="452"/>
      <c r="AR76" s="452"/>
      <c r="AS76" s="452"/>
      <c r="AT76" s="452"/>
      <c r="AU76" s="452"/>
      <c r="AV76" s="452"/>
      <c r="AW76" s="452"/>
      <c r="AX76" s="452"/>
      <c r="AY76" s="452"/>
      <c r="AZ76" s="452"/>
      <c r="BA76" s="452"/>
      <c r="BB76" s="452"/>
      <c r="BC76" s="452"/>
      <c r="BD76" s="452"/>
      <c r="BE76" s="452"/>
      <c r="BF76" s="452"/>
      <c r="BG76" s="452"/>
      <c r="BH76" s="452"/>
      <c r="BI76" s="452"/>
      <c r="BJ76" s="452"/>
      <c r="BK76" s="452"/>
      <c r="BL76" s="452"/>
      <c r="BM76" s="452"/>
      <c r="BN76" s="452"/>
      <c r="BO76" s="452"/>
      <c r="BP76" s="452"/>
      <c r="BQ76" s="452"/>
      <c r="BR76" s="452"/>
      <c r="BS76" s="452"/>
      <c r="BT76" s="452"/>
      <c r="BU76" s="452"/>
      <c r="BV76" s="452"/>
      <c r="BW76" s="452"/>
      <c r="BX76" s="452"/>
      <c r="BY76" s="452"/>
      <c r="BZ76" s="452"/>
      <c r="CA76" s="452"/>
      <c r="CB76" s="452"/>
      <c r="CC76" s="452"/>
      <c r="CD76" s="452"/>
      <c r="CE76" s="452"/>
      <c r="CF76" s="452"/>
      <c r="CG76" s="452"/>
      <c r="CH76" s="452"/>
      <c r="CI76" s="452"/>
      <c r="CJ76" s="452"/>
      <c r="CK76" s="452"/>
      <c r="CL76" s="452"/>
      <c r="CM76" s="452"/>
      <c r="CN76" s="452"/>
      <c r="CO76" s="452"/>
      <c r="CP76" s="452"/>
      <c r="CQ76" s="452"/>
      <c r="CR76" s="452"/>
      <c r="CS76" s="452"/>
      <c r="CT76" s="452"/>
      <c r="CU76" s="452"/>
      <c r="CV76" s="452"/>
      <c r="CW76" s="452"/>
      <c r="CX76" s="452"/>
      <c r="CY76" s="452"/>
      <c r="CZ76" s="452"/>
      <c r="DA76" s="452"/>
      <c r="DB76" s="452"/>
      <c r="DC76" s="452"/>
      <c r="DD76" s="452"/>
      <c r="DE76" s="452"/>
      <c r="DF76" s="452"/>
      <c r="DG76" s="452"/>
      <c r="DH76" s="452"/>
      <c r="DI76" s="452"/>
      <c r="DJ76" s="452"/>
      <c r="DK76" s="452"/>
      <c r="DL76" s="452"/>
      <c r="DM76" s="452"/>
      <c r="DN76" s="452"/>
      <c r="DO76" s="452"/>
      <c r="DP76" s="452"/>
      <c r="DQ76" s="452"/>
      <c r="DR76" s="452"/>
      <c r="DS76" s="452"/>
      <c r="DT76" s="452"/>
      <c r="DU76" s="452"/>
      <c r="DV76" s="452"/>
      <c r="DW76" s="452"/>
      <c r="DX76" s="452"/>
      <c r="DY76" s="452"/>
      <c r="DZ76" s="452"/>
      <c r="EA76" s="452"/>
      <c r="EB76" s="452"/>
      <c r="EC76" s="452"/>
      <c r="ED76" s="452"/>
      <c r="EE76" s="452"/>
      <c r="EF76" s="452"/>
      <c r="EG76" s="452"/>
      <c r="EH76" s="452"/>
      <c r="EI76" s="452"/>
      <c r="EJ76" s="452"/>
      <c r="EK76" s="452"/>
      <c r="EL76" s="452"/>
      <c r="EM76" s="452"/>
      <c r="EN76" s="452"/>
      <c r="EO76" s="452"/>
      <c r="EP76" s="452"/>
      <c r="EQ76" s="452"/>
      <c r="ER76" s="452"/>
      <c r="ES76" s="452"/>
      <c r="ET76" s="452"/>
      <c r="EU76" s="452"/>
      <c r="EV76" s="452"/>
      <c r="EW76" s="452"/>
      <c r="EX76" s="452"/>
      <c r="EY76" s="452"/>
      <c r="EZ76" s="452"/>
      <c r="FA76" s="452"/>
      <c r="FB76" s="452"/>
      <c r="FC76" s="452"/>
      <c r="FD76" s="452"/>
      <c r="FE76" s="452"/>
      <c r="FF76" s="452"/>
      <c r="FG76" s="452"/>
      <c r="FH76" s="452"/>
      <c r="FI76" s="452"/>
      <c r="FJ76" s="452"/>
      <c r="FK76" s="452"/>
      <c r="FL76" s="452"/>
      <c r="FM76" s="452"/>
      <c r="FN76" s="452"/>
      <c r="FO76" s="452"/>
      <c r="FP76" s="452"/>
      <c r="FQ76" s="452"/>
      <c r="FR76" s="452"/>
      <c r="FS76" s="452"/>
      <c r="FT76" s="452"/>
      <c r="FU76" s="452"/>
      <c r="FV76" s="452"/>
      <c r="FW76" s="452"/>
      <c r="FX76" s="452"/>
      <c r="FY76" s="452"/>
      <c r="FZ76" s="452"/>
      <c r="GA76" s="452"/>
      <c r="GB76" s="452"/>
      <c r="GC76" s="452"/>
      <c r="GD76" s="452"/>
      <c r="GE76" s="452"/>
      <c r="GF76" s="452"/>
      <c r="GG76" s="452"/>
      <c r="GH76" s="452"/>
      <c r="GI76" s="452"/>
      <c r="GJ76" s="452"/>
      <c r="GK76" s="452"/>
      <c r="GL76" s="452"/>
      <c r="GM76" s="452"/>
      <c r="GN76" s="452"/>
      <c r="GO76" s="452"/>
      <c r="GP76" s="452"/>
      <c r="GQ76" s="452"/>
      <c r="GR76" s="452"/>
      <c r="GS76" s="452"/>
      <c r="GT76" s="452"/>
      <c r="GU76" s="452"/>
      <c r="GV76" s="452"/>
      <c r="GW76" s="452"/>
      <c r="GX76" s="452"/>
      <c r="GY76" s="452"/>
      <c r="GZ76" s="452"/>
      <c r="HA76" s="452"/>
      <c r="HB76" s="452"/>
      <c r="HC76" s="452"/>
      <c r="HD76" s="452"/>
      <c r="HE76" s="452"/>
      <c r="HF76" s="452"/>
      <c r="HG76" s="452"/>
      <c r="HH76" s="452"/>
      <c r="HI76" s="452"/>
      <c r="HJ76" s="452"/>
      <c r="HK76" s="452"/>
      <c r="HL76" s="452"/>
      <c r="HM76" s="452"/>
      <c r="HN76" s="452"/>
      <c r="HO76" s="452"/>
      <c r="HP76" s="452"/>
      <c r="HQ76" s="452"/>
      <c r="HR76" s="452"/>
      <c r="HS76" s="452"/>
      <c r="HT76" s="452"/>
      <c r="HU76" s="452"/>
      <c r="HV76" s="452"/>
      <c r="HW76" s="452"/>
      <c r="HX76" s="452"/>
      <c r="HY76" s="452"/>
      <c r="HZ76" s="452"/>
      <c r="IA76" s="452"/>
      <c r="IB76" s="452"/>
      <c r="IC76" s="452"/>
      <c r="ID76" s="452"/>
      <c r="IE76" s="452"/>
      <c r="IF76" s="452"/>
      <c r="IG76" s="452"/>
      <c r="IH76" s="452"/>
      <c r="II76" s="452"/>
      <c r="IJ76" s="452"/>
      <c r="IK76" s="452"/>
      <c r="IL76" s="452"/>
      <c r="IM76" s="452"/>
      <c r="IN76" s="452"/>
      <c r="IO76" s="452"/>
      <c r="IP76" s="452"/>
      <c r="IQ76" s="452"/>
      <c r="IR76" s="452"/>
      <c r="IS76" s="452"/>
      <c r="IT76" s="452"/>
      <c r="IU76" s="452"/>
      <c r="IV76" s="452"/>
    </row>
    <row r="77" spans="1:256" ht="18">
      <c r="A77" s="452"/>
      <c r="B77" s="452"/>
      <c r="C77" s="452"/>
      <c r="D77" s="452"/>
      <c r="E77" s="452"/>
      <c r="F77" s="452"/>
      <c r="G77" s="452"/>
      <c r="H77" s="452"/>
      <c r="I77" s="452"/>
      <c r="J77" s="452"/>
      <c r="K77" s="452"/>
      <c r="L77" s="452"/>
      <c r="M77" s="452"/>
      <c r="N77" s="452"/>
      <c r="O77" s="452"/>
      <c r="P77" s="452"/>
      <c r="Q77" s="452"/>
      <c r="R77" s="452"/>
      <c r="S77" s="452"/>
      <c r="T77" s="452"/>
      <c r="U77" s="452"/>
      <c r="V77" s="452"/>
      <c r="W77" s="452"/>
      <c r="X77" s="452"/>
      <c r="Y77" s="452"/>
      <c r="Z77" s="452"/>
      <c r="AA77" s="452"/>
      <c r="AB77" s="452"/>
      <c r="AC77" s="452"/>
      <c r="AD77" s="452"/>
      <c r="AE77" s="452"/>
      <c r="AF77" s="452"/>
      <c r="AG77" s="452"/>
      <c r="AH77" s="452"/>
      <c r="AI77" s="452"/>
      <c r="AJ77" s="452"/>
      <c r="AK77" s="452"/>
      <c r="AL77" s="452"/>
      <c r="AM77" s="452"/>
      <c r="AN77" s="452"/>
      <c r="AO77" s="452"/>
      <c r="AP77" s="452"/>
      <c r="AQ77" s="452"/>
      <c r="AR77" s="452"/>
      <c r="AS77" s="452"/>
      <c r="AT77" s="452"/>
      <c r="AU77" s="452"/>
      <c r="AV77" s="452"/>
      <c r="AW77" s="452"/>
      <c r="AX77" s="452"/>
      <c r="AY77" s="452"/>
      <c r="AZ77" s="452"/>
      <c r="BA77" s="452"/>
      <c r="BB77" s="452"/>
      <c r="BC77" s="452"/>
      <c r="BD77" s="452"/>
      <c r="BE77" s="452"/>
      <c r="BF77" s="452"/>
      <c r="BG77" s="452"/>
      <c r="BH77" s="452"/>
      <c r="BI77" s="452"/>
      <c r="BJ77" s="452"/>
      <c r="BK77" s="452"/>
      <c r="BL77" s="452"/>
      <c r="BM77" s="452"/>
      <c r="BN77" s="452"/>
      <c r="BO77" s="452"/>
      <c r="BP77" s="452"/>
      <c r="BQ77" s="452"/>
      <c r="BR77" s="452"/>
      <c r="BS77" s="452"/>
      <c r="BT77" s="452"/>
      <c r="BU77" s="452"/>
      <c r="BV77" s="452"/>
      <c r="BW77" s="452"/>
      <c r="BX77" s="452"/>
      <c r="BY77" s="452"/>
      <c r="BZ77" s="452"/>
      <c r="CA77" s="452"/>
      <c r="CB77" s="452"/>
      <c r="CC77" s="452"/>
      <c r="CD77" s="452"/>
      <c r="CE77" s="452"/>
      <c r="CF77" s="452"/>
      <c r="CG77" s="452"/>
      <c r="CH77" s="452"/>
      <c r="CI77" s="452"/>
      <c r="CJ77" s="452"/>
      <c r="CK77" s="452"/>
      <c r="CL77" s="452"/>
      <c r="CM77" s="452"/>
      <c r="CN77" s="452"/>
      <c r="CO77" s="452"/>
      <c r="CP77" s="452"/>
      <c r="CQ77" s="452"/>
      <c r="CR77" s="452"/>
      <c r="CS77" s="452"/>
      <c r="CT77" s="452"/>
      <c r="CU77" s="452"/>
      <c r="CV77" s="452"/>
      <c r="CW77" s="452"/>
      <c r="CX77" s="452"/>
      <c r="CY77" s="452"/>
      <c r="CZ77" s="452"/>
      <c r="DA77" s="452"/>
      <c r="DB77" s="452"/>
      <c r="DC77" s="452"/>
      <c r="DD77" s="452"/>
      <c r="DE77" s="452"/>
      <c r="DF77" s="452"/>
      <c r="DG77" s="452"/>
      <c r="DH77" s="452"/>
      <c r="DI77" s="452"/>
      <c r="DJ77" s="452"/>
      <c r="DK77" s="452"/>
      <c r="DL77" s="452"/>
      <c r="DM77" s="452"/>
      <c r="DN77" s="452"/>
      <c r="DO77" s="452"/>
      <c r="DP77" s="452"/>
      <c r="DQ77" s="452"/>
      <c r="DR77" s="452"/>
      <c r="DS77" s="452"/>
      <c r="DT77" s="452"/>
      <c r="DU77" s="452"/>
      <c r="DV77" s="452"/>
      <c r="DW77" s="452"/>
      <c r="DX77" s="452"/>
      <c r="DY77" s="452"/>
      <c r="DZ77" s="452"/>
      <c r="EA77" s="452"/>
      <c r="EB77" s="452"/>
      <c r="EC77" s="452"/>
      <c r="ED77" s="452"/>
      <c r="EE77" s="452"/>
      <c r="EF77" s="452"/>
      <c r="EG77" s="452"/>
      <c r="EH77" s="452"/>
      <c r="EI77" s="452"/>
      <c r="EJ77" s="452"/>
      <c r="EK77" s="452"/>
      <c r="EL77" s="452"/>
      <c r="EM77" s="452"/>
      <c r="EN77" s="452"/>
      <c r="EO77" s="452"/>
      <c r="EP77" s="452"/>
      <c r="EQ77" s="452"/>
      <c r="ER77" s="452"/>
      <c r="ES77" s="452"/>
      <c r="ET77" s="452"/>
      <c r="EU77" s="452"/>
      <c r="EV77" s="452"/>
      <c r="EW77" s="452"/>
      <c r="EX77" s="452"/>
      <c r="EY77" s="452"/>
      <c r="EZ77" s="452"/>
      <c r="FA77" s="452"/>
      <c r="FB77" s="452"/>
      <c r="FC77" s="452"/>
      <c r="FD77" s="452"/>
      <c r="FE77" s="452"/>
      <c r="FF77" s="452"/>
      <c r="FG77" s="452"/>
      <c r="FH77" s="452"/>
      <c r="FI77" s="452"/>
      <c r="FJ77" s="452"/>
      <c r="FK77" s="452"/>
      <c r="FL77" s="452"/>
      <c r="FM77" s="452"/>
      <c r="FN77" s="452"/>
      <c r="FO77" s="452"/>
      <c r="FP77" s="452"/>
      <c r="FQ77" s="452"/>
      <c r="FR77" s="452"/>
      <c r="FS77" s="452"/>
      <c r="FT77" s="452"/>
      <c r="FU77" s="452"/>
      <c r="FV77" s="452"/>
      <c r="FW77" s="452"/>
      <c r="FX77" s="452"/>
      <c r="FY77" s="452"/>
      <c r="FZ77" s="452"/>
      <c r="GA77" s="452"/>
      <c r="GB77" s="452"/>
      <c r="GC77" s="452"/>
      <c r="GD77" s="452"/>
      <c r="GE77" s="452"/>
      <c r="GF77" s="452"/>
      <c r="GG77" s="452"/>
      <c r="GH77" s="452"/>
      <c r="GI77" s="452"/>
      <c r="GJ77" s="452"/>
      <c r="GK77" s="452"/>
      <c r="GL77" s="452"/>
      <c r="GM77" s="452"/>
      <c r="GN77" s="452"/>
      <c r="GO77" s="452"/>
      <c r="GP77" s="452"/>
      <c r="GQ77" s="452"/>
      <c r="GR77" s="452"/>
      <c r="GS77" s="452"/>
      <c r="GT77" s="452"/>
      <c r="GU77" s="452"/>
      <c r="GV77" s="452"/>
      <c r="GW77" s="452"/>
      <c r="GX77" s="452"/>
      <c r="GY77" s="452"/>
      <c r="GZ77" s="452"/>
      <c r="HA77" s="452"/>
      <c r="HB77" s="452"/>
      <c r="HC77" s="452"/>
      <c r="HD77" s="452"/>
      <c r="HE77" s="452"/>
      <c r="HF77" s="452"/>
      <c r="HG77" s="452"/>
      <c r="HH77" s="452"/>
      <c r="HI77" s="452"/>
      <c r="HJ77" s="452"/>
      <c r="HK77" s="452"/>
      <c r="HL77" s="452"/>
      <c r="HM77" s="452"/>
      <c r="HN77" s="452"/>
      <c r="HO77" s="452"/>
      <c r="HP77" s="452"/>
      <c r="HQ77" s="452"/>
      <c r="HR77" s="452"/>
      <c r="HS77" s="452"/>
      <c r="HT77" s="452"/>
      <c r="HU77" s="452"/>
      <c r="HV77" s="452"/>
      <c r="HW77" s="452"/>
      <c r="HX77" s="452"/>
      <c r="HY77" s="452"/>
      <c r="HZ77" s="452"/>
      <c r="IA77" s="452"/>
      <c r="IB77" s="452"/>
      <c r="IC77" s="452"/>
      <c r="ID77" s="452"/>
      <c r="IE77" s="452"/>
      <c r="IF77" s="452"/>
      <c r="IG77" s="452"/>
      <c r="IH77" s="452"/>
      <c r="II77" s="452"/>
      <c r="IJ77" s="452"/>
      <c r="IK77" s="452"/>
      <c r="IL77" s="452"/>
      <c r="IM77" s="452"/>
      <c r="IN77" s="452"/>
      <c r="IO77" s="452"/>
      <c r="IP77" s="452"/>
      <c r="IQ77" s="452"/>
      <c r="IR77" s="452"/>
      <c r="IS77" s="452"/>
      <c r="IT77" s="452"/>
      <c r="IU77" s="452"/>
      <c r="IV77" s="452"/>
    </row>
    <row r="78" spans="1:256" ht="18">
      <c r="A78" s="452"/>
      <c r="B78" s="452"/>
      <c r="C78" s="452"/>
      <c r="D78" s="452"/>
      <c r="E78" s="452"/>
      <c r="F78" s="452"/>
      <c r="G78" s="452"/>
      <c r="H78" s="452"/>
      <c r="I78" s="452"/>
      <c r="J78" s="452"/>
      <c r="K78" s="452"/>
      <c r="L78" s="452"/>
      <c r="M78" s="452"/>
      <c r="N78" s="452"/>
      <c r="O78" s="452"/>
      <c r="P78" s="452"/>
      <c r="Q78" s="452"/>
      <c r="R78" s="452"/>
      <c r="S78" s="452"/>
      <c r="T78" s="452"/>
      <c r="U78" s="452"/>
      <c r="V78" s="452"/>
      <c r="W78" s="452"/>
      <c r="X78" s="452"/>
      <c r="Y78" s="452"/>
      <c r="Z78" s="452"/>
      <c r="AA78" s="452"/>
      <c r="AB78" s="452"/>
      <c r="AC78" s="452"/>
      <c r="AD78" s="452"/>
      <c r="AE78" s="452"/>
      <c r="AF78" s="452"/>
      <c r="AG78" s="452"/>
      <c r="AH78" s="452"/>
      <c r="AI78" s="452"/>
      <c r="AJ78" s="452"/>
      <c r="AK78" s="452"/>
      <c r="AL78" s="452"/>
      <c r="AM78" s="452"/>
      <c r="AN78" s="452"/>
      <c r="AO78" s="452"/>
      <c r="AP78" s="452"/>
      <c r="AQ78" s="452"/>
      <c r="AR78" s="452"/>
      <c r="AS78" s="452"/>
      <c r="AT78" s="452"/>
      <c r="AU78" s="452"/>
      <c r="AV78" s="452"/>
      <c r="AW78" s="452"/>
      <c r="AX78" s="452"/>
      <c r="AY78" s="452"/>
      <c r="AZ78" s="452"/>
      <c r="BA78" s="452"/>
      <c r="BB78" s="452"/>
      <c r="BC78" s="452"/>
      <c r="BD78" s="452"/>
      <c r="BE78" s="452"/>
      <c r="BF78" s="452"/>
      <c r="BG78" s="452"/>
      <c r="BH78" s="452"/>
      <c r="BI78" s="452"/>
      <c r="BJ78" s="452"/>
      <c r="BK78" s="452"/>
      <c r="BL78" s="452"/>
      <c r="BM78" s="452"/>
      <c r="BN78" s="452"/>
      <c r="BO78" s="452"/>
      <c r="BP78" s="452"/>
      <c r="BQ78" s="452"/>
      <c r="BR78" s="452"/>
      <c r="BS78" s="452"/>
      <c r="BT78" s="452"/>
      <c r="BU78" s="452"/>
      <c r="BV78" s="452"/>
      <c r="BW78" s="452"/>
      <c r="BX78" s="452"/>
      <c r="BY78" s="452"/>
      <c r="BZ78" s="452"/>
      <c r="CA78" s="452"/>
      <c r="CB78" s="452"/>
      <c r="CC78" s="452"/>
      <c r="CD78" s="452"/>
      <c r="CE78" s="452"/>
      <c r="CF78" s="452"/>
      <c r="CG78" s="452"/>
      <c r="CH78" s="452"/>
      <c r="CI78" s="452"/>
      <c r="CJ78" s="452"/>
      <c r="CK78" s="452"/>
      <c r="CL78" s="452"/>
      <c r="CM78" s="452"/>
      <c r="CN78" s="452"/>
      <c r="CO78" s="452"/>
      <c r="CP78" s="452"/>
      <c r="CQ78" s="452"/>
      <c r="CR78" s="452"/>
      <c r="CS78" s="452"/>
      <c r="CT78" s="452"/>
      <c r="CU78" s="452"/>
      <c r="CV78" s="452"/>
      <c r="CW78" s="452"/>
      <c r="CX78" s="452"/>
      <c r="CY78" s="452"/>
      <c r="CZ78" s="452"/>
      <c r="DA78" s="452"/>
      <c r="DB78" s="452"/>
      <c r="DC78" s="452"/>
      <c r="DD78" s="452"/>
      <c r="DE78" s="452"/>
      <c r="DF78" s="452"/>
      <c r="DG78" s="452"/>
      <c r="DH78" s="452"/>
      <c r="DI78" s="452"/>
      <c r="DJ78" s="452"/>
      <c r="DK78" s="452"/>
      <c r="DL78" s="452"/>
      <c r="DM78" s="452"/>
      <c r="DN78" s="452"/>
      <c r="DO78" s="452"/>
      <c r="DP78" s="452"/>
      <c r="DQ78" s="452"/>
      <c r="DR78" s="452"/>
      <c r="DS78" s="452"/>
      <c r="DT78" s="452"/>
      <c r="DU78" s="452"/>
      <c r="DV78" s="452"/>
      <c r="DW78" s="452"/>
      <c r="DX78" s="452"/>
      <c r="DY78" s="452"/>
      <c r="DZ78" s="452"/>
      <c r="EA78" s="452"/>
      <c r="EB78" s="452"/>
      <c r="EC78" s="452"/>
      <c r="ED78" s="452"/>
      <c r="EE78" s="452"/>
      <c r="EF78" s="452"/>
      <c r="EG78" s="452"/>
      <c r="EH78" s="452"/>
      <c r="EI78" s="452"/>
      <c r="EJ78" s="452"/>
      <c r="EK78" s="452"/>
      <c r="EL78" s="452"/>
      <c r="EM78" s="452"/>
      <c r="EN78" s="452"/>
      <c r="EO78" s="452"/>
      <c r="EP78" s="452"/>
      <c r="EQ78" s="452"/>
      <c r="ER78" s="452"/>
      <c r="ES78" s="452"/>
      <c r="ET78" s="452"/>
      <c r="EU78" s="452"/>
      <c r="EV78" s="452"/>
      <c r="EW78" s="452"/>
      <c r="EX78" s="452"/>
      <c r="EY78" s="452"/>
      <c r="EZ78" s="452"/>
      <c r="FA78" s="452"/>
      <c r="FB78" s="452"/>
      <c r="FC78" s="452"/>
      <c r="FD78" s="452"/>
      <c r="FE78" s="452"/>
      <c r="FF78" s="452"/>
      <c r="FG78" s="452"/>
      <c r="FH78" s="452"/>
      <c r="FI78" s="452"/>
      <c r="FJ78" s="452"/>
      <c r="FK78" s="452"/>
      <c r="FL78" s="452"/>
      <c r="FM78" s="452"/>
      <c r="FN78" s="452"/>
      <c r="FO78" s="452"/>
      <c r="FP78" s="452"/>
      <c r="FQ78" s="452"/>
      <c r="FR78" s="452"/>
      <c r="FS78" s="452"/>
      <c r="FT78" s="452"/>
      <c r="FU78" s="452"/>
      <c r="FV78" s="452"/>
      <c r="FW78" s="452"/>
      <c r="FX78" s="452"/>
      <c r="FY78" s="452"/>
      <c r="FZ78" s="452"/>
      <c r="GA78" s="452"/>
      <c r="GB78" s="452"/>
      <c r="GC78" s="452"/>
      <c r="GD78" s="452"/>
      <c r="GE78" s="452"/>
      <c r="GF78" s="452"/>
      <c r="GG78" s="452"/>
      <c r="GH78" s="452"/>
      <c r="GI78" s="452"/>
      <c r="GJ78" s="452"/>
      <c r="GK78" s="452"/>
      <c r="GL78" s="452"/>
      <c r="GM78" s="452"/>
      <c r="GN78" s="452"/>
      <c r="GO78" s="452"/>
      <c r="GP78" s="452"/>
      <c r="GQ78" s="452"/>
      <c r="GR78" s="452"/>
      <c r="GS78" s="452"/>
      <c r="GT78" s="452"/>
      <c r="GU78" s="452"/>
      <c r="GV78" s="452"/>
      <c r="GW78" s="452"/>
      <c r="GX78" s="452"/>
      <c r="GY78" s="452"/>
      <c r="GZ78" s="452"/>
      <c r="HA78" s="452"/>
      <c r="HB78" s="452"/>
      <c r="HC78" s="452"/>
      <c r="HD78" s="452"/>
      <c r="HE78" s="452"/>
      <c r="HF78" s="452"/>
      <c r="HG78" s="452"/>
      <c r="HH78" s="452"/>
      <c r="HI78" s="452"/>
      <c r="HJ78" s="452"/>
      <c r="HK78" s="452"/>
      <c r="HL78" s="452"/>
      <c r="HM78" s="452"/>
      <c r="HN78" s="452"/>
      <c r="HO78" s="452"/>
      <c r="HP78" s="452"/>
      <c r="HQ78" s="452"/>
      <c r="HR78" s="452"/>
      <c r="HS78" s="452"/>
      <c r="HT78" s="452"/>
      <c r="HU78" s="452"/>
      <c r="HV78" s="452"/>
      <c r="HW78" s="452"/>
      <c r="HX78" s="452"/>
      <c r="HY78" s="452"/>
      <c r="HZ78" s="452"/>
      <c r="IA78" s="452"/>
      <c r="IB78" s="452"/>
      <c r="IC78" s="452"/>
      <c r="ID78" s="452"/>
      <c r="IE78" s="452"/>
      <c r="IF78" s="452"/>
      <c r="IG78" s="452"/>
      <c r="IH78" s="452"/>
      <c r="II78" s="452"/>
      <c r="IJ78" s="452"/>
      <c r="IK78" s="452"/>
      <c r="IL78" s="452"/>
      <c r="IM78" s="452"/>
      <c r="IN78" s="452"/>
      <c r="IO78" s="452"/>
      <c r="IP78" s="452"/>
      <c r="IQ78" s="452"/>
      <c r="IR78" s="452"/>
      <c r="IS78" s="452"/>
      <c r="IT78" s="452"/>
      <c r="IU78" s="452"/>
      <c r="IV78" s="452"/>
    </row>
    <row r="79" spans="1:256" ht="18">
      <c r="A79" s="452"/>
      <c r="B79" s="452"/>
      <c r="C79" s="452"/>
      <c r="D79" s="452"/>
      <c r="E79" s="452"/>
      <c r="F79" s="452"/>
      <c r="G79" s="452"/>
      <c r="H79" s="452"/>
      <c r="I79" s="452"/>
      <c r="J79" s="452"/>
      <c r="K79" s="452"/>
      <c r="L79" s="452"/>
      <c r="M79" s="452"/>
      <c r="N79" s="452"/>
      <c r="O79" s="452"/>
      <c r="P79" s="452"/>
      <c r="Q79" s="452"/>
      <c r="R79" s="452"/>
      <c r="S79" s="452"/>
      <c r="T79" s="452"/>
      <c r="U79" s="452"/>
      <c r="V79" s="452"/>
      <c r="W79" s="452"/>
      <c r="X79" s="452"/>
      <c r="Y79" s="452"/>
      <c r="Z79" s="452"/>
      <c r="AA79" s="452"/>
      <c r="AB79" s="452"/>
      <c r="AC79" s="452"/>
      <c r="AD79" s="452"/>
      <c r="AE79" s="452"/>
      <c r="AF79" s="452"/>
      <c r="AG79" s="452"/>
      <c r="AH79" s="452"/>
      <c r="AI79" s="452"/>
      <c r="AJ79" s="452"/>
      <c r="AK79" s="452"/>
      <c r="AL79" s="452"/>
      <c r="AM79" s="452"/>
      <c r="AN79" s="452"/>
      <c r="AO79" s="452"/>
      <c r="AP79" s="452"/>
      <c r="AQ79" s="452"/>
      <c r="AR79" s="452"/>
      <c r="AS79" s="452"/>
      <c r="AT79" s="452"/>
      <c r="AU79" s="452"/>
      <c r="AV79" s="452"/>
      <c r="AW79" s="452"/>
      <c r="AX79" s="452"/>
      <c r="AY79" s="452"/>
      <c r="AZ79" s="452"/>
      <c r="BA79" s="452"/>
      <c r="BB79" s="452"/>
      <c r="BC79" s="452"/>
      <c r="BD79" s="452"/>
      <c r="BE79" s="452"/>
      <c r="BF79" s="452"/>
      <c r="BG79" s="452"/>
      <c r="BH79" s="452"/>
      <c r="BI79" s="452"/>
      <c r="BJ79" s="452"/>
      <c r="BK79" s="452"/>
      <c r="BL79" s="452"/>
      <c r="BM79" s="452"/>
      <c r="BN79" s="452"/>
      <c r="BO79" s="452"/>
      <c r="BP79" s="452"/>
      <c r="BQ79" s="452"/>
      <c r="BR79" s="452"/>
      <c r="BS79" s="452"/>
      <c r="BT79" s="452"/>
      <c r="BU79" s="452"/>
      <c r="BV79" s="452"/>
      <c r="BW79" s="452"/>
      <c r="BX79" s="452"/>
      <c r="BY79" s="452"/>
      <c r="BZ79" s="452"/>
      <c r="CA79" s="452"/>
      <c r="CB79" s="452"/>
      <c r="CC79" s="452"/>
      <c r="CD79" s="452"/>
      <c r="CE79" s="452"/>
      <c r="CF79" s="452"/>
      <c r="CG79" s="452"/>
      <c r="CH79" s="452"/>
      <c r="CI79" s="452"/>
      <c r="CJ79" s="452"/>
      <c r="CK79" s="452"/>
      <c r="CL79" s="452"/>
      <c r="CM79" s="452"/>
      <c r="CN79" s="452"/>
      <c r="CO79" s="452"/>
      <c r="CP79" s="452"/>
      <c r="CQ79" s="452"/>
      <c r="CR79" s="452"/>
      <c r="CS79" s="452"/>
      <c r="CT79" s="452"/>
      <c r="CU79" s="452"/>
      <c r="CV79" s="452"/>
      <c r="CW79" s="452"/>
      <c r="CX79" s="452"/>
      <c r="CY79" s="452"/>
      <c r="CZ79" s="452"/>
      <c r="DA79" s="452"/>
      <c r="DB79" s="452"/>
      <c r="DC79" s="452"/>
      <c r="DD79" s="452"/>
      <c r="DE79" s="452"/>
      <c r="DF79" s="452"/>
      <c r="DG79" s="452"/>
      <c r="DH79" s="452"/>
      <c r="DI79" s="452"/>
      <c r="DJ79" s="452"/>
      <c r="DK79" s="452"/>
      <c r="DL79" s="452"/>
      <c r="DM79" s="452"/>
      <c r="DN79" s="452"/>
      <c r="DO79" s="452"/>
      <c r="DP79" s="452"/>
      <c r="DQ79" s="452"/>
      <c r="DR79" s="452"/>
      <c r="DS79" s="452"/>
      <c r="DT79" s="452"/>
      <c r="DU79" s="452"/>
      <c r="DV79" s="452"/>
      <c r="DW79" s="452"/>
      <c r="DX79" s="452"/>
      <c r="DY79" s="452"/>
      <c r="DZ79" s="452"/>
      <c r="EA79" s="452"/>
      <c r="EB79" s="452"/>
      <c r="EC79" s="452"/>
      <c r="ED79" s="452"/>
      <c r="EE79" s="452"/>
      <c r="EF79" s="452"/>
      <c r="EG79" s="452"/>
      <c r="EH79" s="452"/>
      <c r="EI79" s="452"/>
      <c r="EJ79" s="452"/>
      <c r="EK79" s="452"/>
      <c r="EL79" s="452"/>
      <c r="EM79" s="452"/>
      <c r="EN79" s="452"/>
      <c r="EO79" s="452"/>
      <c r="EP79" s="452"/>
      <c r="EQ79" s="452"/>
      <c r="ER79" s="452"/>
      <c r="ES79" s="452"/>
      <c r="ET79" s="452"/>
      <c r="EU79" s="452"/>
      <c r="EV79" s="452"/>
      <c r="EW79" s="452"/>
      <c r="EX79" s="452"/>
      <c r="EY79" s="452"/>
      <c r="EZ79" s="452"/>
      <c r="FA79" s="452"/>
      <c r="FB79" s="452"/>
      <c r="FC79" s="452"/>
      <c r="FD79" s="452"/>
      <c r="FE79" s="452"/>
      <c r="FF79" s="452"/>
      <c r="FG79" s="452"/>
      <c r="FH79" s="452"/>
      <c r="FI79" s="452"/>
      <c r="FJ79" s="452"/>
      <c r="FK79" s="452"/>
      <c r="FL79" s="452"/>
      <c r="FM79" s="452"/>
      <c r="FN79" s="452"/>
      <c r="FO79" s="452"/>
      <c r="FP79" s="452"/>
      <c r="FQ79" s="452"/>
      <c r="FR79" s="452"/>
      <c r="FS79" s="452"/>
      <c r="FT79" s="452"/>
      <c r="FU79" s="452"/>
      <c r="FV79" s="452"/>
      <c r="FW79" s="452"/>
      <c r="FX79" s="452"/>
      <c r="FY79" s="452"/>
      <c r="FZ79" s="452"/>
      <c r="GA79" s="452"/>
      <c r="GB79" s="452"/>
      <c r="GC79" s="452"/>
      <c r="GD79" s="452"/>
      <c r="GE79" s="452"/>
      <c r="GF79" s="452"/>
      <c r="GG79" s="452"/>
      <c r="GH79" s="452"/>
      <c r="GI79" s="452"/>
      <c r="GJ79" s="452"/>
      <c r="GK79" s="452"/>
      <c r="GL79" s="452"/>
      <c r="GM79" s="452"/>
      <c r="GN79" s="452"/>
      <c r="GO79" s="452"/>
      <c r="GP79" s="452"/>
      <c r="GQ79" s="452"/>
      <c r="GR79" s="452"/>
      <c r="GS79" s="452"/>
      <c r="GT79" s="452"/>
      <c r="GU79" s="452"/>
      <c r="GV79" s="452"/>
      <c r="GW79" s="452"/>
      <c r="GX79" s="452"/>
      <c r="GY79" s="452"/>
      <c r="GZ79" s="452"/>
      <c r="HA79" s="452"/>
      <c r="HB79" s="452"/>
      <c r="HC79" s="452"/>
      <c r="HD79" s="452"/>
      <c r="HE79" s="452"/>
      <c r="HF79" s="452"/>
      <c r="HG79" s="452"/>
      <c r="HH79" s="452"/>
      <c r="HI79" s="452"/>
      <c r="HJ79" s="452"/>
      <c r="HK79" s="452"/>
      <c r="HL79" s="452"/>
      <c r="HM79" s="452"/>
      <c r="HN79" s="452"/>
      <c r="HO79" s="452"/>
      <c r="HP79" s="452"/>
      <c r="HQ79" s="452"/>
      <c r="HR79" s="452"/>
      <c r="HS79" s="452"/>
      <c r="HT79" s="452"/>
      <c r="HU79" s="452"/>
      <c r="HV79" s="452"/>
      <c r="HW79" s="452"/>
      <c r="HX79" s="452"/>
      <c r="HY79" s="452"/>
      <c r="HZ79" s="452"/>
      <c r="IA79" s="452"/>
      <c r="IB79" s="452"/>
      <c r="IC79" s="452"/>
      <c r="ID79" s="452"/>
      <c r="IE79" s="452"/>
      <c r="IF79" s="452"/>
      <c r="IG79" s="452"/>
      <c r="IH79" s="452"/>
      <c r="II79" s="452"/>
      <c r="IJ79" s="452"/>
      <c r="IK79" s="452"/>
      <c r="IL79" s="452"/>
      <c r="IM79" s="452"/>
      <c r="IN79" s="452"/>
      <c r="IO79" s="452"/>
      <c r="IP79" s="452"/>
      <c r="IQ79" s="452"/>
      <c r="IR79" s="452"/>
      <c r="IS79" s="452"/>
      <c r="IT79" s="452"/>
      <c r="IU79" s="452"/>
      <c r="IV79" s="452"/>
    </row>
    <row r="80" spans="1:256" ht="18">
      <c r="A80" s="714"/>
      <c r="B80" s="452"/>
      <c r="C80" s="452"/>
      <c r="D80" s="452"/>
      <c r="E80" s="452"/>
      <c r="F80" s="452"/>
      <c r="G80" s="452"/>
      <c r="H80" s="452"/>
      <c r="I80" s="452"/>
      <c r="J80" s="452"/>
      <c r="K80" s="452"/>
      <c r="L80" s="452"/>
      <c r="M80" s="452"/>
      <c r="N80" s="452"/>
      <c r="O80" s="452"/>
      <c r="P80" s="452"/>
      <c r="Q80" s="452"/>
      <c r="R80" s="452"/>
      <c r="S80" s="452"/>
      <c r="T80" s="452"/>
      <c r="U80" s="452"/>
      <c r="V80" s="452"/>
      <c r="W80" s="452"/>
      <c r="X80" s="452"/>
      <c r="Y80" s="452"/>
      <c r="Z80" s="452"/>
      <c r="AA80" s="452"/>
      <c r="AB80" s="452"/>
      <c r="AC80" s="452"/>
      <c r="AD80" s="452"/>
      <c r="AE80" s="452"/>
      <c r="AF80" s="452"/>
      <c r="AG80" s="452"/>
      <c r="AH80" s="452"/>
      <c r="AI80" s="452"/>
      <c r="AJ80" s="452"/>
      <c r="AK80" s="452"/>
      <c r="AL80" s="452"/>
      <c r="AM80" s="452"/>
      <c r="AN80" s="452"/>
      <c r="AO80" s="452"/>
      <c r="AP80" s="452"/>
      <c r="AQ80" s="452"/>
      <c r="AR80" s="452"/>
      <c r="AS80" s="452"/>
      <c r="AT80" s="452"/>
      <c r="AU80" s="452"/>
      <c r="AV80" s="452"/>
      <c r="AW80" s="452"/>
      <c r="AX80" s="452"/>
      <c r="AY80" s="452"/>
      <c r="AZ80" s="452"/>
      <c r="BA80" s="452"/>
      <c r="BB80" s="452"/>
      <c r="BC80" s="452"/>
      <c r="BD80" s="452"/>
      <c r="BE80" s="452"/>
      <c r="BF80" s="452"/>
      <c r="BG80" s="452"/>
      <c r="BH80" s="452"/>
      <c r="BI80" s="452"/>
      <c r="BJ80" s="452"/>
      <c r="BK80" s="452"/>
      <c r="BL80" s="452"/>
      <c r="BM80" s="452"/>
      <c r="BN80" s="452"/>
      <c r="BO80" s="452"/>
      <c r="BP80" s="452"/>
      <c r="BQ80" s="452"/>
      <c r="BR80" s="452"/>
      <c r="BS80" s="452"/>
      <c r="BT80" s="452"/>
      <c r="BU80" s="452"/>
      <c r="BV80" s="452"/>
      <c r="BW80" s="452"/>
      <c r="BX80" s="452"/>
      <c r="BY80" s="452"/>
      <c r="BZ80" s="452"/>
      <c r="CA80" s="452"/>
      <c r="CB80" s="452"/>
      <c r="CC80" s="452"/>
      <c r="CD80" s="452"/>
      <c r="CE80" s="452"/>
      <c r="CF80" s="452"/>
      <c r="CG80" s="452"/>
      <c r="CH80" s="452"/>
      <c r="CI80" s="452"/>
      <c r="CJ80" s="452"/>
      <c r="CK80" s="452"/>
      <c r="CL80" s="452"/>
      <c r="CM80" s="452"/>
      <c r="CN80" s="452"/>
      <c r="CO80" s="452"/>
      <c r="CP80" s="452"/>
      <c r="CQ80" s="452"/>
      <c r="CR80" s="452"/>
      <c r="CS80" s="452"/>
      <c r="CT80" s="452"/>
      <c r="CU80" s="452"/>
      <c r="CV80" s="452"/>
      <c r="CW80" s="452"/>
      <c r="CX80" s="452"/>
      <c r="CY80" s="452"/>
      <c r="CZ80" s="452"/>
      <c r="DA80" s="452"/>
      <c r="DB80" s="452"/>
      <c r="DC80" s="452"/>
      <c r="DD80" s="452"/>
      <c r="DE80" s="452"/>
      <c r="DF80" s="452"/>
      <c r="DG80" s="452"/>
      <c r="DH80" s="452"/>
      <c r="DI80" s="452"/>
      <c r="DJ80" s="452"/>
      <c r="DK80" s="452"/>
      <c r="DL80" s="452"/>
      <c r="DM80" s="452"/>
      <c r="DN80" s="452"/>
      <c r="DO80" s="452"/>
      <c r="DP80" s="452"/>
      <c r="DQ80" s="452"/>
      <c r="DR80" s="452"/>
      <c r="DS80" s="452"/>
      <c r="DT80" s="452"/>
      <c r="DU80" s="452"/>
      <c r="DV80" s="452"/>
      <c r="DW80" s="452"/>
      <c r="DX80" s="452"/>
      <c r="DY80" s="452"/>
      <c r="DZ80" s="452"/>
      <c r="EA80" s="452"/>
      <c r="EB80" s="452"/>
      <c r="EC80" s="452"/>
      <c r="ED80" s="452"/>
      <c r="EE80" s="452"/>
      <c r="EF80" s="452"/>
      <c r="EG80" s="452"/>
      <c r="EH80" s="452"/>
      <c r="EI80" s="452"/>
      <c r="EJ80" s="452"/>
      <c r="EK80" s="452"/>
      <c r="EL80" s="452"/>
      <c r="EM80" s="452"/>
      <c r="EN80" s="452"/>
      <c r="EO80" s="452"/>
      <c r="EP80" s="452"/>
      <c r="EQ80" s="452"/>
      <c r="ER80" s="452"/>
      <c r="ES80" s="452"/>
      <c r="ET80" s="452"/>
      <c r="EU80" s="452"/>
      <c r="EV80" s="452"/>
      <c r="EW80" s="452"/>
      <c r="EX80" s="452"/>
      <c r="EY80" s="452"/>
      <c r="EZ80" s="452"/>
      <c r="FA80" s="452"/>
      <c r="FB80" s="452"/>
      <c r="FC80" s="452"/>
      <c r="FD80" s="452"/>
      <c r="FE80" s="452"/>
      <c r="FF80" s="452"/>
      <c r="FG80" s="452"/>
      <c r="FH80" s="452"/>
      <c r="FI80" s="452"/>
      <c r="FJ80" s="452"/>
      <c r="FK80" s="452"/>
      <c r="FL80" s="452"/>
      <c r="FM80" s="452"/>
      <c r="FN80" s="452"/>
      <c r="FO80" s="452"/>
      <c r="FP80" s="452"/>
      <c r="FQ80" s="452"/>
      <c r="FR80" s="452"/>
      <c r="FS80" s="452"/>
      <c r="FT80" s="452"/>
      <c r="FU80" s="452"/>
      <c r="FV80" s="452"/>
      <c r="FW80" s="452"/>
      <c r="FX80" s="452"/>
      <c r="FY80" s="452"/>
      <c r="FZ80" s="452"/>
      <c r="GA80" s="452"/>
      <c r="GB80" s="452"/>
      <c r="GC80" s="452"/>
      <c r="GD80" s="452"/>
      <c r="GE80" s="452"/>
      <c r="GF80" s="452"/>
      <c r="GG80" s="452"/>
      <c r="GH80" s="452"/>
      <c r="GI80" s="452"/>
      <c r="GJ80" s="452"/>
      <c r="GK80" s="452"/>
      <c r="GL80" s="452"/>
      <c r="GM80" s="452"/>
      <c r="GN80" s="452"/>
      <c r="GO80" s="452"/>
      <c r="GP80" s="452"/>
      <c r="GQ80" s="452"/>
      <c r="GR80" s="452"/>
      <c r="GS80" s="452"/>
      <c r="GT80" s="452"/>
      <c r="GU80" s="452"/>
      <c r="GV80" s="452"/>
      <c r="GW80" s="452"/>
      <c r="GX80" s="452"/>
      <c r="GY80" s="452"/>
      <c r="GZ80" s="452"/>
      <c r="HA80" s="452"/>
      <c r="HB80" s="452"/>
      <c r="HC80" s="452"/>
      <c r="HD80" s="452"/>
      <c r="HE80" s="452"/>
      <c r="HF80" s="452"/>
      <c r="HG80" s="452"/>
      <c r="HH80" s="452"/>
      <c r="HI80" s="452"/>
      <c r="HJ80" s="452"/>
      <c r="HK80" s="452"/>
      <c r="HL80" s="452"/>
      <c r="HM80" s="452"/>
      <c r="HN80" s="452"/>
      <c r="HO80" s="452"/>
      <c r="HP80" s="452"/>
      <c r="HQ80" s="452"/>
      <c r="HR80" s="452"/>
      <c r="HS80" s="452"/>
      <c r="HT80" s="452"/>
      <c r="HU80" s="452"/>
      <c r="HV80" s="452"/>
      <c r="HW80" s="452"/>
      <c r="HX80" s="452"/>
      <c r="HY80" s="452"/>
      <c r="HZ80" s="452"/>
      <c r="IA80" s="452"/>
      <c r="IB80" s="452"/>
      <c r="IC80" s="452"/>
      <c r="ID80" s="452"/>
      <c r="IE80" s="452"/>
      <c r="IF80" s="452"/>
      <c r="IG80" s="452"/>
      <c r="IH80" s="452"/>
      <c r="II80" s="452"/>
      <c r="IJ80" s="452"/>
      <c r="IK80" s="452"/>
      <c r="IL80" s="452"/>
      <c r="IM80" s="452"/>
      <c r="IN80" s="452"/>
      <c r="IO80" s="452"/>
      <c r="IP80" s="452"/>
      <c r="IQ80" s="452"/>
      <c r="IR80" s="452"/>
      <c r="IS80" s="452"/>
      <c r="IT80" s="452"/>
      <c r="IU80" s="452"/>
      <c r="IV80" s="452"/>
    </row>
    <row r="81" spans="1:256" s="452" customFormat="1" ht="18"/>
    <row r="82" spans="1:256" ht="18">
      <c r="A82" s="452"/>
      <c r="B82" s="452"/>
      <c r="C82" s="452"/>
      <c r="D82" s="452"/>
      <c r="E82" s="452"/>
      <c r="F82" s="452"/>
      <c r="G82" s="452"/>
      <c r="H82" s="452"/>
      <c r="I82" s="452"/>
      <c r="J82" s="452"/>
      <c r="K82" s="452"/>
      <c r="L82" s="452"/>
      <c r="M82" s="452"/>
      <c r="N82" s="452"/>
      <c r="O82" s="452"/>
      <c r="P82" s="452"/>
      <c r="Q82" s="452"/>
      <c r="R82" s="452"/>
      <c r="S82" s="452"/>
      <c r="T82" s="452"/>
      <c r="U82" s="452"/>
      <c r="V82" s="452"/>
      <c r="W82" s="452"/>
      <c r="X82" s="452"/>
      <c r="Y82" s="452"/>
      <c r="Z82" s="452"/>
      <c r="AA82" s="452"/>
      <c r="AB82" s="452"/>
      <c r="AC82" s="452"/>
      <c r="AD82" s="452"/>
      <c r="AE82" s="452"/>
      <c r="AF82" s="452"/>
      <c r="AG82" s="452"/>
      <c r="AH82" s="452"/>
      <c r="AI82" s="452"/>
      <c r="AJ82" s="452"/>
      <c r="AK82" s="452"/>
      <c r="AL82" s="452"/>
      <c r="AM82" s="452"/>
      <c r="AN82" s="452"/>
      <c r="AO82" s="452"/>
      <c r="AP82" s="452"/>
      <c r="AQ82" s="452"/>
      <c r="AR82" s="452"/>
      <c r="AS82" s="452"/>
      <c r="AT82" s="452"/>
      <c r="AU82" s="452"/>
      <c r="AV82" s="452"/>
      <c r="AW82" s="452"/>
      <c r="AX82" s="452"/>
      <c r="AY82" s="452"/>
      <c r="AZ82" s="452"/>
      <c r="BA82" s="452"/>
      <c r="BB82" s="452"/>
      <c r="BC82" s="452"/>
      <c r="BD82" s="452"/>
      <c r="BE82" s="452"/>
      <c r="BF82" s="452"/>
      <c r="BG82" s="452"/>
      <c r="BH82" s="452"/>
      <c r="BI82" s="452"/>
      <c r="BJ82" s="452"/>
      <c r="BK82" s="452"/>
      <c r="BL82" s="452"/>
      <c r="BM82" s="452"/>
      <c r="BN82" s="452"/>
      <c r="BO82" s="452"/>
      <c r="BP82" s="452"/>
      <c r="BQ82" s="452"/>
      <c r="BR82" s="452"/>
      <c r="BS82" s="452"/>
      <c r="BT82" s="452"/>
      <c r="BU82" s="452"/>
      <c r="BV82" s="452"/>
      <c r="BW82" s="452"/>
      <c r="BX82" s="452"/>
      <c r="BY82" s="452"/>
      <c r="BZ82" s="452"/>
      <c r="CA82" s="452"/>
      <c r="CB82" s="452"/>
      <c r="CC82" s="452"/>
      <c r="CD82" s="452"/>
      <c r="CE82" s="452"/>
      <c r="CF82" s="452"/>
      <c r="CG82" s="452"/>
      <c r="CH82" s="452"/>
      <c r="CI82" s="452"/>
      <c r="CJ82" s="452"/>
      <c r="CK82" s="452"/>
      <c r="CL82" s="452"/>
      <c r="CM82" s="452"/>
      <c r="CN82" s="452"/>
      <c r="CO82" s="452"/>
      <c r="CP82" s="452"/>
      <c r="CQ82" s="452"/>
      <c r="CR82" s="452"/>
      <c r="CS82" s="452"/>
      <c r="CT82" s="452"/>
      <c r="CU82" s="452"/>
      <c r="CV82" s="452"/>
      <c r="CW82" s="452"/>
      <c r="CX82" s="452"/>
      <c r="CY82" s="452"/>
      <c r="CZ82" s="452"/>
      <c r="DA82" s="452"/>
      <c r="DB82" s="452"/>
      <c r="DC82" s="452"/>
      <c r="DD82" s="452"/>
      <c r="DE82" s="452"/>
      <c r="DF82" s="452"/>
      <c r="DG82" s="452"/>
      <c r="DH82" s="452"/>
      <c r="DI82" s="452"/>
      <c r="DJ82" s="452"/>
      <c r="DK82" s="452"/>
      <c r="DL82" s="452"/>
      <c r="DM82" s="452"/>
      <c r="DN82" s="452"/>
      <c r="DO82" s="452"/>
      <c r="DP82" s="452"/>
      <c r="DQ82" s="452"/>
      <c r="DR82" s="452"/>
      <c r="DS82" s="452"/>
      <c r="DT82" s="452"/>
      <c r="DU82" s="452"/>
      <c r="DV82" s="452"/>
      <c r="DW82" s="452"/>
      <c r="DX82" s="452"/>
      <c r="DY82" s="452"/>
      <c r="DZ82" s="452"/>
      <c r="EA82" s="452"/>
      <c r="EB82" s="452"/>
      <c r="EC82" s="452"/>
      <c r="ED82" s="452"/>
      <c r="EE82" s="452"/>
      <c r="EF82" s="452"/>
      <c r="EG82" s="452"/>
      <c r="EH82" s="452"/>
      <c r="EI82" s="452"/>
      <c r="EJ82" s="452"/>
      <c r="EK82" s="452"/>
      <c r="EL82" s="452"/>
      <c r="EM82" s="452"/>
      <c r="EN82" s="452"/>
      <c r="EO82" s="452"/>
      <c r="EP82" s="452"/>
      <c r="EQ82" s="452"/>
      <c r="ER82" s="452"/>
      <c r="ES82" s="452"/>
      <c r="ET82" s="452"/>
      <c r="EU82" s="452"/>
      <c r="EV82" s="452"/>
      <c r="EW82" s="452"/>
      <c r="EX82" s="452"/>
      <c r="EY82" s="452"/>
      <c r="EZ82" s="452"/>
      <c r="FA82" s="452"/>
      <c r="FB82" s="452"/>
      <c r="FC82" s="452"/>
      <c r="FD82" s="452"/>
      <c r="FE82" s="452"/>
      <c r="FF82" s="452"/>
      <c r="FG82" s="452"/>
      <c r="FH82" s="452"/>
      <c r="FI82" s="452"/>
      <c r="FJ82" s="452"/>
      <c r="FK82" s="452"/>
      <c r="FL82" s="452"/>
      <c r="FM82" s="452"/>
      <c r="FN82" s="452"/>
      <c r="FO82" s="452"/>
      <c r="FP82" s="452"/>
      <c r="FQ82" s="452"/>
      <c r="FR82" s="452"/>
      <c r="FS82" s="452"/>
      <c r="FT82" s="452"/>
      <c r="FU82" s="452"/>
      <c r="FV82" s="452"/>
      <c r="FW82" s="452"/>
      <c r="FX82" s="452"/>
      <c r="FY82" s="452"/>
      <c r="FZ82" s="452"/>
      <c r="GA82" s="452"/>
      <c r="GB82" s="452"/>
      <c r="GC82" s="452"/>
      <c r="GD82" s="452"/>
      <c r="GE82" s="452"/>
      <c r="GF82" s="452"/>
      <c r="GG82" s="452"/>
      <c r="GH82" s="452"/>
      <c r="GI82" s="452"/>
      <c r="GJ82" s="452"/>
      <c r="GK82" s="452"/>
      <c r="GL82" s="452"/>
      <c r="GM82" s="452"/>
      <c r="GN82" s="452"/>
      <c r="GO82" s="452"/>
      <c r="GP82" s="452"/>
      <c r="GQ82" s="452"/>
      <c r="GR82" s="452"/>
      <c r="GS82" s="452"/>
      <c r="GT82" s="452"/>
      <c r="GU82" s="452"/>
      <c r="GV82" s="452"/>
      <c r="GW82" s="452"/>
      <c r="GX82" s="452"/>
      <c r="GY82" s="452"/>
      <c r="GZ82" s="452"/>
      <c r="HA82" s="452"/>
      <c r="HB82" s="452"/>
      <c r="HC82" s="452"/>
      <c r="HD82" s="452"/>
      <c r="HE82" s="452"/>
      <c r="HF82" s="452"/>
      <c r="HG82" s="452"/>
      <c r="HH82" s="452"/>
      <c r="HI82" s="452"/>
      <c r="HJ82" s="452"/>
      <c r="HK82" s="452"/>
      <c r="HL82" s="452"/>
      <c r="HM82" s="452"/>
      <c r="HN82" s="452"/>
      <c r="HO82" s="452"/>
      <c r="HP82" s="452"/>
      <c r="HQ82" s="452"/>
      <c r="HR82" s="452"/>
      <c r="HS82" s="452"/>
      <c r="HT82" s="452"/>
      <c r="HU82" s="452"/>
      <c r="HV82" s="452"/>
      <c r="HW82" s="452"/>
      <c r="HX82" s="452"/>
      <c r="HY82" s="452"/>
      <c r="HZ82" s="452"/>
      <c r="IA82" s="452"/>
      <c r="IB82" s="452"/>
      <c r="IC82" s="452"/>
      <c r="ID82" s="452"/>
      <c r="IE82" s="452"/>
      <c r="IF82" s="452"/>
      <c r="IG82" s="452"/>
      <c r="IH82" s="452"/>
      <c r="II82" s="452"/>
      <c r="IJ82" s="452"/>
      <c r="IK82" s="452"/>
      <c r="IL82" s="452"/>
      <c r="IM82" s="452"/>
      <c r="IN82" s="452"/>
      <c r="IO82" s="452"/>
      <c r="IP82" s="452"/>
      <c r="IQ82" s="452"/>
      <c r="IR82" s="452"/>
      <c r="IS82" s="452"/>
      <c r="IT82" s="452"/>
      <c r="IU82" s="452"/>
      <c r="IV82" s="452"/>
    </row>
    <row r="83" spans="1:256" s="452" customFormat="1" ht="18"/>
    <row r="84" spans="1:256" s="452" customFormat="1" ht="18"/>
    <row r="85" spans="1:256" s="452" customFormat="1" ht="18"/>
    <row r="86" spans="1:256" ht="18">
      <c r="A86" s="452"/>
      <c r="B86" s="452"/>
      <c r="C86" s="452"/>
      <c r="D86" s="452"/>
      <c r="E86" s="452"/>
      <c r="F86" s="452"/>
      <c r="G86" s="452"/>
      <c r="H86" s="452"/>
      <c r="I86" s="452"/>
      <c r="J86" s="452"/>
      <c r="K86" s="452"/>
      <c r="L86" s="452"/>
      <c r="M86" s="452"/>
      <c r="N86" s="452"/>
      <c r="O86" s="452"/>
      <c r="P86" s="452"/>
      <c r="Q86" s="452"/>
      <c r="R86" s="452"/>
      <c r="S86" s="452"/>
      <c r="T86" s="452"/>
      <c r="U86" s="452"/>
      <c r="V86" s="452"/>
      <c r="W86" s="452"/>
      <c r="X86" s="452"/>
      <c r="Y86" s="452"/>
      <c r="Z86" s="452"/>
      <c r="AA86" s="452"/>
      <c r="AB86" s="452"/>
      <c r="AC86" s="452"/>
      <c r="AD86" s="452"/>
      <c r="AE86" s="452"/>
      <c r="AF86" s="452"/>
      <c r="AG86" s="452"/>
      <c r="AH86" s="452"/>
      <c r="AI86" s="452"/>
      <c r="AJ86" s="452"/>
      <c r="AK86" s="452"/>
      <c r="AL86" s="452"/>
      <c r="AM86" s="452"/>
      <c r="AN86" s="452"/>
      <c r="AO86" s="452"/>
      <c r="AP86" s="452"/>
      <c r="AQ86" s="452"/>
      <c r="AR86" s="452"/>
      <c r="AS86" s="452"/>
      <c r="AT86" s="452"/>
      <c r="AU86" s="452"/>
      <c r="AV86" s="452"/>
      <c r="AW86" s="452"/>
      <c r="AX86" s="452"/>
      <c r="AY86" s="452"/>
      <c r="AZ86" s="452"/>
      <c r="BA86" s="452"/>
      <c r="BB86" s="452"/>
      <c r="BC86" s="452"/>
      <c r="BD86" s="452"/>
      <c r="BE86" s="452"/>
      <c r="BF86" s="452"/>
      <c r="BG86" s="452"/>
      <c r="BH86" s="452"/>
      <c r="BI86" s="452"/>
      <c r="BJ86" s="452"/>
      <c r="BK86" s="452"/>
      <c r="BL86" s="452"/>
      <c r="BM86" s="452"/>
      <c r="BN86" s="452"/>
      <c r="BO86" s="452"/>
      <c r="BP86" s="452"/>
      <c r="BQ86" s="452"/>
      <c r="BR86" s="452"/>
      <c r="BS86" s="452"/>
      <c r="BT86" s="452"/>
      <c r="BU86" s="452"/>
      <c r="BV86" s="452"/>
      <c r="BW86" s="452"/>
      <c r="BX86" s="452"/>
      <c r="BY86" s="452"/>
      <c r="BZ86" s="452"/>
      <c r="CA86" s="452"/>
      <c r="CB86" s="452"/>
      <c r="CC86" s="452"/>
      <c r="CD86" s="452"/>
      <c r="CE86" s="452"/>
      <c r="CF86" s="452"/>
      <c r="CG86" s="452"/>
      <c r="CH86" s="452"/>
      <c r="CI86" s="452"/>
      <c r="CJ86" s="452"/>
      <c r="CK86" s="452"/>
      <c r="CL86" s="452"/>
      <c r="CM86" s="452"/>
      <c r="CN86" s="452"/>
      <c r="CO86" s="452"/>
      <c r="CP86" s="452"/>
      <c r="CQ86" s="452"/>
      <c r="CR86" s="452"/>
      <c r="CS86" s="452"/>
      <c r="CT86" s="452"/>
      <c r="CU86" s="452"/>
      <c r="CV86" s="452"/>
      <c r="CW86" s="452"/>
      <c r="CX86" s="452"/>
      <c r="CY86" s="452"/>
      <c r="CZ86" s="452"/>
      <c r="DA86" s="452"/>
      <c r="DB86" s="452"/>
      <c r="DC86" s="452"/>
      <c r="DD86" s="452"/>
      <c r="DE86" s="452"/>
      <c r="DF86" s="452"/>
      <c r="DG86" s="452"/>
      <c r="DH86" s="452"/>
      <c r="DI86" s="452"/>
      <c r="DJ86" s="452"/>
      <c r="DK86" s="452"/>
      <c r="DL86" s="452"/>
      <c r="DM86" s="452"/>
      <c r="DN86" s="452"/>
      <c r="DO86" s="452"/>
      <c r="DP86" s="452"/>
      <c r="DQ86" s="452"/>
      <c r="DR86" s="452"/>
      <c r="DS86" s="452"/>
      <c r="DT86" s="452"/>
      <c r="DU86" s="452"/>
      <c r="DV86" s="452"/>
      <c r="DW86" s="452"/>
      <c r="DX86" s="452"/>
      <c r="DY86" s="452"/>
      <c r="DZ86" s="452"/>
      <c r="EA86" s="452"/>
      <c r="EB86" s="452"/>
      <c r="EC86" s="452"/>
      <c r="ED86" s="452"/>
      <c r="EE86" s="452"/>
      <c r="EF86" s="452"/>
      <c r="EG86" s="452"/>
      <c r="EH86" s="452"/>
      <c r="EI86" s="452"/>
      <c r="EJ86" s="452"/>
      <c r="EK86" s="452"/>
      <c r="EL86" s="452"/>
      <c r="EM86" s="452"/>
      <c r="EN86" s="452"/>
      <c r="EO86" s="452"/>
      <c r="EP86" s="452"/>
      <c r="EQ86" s="452"/>
      <c r="ER86" s="452"/>
      <c r="ES86" s="452"/>
      <c r="ET86" s="452"/>
      <c r="EU86" s="452"/>
      <c r="EV86" s="452"/>
      <c r="EW86" s="452"/>
      <c r="EX86" s="452"/>
      <c r="EY86" s="452"/>
      <c r="EZ86" s="452"/>
      <c r="FA86" s="452"/>
      <c r="FB86" s="452"/>
      <c r="FC86" s="452"/>
      <c r="FD86" s="452"/>
      <c r="FE86" s="452"/>
      <c r="FF86" s="452"/>
      <c r="FG86" s="452"/>
      <c r="FH86" s="452"/>
      <c r="FI86" s="452"/>
      <c r="FJ86" s="452"/>
      <c r="FK86" s="452"/>
      <c r="FL86" s="452"/>
      <c r="FM86" s="452"/>
      <c r="FN86" s="452"/>
      <c r="FO86" s="452"/>
      <c r="FP86" s="452"/>
      <c r="FQ86" s="452"/>
      <c r="FR86" s="452"/>
      <c r="FS86" s="452"/>
      <c r="FT86" s="452"/>
      <c r="FU86" s="452"/>
      <c r="FV86" s="452"/>
      <c r="FW86" s="452"/>
      <c r="FX86" s="452"/>
      <c r="FY86" s="452"/>
      <c r="FZ86" s="452"/>
      <c r="GA86" s="452"/>
      <c r="GB86" s="452"/>
      <c r="GC86" s="452"/>
      <c r="GD86" s="452"/>
      <c r="GE86" s="452"/>
      <c r="GF86" s="452"/>
      <c r="GG86" s="452"/>
      <c r="GH86" s="452"/>
      <c r="GI86" s="452"/>
      <c r="GJ86" s="452"/>
      <c r="GK86" s="452"/>
      <c r="GL86" s="452"/>
      <c r="GM86" s="452"/>
      <c r="GN86" s="452"/>
      <c r="GO86" s="452"/>
      <c r="GP86" s="452"/>
      <c r="GQ86" s="452"/>
      <c r="GR86" s="452"/>
      <c r="GS86" s="452"/>
      <c r="GT86" s="452"/>
      <c r="GU86" s="452"/>
      <c r="GV86" s="452"/>
      <c r="GW86" s="452"/>
      <c r="GX86" s="452"/>
      <c r="GY86" s="452"/>
      <c r="GZ86" s="452"/>
      <c r="HA86" s="452"/>
      <c r="HB86" s="452"/>
      <c r="HC86" s="452"/>
      <c r="HD86" s="452"/>
      <c r="HE86" s="452"/>
      <c r="HF86" s="452"/>
      <c r="HG86" s="452"/>
      <c r="HH86" s="452"/>
      <c r="HI86" s="452"/>
      <c r="HJ86" s="452"/>
      <c r="HK86" s="452"/>
      <c r="HL86" s="452"/>
      <c r="HM86" s="452"/>
      <c r="HN86" s="452"/>
      <c r="HO86" s="452"/>
      <c r="HP86" s="452"/>
      <c r="HQ86" s="452"/>
      <c r="HR86" s="452"/>
      <c r="HS86" s="452"/>
      <c r="HT86" s="452"/>
      <c r="HU86" s="452"/>
      <c r="HV86" s="452"/>
      <c r="HW86" s="452"/>
      <c r="HX86" s="452"/>
      <c r="HY86" s="452"/>
      <c r="HZ86" s="452"/>
      <c r="IA86" s="452"/>
      <c r="IB86" s="452"/>
      <c r="IC86" s="452"/>
      <c r="ID86" s="452"/>
      <c r="IE86" s="452"/>
      <c r="IF86" s="452"/>
      <c r="IG86" s="452"/>
      <c r="IH86" s="452"/>
      <c r="II86" s="452"/>
      <c r="IJ86" s="452"/>
      <c r="IK86" s="452"/>
      <c r="IL86" s="452"/>
      <c r="IM86" s="452"/>
      <c r="IN86" s="452"/>
      <c r="IO86" s="452"/>
      <c r="IP86" s="452"/>
      <c r="IQ86" s="452"/>
      <c r="IR86" s="452"/>
      <c r="IS86" s="452"/>
      <c r="IT86" s="452"/>
      <c r="IU86" s="452"/>
      <c r="IV86" s="452"/>
    </row>
    <row r="87" spans="1:256" s="452" customFormat="1" ht="18"/>
    <row r="88" spans="1:256" s="452" customFormat="1" ht="18"/>
    <row r="89" spans="1:256" s="452" customFormat="1" ht="18"/>
    <row r="90" spans="1:256" s="452" customFormat="1" ht="18"/>
    <row r="91" spans="1:256" s="452" customFormat="1" ht="18"/>
    <row r="92" spans="1:256" s="452" customFormat="1" ht="18"/>
    <row r="93" spans="1:256" s="452" customFormat="1" ht="18"/>
    <row r="94" spans="1:256" s="452" customFormat="1" ht="18"/>
    <row r="95" spans="1:256" s="452" customFormat="1" ht="18"/>
    <row r="96" spans="1:256" s="452" customFormat="1" ht="18"/>
    <row r="97" s="452" customFormat="1" ht="18"/>
    <row r="98" s="452" customFormat="1" ht="18"/>
    <row r="99" s="452" customFormat="1" ht="18"/>
    <row r="100" s="452" customFormat="1" ht="18"/>
    <row r="101" s="452" customFormat="1" ht="18"/>
    <row r="102" s="452" customFormat="1" ht="18"/>
    <row r="103" s="452" customFormat="1" ht="18"/>
    <row r="104" s="452" customFormat="1" ht="18"/>
    <row r="105" s="452" customFormat="1" ht="18"/>
    <row r="106" s="452" customFormat="1" ht="18"/>
    <row r="107" s="452" customFormat="1" ht="18"/>
    <row r="108" s="452" customFormat="1" ht="18"/>
    <row r="109" s="452" customFormat="1" ht="18"/>
    <row r="110" s="452" customFormat="1" ht="18"/>
    <row r="111" s="452" customFormat="1" ht="18"/>
    <row r="112" s="452" customFormat="1" ht="18"/>
    <row r="113" s="452" customFormat="1" ht="18"/>
    <row r="114" s="452" customFormat="1" ht="18"/>
    <row r="115" s="452" customFormat="1" ht="18"/>
    <row r="116" s="452" customFormat="1" ht="18"/>
    <row r="117" s="452" customFormat="1" ht="18"/>
    <row r="118" s="452" customFormat="1" ht="18"/>
    <row r="119" s="452" customFormat="1" ht="18"/>
    <row r="120" s="452" customFormat="1" ht="18"/>
    <row r="121" s="452" customFormat="1" ht="18"/>
    <row r="122" s="452" customFormat="1" ht="18"/>
    <row r="123" s="452" customFormat="1" ht="18"/>
    <row r="124" s="452" customFormat="1" ht="18"/>
    <row r="125" s="452" customFormat="1" ht="18"/>
    <row r="126" s="452" customFormat="1" ht="18"/>
    <row r="127" s="452" customFormat="1" ht="18"/>
    <row r="128" s="452" customFormat="1" ht="18"/>
    <row r="129" s="452" customFormat="1" ht="18"/>
    <row r="130" s="452" customFormat="1" ht="18"/>
    <row r="131" s="452" customFormat="1" ht="18"/>
    <row r="132" s="452" customFormat="1" ht="18"/>
    <row r="133" s="452" customFormat="1" ht="18"/>
    <row r="134" s="452" customFormat="1" ht="18"/>
    <row r="135" s="452" customFormat="1" ht="18"/>
    <row r="136" s="452" customFormat="1" ht="18"/>
  </sheetData>
  <pageMargins left="0.5" right="0.5" top="0.5" bottom="0.5" header="0" footer="0.25"/>
  <pageSetup scale="59" firstPageNumber="42" orientation="landscape" useFirstPageNumber="1" r:id="rId1"/>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N54"/>
  <sheetViews>
    <sheetView showGridLines="0" zoomScale="90" workbookViewId="0"/>
  </sheetViews>
  <sheetFormatPr defaultColWidth="8.6640625" defaultRowHeight="12.75"/>
  <cols>
    <col min="1" max="1" width="53.5546875" style="1898" customWidth="1"/>
    <col min="2" max="2" width="1.6640625" style="1898" customWidth="1"/>
    <col min="3" max="3" width="2.6640625" style="1898" customWidth="1"/>
    <col min="4" max="4" width="20.109375" style="1898" customWidth="1"/>
    <col min="5" max="5" width="7.6640625" style="1898" customWidth="1"/>
    <col min="6" max="6" width="18.6640625" style="1898" customWidth="1"/>
    <col min="7" max="7" width="7.6640625" style="1898" customWidth="1"/>
    <col min="8" max="8" width="18.6640625" style="1898" customWidth="1"/>
    <col min="9" max="9" width="7.6640625" style="1898" customWidth="1"/>
    <col min="10" max="10" width="21.6640625" style="1898" customWidth="1"/>
    <col min="11" max="11" width="10.6640625" style="1898" customWidth="1"/>
    <col min="12" max="16384" width="8.6640625" style="1898"/>
  </cols>
  <sheetData>
    <row r="1" spans="1:10" ht="15">
      <c r="A1" s="644" t="s">
        <v>963</v>
      </c>
    </row>
    <row r="2" spans="1:10" ht="15">
      <c r="A2" s="1899"/>
    </row>
    <row r="3" spans="1:10" ht="18">
      <c r="A3" s="1900" t="s">
        <v>0</v>
      </c>
      <c r="B3" s="1901"/>
      <c r="C3" s="1901"/>
      <c r="D3" s="1901"/>
      <c r="E3" s="1901"/>
      <c r="F3" s="1901"/>
      <c r="G3" s="1900"/>
      <c r="H3" s="1900"/>
      <c r="I3" s="1900"/>
      <c r="J3" s="1903" t="s">
        <v>385</v>
      </c>
    </row>
    <row r="4" spans="1:10" ht="18">
      <c r="A4" s="1900" t="s">
        <v>386</v>
      </c>
      <c r="B4" s="1901"/>
      <c r="C4" s="1900"/>
      <c r="D4" s="1901"/>
      <c r="E4" s="1901"/>
      <c r="F4" s="1901"/>
      <c r="G4" s="1900"/>
      <c r="H4" s="1900"/>
      <c r="I4" s="1900"/>
      <c r="J4" s="1900"/>
    </row>
    <row r="5" spans="1:10" ht="18">
      <c r="A5" s="1900" t="s">
        <v>387</v>
      </c>
      <c r="B5" s="1901"/>
      <c r="C5" s="1900"/>
      <c r="D5" s="1901"/>
      <c r="E5" s="1901"/>
      <c r="F5" s="1901"/>
      <c r="G5" s="1900"/>
      <c r="H5" s="1900"/>
      <c r="I5" s="1900"/>
      <c r="J5" s="1900"/>
    </row>
    <row r="6" spans="1:10" ht="18">
      <c r="A6" s="1900" t="s">
        <v>1464</v>
      </c>
      <c r="B6" s="1901"/>
      <c r="C6" s="1900"/>
      <c r="D6" s="1901"/>
      <c r="E6" s="1901"/>
      <c r="F6" s="1901"/>
      <c r="G6" s="1900"/>
      <c r="H6" s="1900"/>
      <c r="I6" s="1900"/>
      <c r="J6" s="1900"/>
    </row>
    <row r="7" spans="1:10" ht="18">
      <c r="A7" s="1902" t="str">
        <f>'Sch 3 '!A7</f>
        <v>FOR THE MONTH OF JANUARY 2021</v>
      </c>
      <c r="B7" s="1901"/>
      <c r="C7" s="1900"/>
      <c r="D7" s="3086"/>
      <c r="E7" s="1901"/>
      <c r="F7" s="1901"/>
      <c r="G7" s="1900"/>
      <c r="H7" s="1900"/>
      <c r="I7" s="1900"/>
      <c r="J7" s="1900"/>
    </row>
    <row r="8" spans="1:10" ht="18">
      <c r="A8" s="1900" t="s">
        <v>1363</v>
      </c>
      <c r="B8" s="1901"/>
      <c r="C8" s="1900"/>
      <c r="D8" s="3086"/>
      <c r="E8" s="1901"/>
      <c r="F8" s="1901"/>
      <c r="G8" s="1900"/>
      <c r="H8" s="1900"/>
      <c r="I8" s="1900"/>
      <c r="J8" s="1900"/>
    </row>
    <row r="9" spans="1:10" ht="18">
      <c r="A9" s="1900"/>
      <c r="B9" s="1901"/>
      <c r="C9" s="1900"/>
      <c r="D9" s="3086"/>
      <c r="E9" s="1901"/>
      <c r="F9" s="1901"/>
      <c r="G9" s="1900"/>
      <c r="H9" s="1900"/>
      <c r="I9" s="1900"/>
      <c r="J9" s="1900"/>
    </row>
    <row r="10" spans="1:10" ht="18">
      <c r="A10" s="1900"/>
      <c r="B10" s="1900"/>
      <c r="C10" s="1900"/>
      <c r="D10" s="3087"/>
      <c r="E10" s="1900"/>
      <c r="F10" s="1900"/>
      <c r="G10" s="1900"/>
      <c r="H10" s="1900"/>
      <c r="I10" s="1900"/>
      <c r="J10" s="1900"/>
    </row>
    <row r="11" spans="1:10" ht="18">
      <c r="A11" s="1900"/>
      <c r="B11" s="1900"/>
      <c r="C11" s="1900"/>
      <c r="D11" s="3088"/>
      <c r="E11" s="1900"/>
      <c r="F11" s="1900"/>
      <c r="G11" s="1900"/>
      <c r="H11" s="1900"/>
      <c r="I11" s="1900"/>
      <c r="J11" s="1903"/>
    </row>
    <row r="12" spans="1:10" ht="18">
      <c r="A12" s="1900"/>
      <c r="B12" s="1900"/>
      <c r="C12" s="1900"/>
      <c r="D12" s="3088" t="s">
        <v>233</v>
      </c>
      <c r="E12" s="1900"/>
      <c r="F12" s="1900"/>
      <c r="G12" s="1900"/>
      <c r="H12" s="1900"/>
      <c r="I12" s="1900"/>
      <c r="J12" s="1903" t="s">
        <v>233</v>
      </c>
    </row>
    <row r="13" spans="1:10" ht="18">
      <c r="A13" s="1904" t="s">
        <v>356</v>
      </c>
      <c r="B13" s="1900"/>
      <c r="C13" s="1900"/>
      <c r="D13" s="3383" t="str">
        <f>'Sch 3 '!D11</f>
        <v>JANUARY 1, 2021</v>
      </c>
      <c r="E13" s="1900"/>
      <c r="F13" s="1903" t="s">
        <v>235</v>
      </c>
      <c r="G13" s="1900"/>
      <c r="H13" s="1903" t="s">
        <v>236</v>
      </c>
      <c r="I13" s="1900"/>
      <c r="J13" s="1905" t="str">
        <f>'Sch 3 '!L11</f>
        <v>JANUARY 31, 2021</v>
      </c>
    </row>
    <row r="14" spans="1:10" ht="18">
      <c r="A14" s="1904"/>
      <c r="B14" s="1900"/>
      <c r="C14" s="1900"/>
      <c r="D14" s="3438"/>
      <c r="E14" s="1900"/>
      <c r="F14" s="1906"/>
      <c r="G14" s="1900"/>
      <c r="H14" s="1907" t="s">
        <v>232</v>
      </c>
      <c r="I14" s="1900"/>
      <c r="J14" s="1906"/>
    </row>
    <row r="15" spans="1:10" ht="18">
      <c r="A15" s="1908" t="s">
        <v>388</v>
      </c>
      <c r="B15" s="1900"/>
      <c r="C15" s="1900"/>
      <c r="D15" s="3087"/>
      <c r="E15" s="3087"/>
      <c r="F15" s="3099"/>
      <c r="G15" s="3087"/>
      <c r="H15" s="3087"/>
      <c r="I15" s="3087"/>
      <c r="J15" s="3087"/>
    </row>
    <row r="16" spans="1:10" ht="25.35" customHeight="1">
      <c r="A16" s="1901" t="s">
        <v>389</v>
      </c>
      <c r="B16" s="1900"/>
      <c r="C16" s="1901"/>
      <c r="D16" s="1691">
        <v>2.8879999999999999</v>
      </c>
      <c r="E16" s="1909"/>
      <c r="F16" s="1691">
        <v>1E-3</v>
      </c>
      <c r="G16" s="1909"/>
      <c r="H16" s="1691">
        <v>0</v>
      </c>
      <c r="I16" s="1909"/>
      <c r="J16" s="1909">
        <f>ROUND(D16+F16-H16,3)</f>
        <v>2.8889999999999998</v>
      </c>
    </row>
    <row r="17" spans="1:14" s="3545" customFormat="1" ht="25.35" customHeight="1">
      <c r="A17" s="3086" t="s">
        <v>1475</v>
      </c>
      <c r="B17" s="3086"/>
      <c r="C17" s="3086"/>
      <c r="D17" s="1695">
        <v>86.192999999999998</v>
      </c>
      <c r="E17" s="1911"/>
      <c r="F17" s="1695">
        <v>260.53500000000003</v>
      </c>
      <c r="G17" s="1909"/>
      <c r="H17" s="1695">
        <v>72.605999999999995</v>
      </c>
      <c r="I17" s="1911"/>
      <c r="J17" s="1912">
        <f>ROUND(D17+F17-H17,3)</f>
        <v>274.12200000000001</v>
      </c>
    </row>
    <row r="18" spans="1:14" ht="25.35" customHeight="1">
      <c r="A18" s="1910" t="s">
        <v>1476</v>
      </c>
      <c r="B18" s="1901"/>
      <c r="C18" s="1901"/>
      <c r="D18" s="1695">
        <v>2036.8720000000001</v>
      </c>
      <c r="E18" s="1911"/>
      <c r="F18" s="1695">
        <v>1651.2760000000001</v>
      </c>
      <c r="G18" s="1909"/>
      <c r="H18" s="1695">
        <v>1438.29</v>
      </c>
      <c r="I18" s="1911"/>
      <c r="J18" s="1912">
        <f>ROUND(D18+F18-H18,3)</f>
        <v>2249.8580000000002</v>
      </c>
    </row>
    <row r="19" spans="1:14" ht="25.35" customHeight="1">
      <c r="A19" s="1901" t="s">
        <v>1304</v>
      </c>
      <c r="B19" s="1901"/>
      <c r="C19" s="1901"/>
      <c r="D19" s="1695">
        <v>0</v>
      </c>
      <c r="E19" s="1911"/>
      <c r="F19" s="1695">
        <v>283.21300000000002</v>
      </c>
      <c r="G19" s="1909"/>
      <c r="H19" s="1695">
        <v>283.21300000000002</v>
      </c>
      <c r="I19" s="1911"/>
      <c r="J19" s="1912">
        <f>ROUND(D19+F19-H19,3)</f>
        <v>0</v>
      </c>
    </row>
    <row r="20" spans="1:14" ht="25.35" customHeight="1" thickBot="1">
      <c r="A20" s="1913" t="s">
        <v>390</v>
      </c>
      <c r="B20" s="1901"/>
      <c r="C20" s="1901"/>
      <c r="D20" s="1914">
        <f>ROUND(SUM(D16:D19),3)</f>
        <v>2125.953</v>
      </c>
      <c r="E20" s="3100"/>
      <c r="F20" s="1914">
        <f>ROUND(SUM(F16:F19),3)</f>
        <v>2195.0250000000001</v>
      </c>
      <c r="G20" s="3100"/>
      <c r="H20" s="1914">
        <f>ROUND(SUM(H16:H19),3)</f>
        <v>1794.1089999999999</v>
      </c>
      <c r="I20" s="3100"/>
      <c r="J20" s="1914">
        <f>ROUND(SUM(J16:J19),3)</f>
        <v>2526.8690000000001</v>
      </c>
      <c r="K20" s="1915"/>
      <c r="L20" s="1915"/>
      <c r="M20" s="1915"/>
      <c r="N20" s="1915"/>
    </row>
    <row r="21" spans="1:14" ht="18.75" thickTop="1">
      <c r="A21" s="1901"/>
      <c r="B21" s="1901"/>
      <c r="C21" s="1901"/>
      <c r="D21" s="3089"/>
      <c r="E21" s="1901"/>
      <c r="F21" s="1916"/>
      <c r="G21" s="1901"/>
      <c r="H21" s="1916"/>
      <c r="I21" s="1901"/>
      <c r="J21" s="1916"/>
    </row>
    <row r="22" spans="1:14" ht="18">
      <c r="A22" s="1901"/>
      <c r="B22" s="1901"/>
      <c r="C22" s="1901"/>
      <c r="D22" s="3089"/>
      <c r="E22" s="1901"/>
      <c r="F22" s="1916"/>
      <c r="G22" s="1901"/>
      <c r="H22" s="1916"/>
      <c r="I22" s="1901"/>
      <c r="J22" s="1916"/>
    </row>
    <row r="23" spans="1:14" ht="6.75" customHeight="1">
      <c r="A23" s="1901"/>
      <c r="B23" s="1901"/>
      <c r="C23" s="1901"/>
      <c r="D23" s="1916"/>
      <c r="E23" s="1901"/>
      <c r="F23" s="1916"/>
      <c r="G23" s="1901"/>
      <c r="H23" s="1916"/>
      <c r="I23" s="1901"/>
      <c r="J23" s="1916"/>
    </row>
    <row r="24" spans="1:14" ht="18">
      <c r="A24" s="2164" t="s">
        <v>1477</v>
      </c>
      <c r="B24" s="1901"/>
      <c r="C24" s="1901"/>
      <c r="D24" s="1901"/>
      <c r="E24" s="1901"/>
      <c r="F24" s="1901" t="s">
        <v>15</v>
      </c>
      <c r="G24" s="1901"/>
      <c r="H24" s="1901"/>
      <c r="I24" s="1901"/>
      <c r="J24" s="1901"/>
    </row>
    <row r="25" spans="1:14" ht="6" customHeight="1"/>
    <row r="26" spans="1:14" ht="59.25" customHeight="1">
      <c r="A26" s="3973" t="s">
        <v>1291</v>
      </c>
      <c r="B26" s="3973"/>
      <c r="C26" s="3973"/>
      <c r="D26" s="3973"/>
      <c r="E26" s="3973"/>
      <c r="F26" s="3973"/>
      <c r="G26" s="3973"/>
      <c r="H26" s="3973"/>
      <c r="I26" s="3973"/>
      <c r="J26" s="3973"/>
    </row>
    <row r="27" spans="1:14" ht="43.35" customHeight="1">
      <c r="A27" s="3974" t="s">
        <v>1571</v>
      </c>
      <c r="B27" s="3974"/>
      <c r="C27" s="3974"/>
      <c r="D27" s="3974"/>
      <c r="E27" s="3974"/>
      <c r="F27" s="3974"/>
      <c r="G27" s="3974"/>
      <c r="H27" s="3974"/>
      <c r="I27" s="3974"/>
      <c r="J27" s="3974"/>
    </row>
    <row r="28" spans="1:14" ht="18.75" customHeight="1">
      <c r="A28" s="3975"/>
      <c r="B28" s="3975"/>
      <c r="C28" s="3975"/>
      <c r="D28" s="3975"/>
      <c r="E28" s="3975"/>
      <c r="F28" s="3975"/>
      <c r="G28" s="3975"/>
      <c r="H28" s="3975"/>
      <c r="I28" s="3975"/>
      <c r="J28" s="3975"/>
    </row>
    <row r="29" spans="1:14" ht="18" customHeight="1">
      <c r="A29" s="1917"/>
      <c r="B29" s="1942"/>
      <c r="C29" s="1942"/>
      <c r="D29" s="1942"/>
      <c r="E29" s="1942"/>
      <c r="F29" s="1695"/>
      <c r="G29" s="1942"/>
      <c r="H29" s="1942"/>
      <c r="I29" s="1942"/>
      <c r="J29" s="1942"/>
    </row>
    <row r="30" spans="1:14" ht="20.25" customHeight="1">
      <c r="A30" s="3976"/>
      <c r="B30" s="3976"/>
      <c r="C30" s="3976"/>
      <c r="D30" s="3976"/>
      <c r="E30" s="3976"/>
      <c r="F30" s="3976"/>
      <c r="G30" s="3976"/>
      <c r="H30" s="3976"/>
      <c r="I30" s="3976"/>
      <c r="J30" s="3976"/>
    </row>
    <row r="31" spans="1:14" ht="20.25" customHeight="1">
      <c r="A31" s="1943"/>
      <c r="B31" s="1942"/>
      <c r="C31" s="1942"/>
      <c r="D31" s="1942"/>
      <c r="E31" s="1942"/>
      <c r="F31" s="3774" t="s">
        <v>15</v>
      </c>
      <c r="G31" s="1942"/>
      <c r="H31" s="1942"/>
      <c r="I31" s="1942"/>
      <c r="J31" s="1942"/>
    </row>
    <row r="32" spans="1:14" ht="20.25" customHeight="1">
      <c r="A32" s="1943"/>
      <c r="B32" s="1942"/>
      <c r="C32" s="1942"/>
      <c r="D32" s="1942"/>
      <c r="E32" s="1942"/>
      <c r="F32" s="1942"/>
      <c r="G32" s="1942"/>
      <c r="H32" s="1942"/>
      <c r="I32" s="1942"/>
      <c r="J32" s="1942"/>
    </row>
    <row r="33" spans="1:10" ht="20.25" customHeight="1">
      <c r="A33" s="1943"/>
      <c r="B33" s="1942"/>
      <c r="C33" s="1942"/>
      <c r="D33" s="1942"/>
      <c r="E33" s="1942"/>
      <c r="F33" s="1942"/>
      <c r="G33" s="1942"/>
      <c r="H33" s="1942"/>
      <c r="I33" s="1942"/>
      <c r="J33" s="1942"/>
    </row>
    <row r="34" spans="1:10" ht="20.25" customHeight="1">
      <c r="A34" s="1943"/>
      <c r="B34" s="1942"/>
      <c r="C34" s="1942"/>
      <c r="D34" s="1942"/>
      <c r="E34" s="1942"/>
      <c r="F34" s="1942"/>
      <c r="G34" s="1942"/>
      <c r="H34" s="1942"/>
      <c r="I34" s="1942"/>
      <c r="J34" s="1942"/>
    </row>
    <row r="35" spans="1:10" ht="20.25" customHeight="1">
      <c r="A35" s="1943"/>
      <c r="B35" s="1942"/>
      <c r="C35" s="1942"/>
      <c r="D35" s="1942"/>
      <c r="E35" s="1942"/>
      <c r="F35" s="1942"/>
      <c r="G35" s="1942"/>
      <c r="H35" s="1942"/>
      <c r="I35" s="1942"/>
      <c r="J35" s="1942"/>
    </row>
    <row r="36" spans="1:10" ht="20.25" customHeight="1">
      <c r="A36" s="1943"/>
      <c r="B36" s="1942"/>
      <c r="C36" s="1942"/>
      <c r="D36" s="1942"/>
      <c r="E36" s="1942"/>
      <c r="F36" s="1942"/>
      <c r="G36" s="1942"/>
      <c r="H36" s="1942"/>
      <c r="I36" s="1942"/>
      <c r="J36" s="1942"/>
    </row>
    <row r="37" spans="1:10" ht="20.25" customHeight="1">
      <c r="A37" s="1943"/>
      <c r="B37" s="1942"/>
      <c r="C37" s="1942"/>
      <c r="D37" s="1942"/>
      <c r="E37" s="1942"/>
      <c r="F37" s="1942"/>
      <c r="G37" s="1942"/>
      <c r="H37" s="1942"/>
      <c r="I37" s="1942"/>
      <c r="J37" s="1942"/>
    </row>
    <row r="38" spans="1:10" ht="20.25" customHeight="1">
      <c r="A38" s="1943"/>
      <c r="B38" s="1942"/>
      <c r="C38" s="1942"/>
      <c r="D38" s="1942"/>
      <c r="E38" s="1942"/>
      <c r="F38" s="1942"/>
      <c r="G38" s="1942"/>
      <c r="H38" s="1942"/>
      <c r="I38" s="1942"/>
      <c r="J38" s="1942"/>
    </row>
    <row r="39" spans="1:10" ht="20.25" customHeight="1">
      <c r="A39" s="1943"/>
      <c r="B39" s="1942"/>
      <c r="C39" s="1942"/>
      <c r="D39" s="1942"/>
      <c r="E39" s="1942"/>
      <c r="F39" s="1942"/>
      <c r="G39" s="1942"/>
      <c r="H39" s="1942"/>
      <c r="I39" s="1942"/>
      <c r="J39" s="1942"/>
    </row>
    <row r="40" spans="1:10" ht="20.25" customHeight="1">
      <c r="A40" s="1943"/>
      <c r="B40" s="1942"/>
      <c r="C40" s="1942"/>
      <c r="D40" s="1942"/>
      <c r="E40" s="1942"/>
      <c r="F40" s="1942"/>
      <c r="G40" s="1942"/>
      <c r="H40" s="1942"/>
      <c r="I40" s="1942"/>
      <c r="J40" s="1942"/>
    </row>
    <row r="41" spans="1:10" ht="20.25" customHeight="1">
      <c r="A41" s="1943"/>
      <c r="B41" s="1942"/>
      <c r="C41" s="1942"/>
      <c r="D41" s="1942"/>
      <c r="E41" s="1942"/>
      <c r="F41" s="1942"/>
      <c r="G41" s="1942"/>
      <c r="H41" s="1942"/>
      <c r="I41" s="1942"/>
      <c r="J41" s="1942"/>
    </row>
    <row r="42" spans="1:10" ht="20.25" customHeight="1">
      <c r="A42" s="1943"/>
      <c r="B42" s="1942"/>
      <c r="C42" s="1942"/>
      <c r="D42" s="1942"/>
      <c r="E42" s="1942"/>
      <c r="F42" s="1942"/>
      <c r="G42" s="1942"/>
      <c r="H42" s="1942"/>
      <c r="I42" s="1942"/>
      <c r="J42" s="1942"/>
    </row>
    <row r="43" spans="1:10" ht="21" customHeight="1"/>
    <row r="44" spans="1:10" ht="21" customHeight="1">
      <c r="A44" s="1943"/>
      <c r="B44" s="1942"/>
      <c r="C44" s="1942"/>
      <c r="D44" s="1942"/>
      <c r="E44" s="1942"/>
      <c r="F44" s="1942"/>
      <c r="G44" s="1942"/>
      <c r="H44" s="1942"/>
      <c r="I44" s="1942"/>
      <c r="J44" s="1942"/>
    </row>
    <row r="45" spans="1:10" ht="18" customHeight="1">
      <c r="A45" s="1918"/>
      <c r="B45" s="1919"/>
      <c r="C45" s="1920"/>
      <c r="D45" s="1921"/>
      <c r="E45" s="1920"/>
      <c r="F45" s="1921"/>
      <c r="G45" s="1920"/>
      <c r="H45" s="1921"/>
      <c r="I45" s="1922"/>
    </row>
    <row r="46" spans="1:10" ht="18" customHeight="1">
      <c r="A46" s="1923"/>
      <c r="B46" s="1919"/>
      <c r="C46" s="1919"/>
      <c r="D46" s="1921"/>
      <c r="E46" s="1919"/>
      <c r="F46" s="1924"/>
      <c r="G46" s="1921"/>
      <c r="H46" s="1921"/>
      <c r="I46" s="1922"/>
    </row>
    <row r="47" spans="1:10" ht="18" customHeight="1">
      <c r="A47" s="1923"/>
      <c r="B47" s="1919"/>
      <c r="C47" s="1919"/>
      <c r="D47" s="1921"/>
      <c r="E47" s="1919"/>
      <c r="F47" s="1924"/>
      <c r="G47" s="1921"/>
      <c r="H47" s="1921"/>
      <c r="I47" s="1922"/>
    </row>
    <row r="48" spans="1:10" ht="18" customHeight="1">
      <c r="A48" s="1923"/>
      <c r="B48" s="1919"/>
      <c r="C48" s="1919"/>
      <c r="D48" s="1921"/>
      <c r="E48" s="1919"/>
      <c r="F48" s="1924"/>
      <c r="G48" s="1921"/>
      <c r="H48" s="1921"/>
      <c r="I48" s="1922"/>
    </row>
    <row r="49" spans="1:9" ht="18" customHeight="1">
      <c r="A49" s="1923"/>
      <c r="B49" s="1919"/>
      <c r="C49" s="1919"/>
      <c r="D49" s="1921"/>
      <c r="E49" s="1919"/>
      <c r="F49" s="1921"/>
      <c r="G49" s="1921"/>
      <c r="H49" s="1925"/>
      <c r="I49" s="1922"/>
    </row>
    <row r="50" spans="1:9" ht="18" customHeight="1">
      <c r="A50" s="1926"/>
      <c r="B50" s="1919"/>
      <c r="C50" s="1919"/>
      <c r="D50" s="1921"/>
      <c r="E50" s="1919"/>
      <c r="F50" s="1921"/>
      <c r="G50" s="1921"/>
      <c r="H50" s="1921"/>
      <c r="I50" s="1922"/>
    </row>
    <row r="51" spans="1:9" ht="18" customHeight="1">
      <c r="A51" s="1927"/>
      <c r="B51" s="1919"/>
      <c r="C51" s="1919"/>
      <c r="D51" s="1921"/>
      <c r="E51" s="1919"/>
      <c r="F51" s="1925"/>
      <c r="G51" s="1921"/>
      <c r="H51" s="1921"/>
      <c r="I51" s="1922"/>
    </row>
    <row r="52" spans="1:9" ht="18" customHeight="1">
      <c r="A52" s="1923"/>
      <c r="B52" s="1919"/>
      <c r="C52" s="1919"/>
      <c r="D52" s="1921"/>
      <c r="E52" s="1919"/>
      <c r="F52" s="1924"/>
      <c r="G52" s="1921"/>
      <c r="H52" s="1921"/>
      <c r="I52" s="1922"/>
    </row>
    <row r="53" spans="1:9" ht="18" customHeight="1">
      <c r="A53" s="1923"/>
      <c r="B53" s="1919"/>
      <c r="C53" s="1919"/>
      <c r="D53" s="1921"/>
      <c r="E53" s="1919"/>
      <c r="F53" s="1928"/>
      <c r="G53" s="1921"/>
      <c r="H53" s="1925"/>
      <c r="I53" s="1922"/>
    </row>
    <row r="54" spans="1:9" ht="18" customHeight="1">
      <c r="A54" s="1926"/>
      <c r="B54" s="1919"/>
      <c r="C54" s="1920"/>
      <c r="D54" s="1929"/>
      <c r="E54" s="1920"/>
      <c r="G54" s="1920"/>
      <c r="H54" s="1929"/>
      <c r="I54" s="1922"/>
    </row>
  </sheetData>
  <mergeCells count="4">
    <mergeCell ref="A26:J26"/>
    <mergeCell ref="A27:J27"/>
    <mergeCell ref="A28:J28"/>
    <mergeCell ref="A30:J30"/>
  </mergeCells>
  <pageMargins left="0.5" right="0.5" top="0.5" bottom="0.5" header="0" footer="0.25"/>
  <pageSetup scale="67" firstPageNumber="43" orientation="landscape" useFirstPageNumber="1" r:id="rId1"/>
  <headerFooter scaleWithDoc="0" alignWithMargins="0">
    <oddFooter>&amp;C&amp;8&amp;P</oddFooter>
  </headerFooter>
  <rowBreaks count="1" manualBreakCount="1">
    <brk id="72"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X85"/>
  <sheetViews>
    <sheetView showGridLines="0" zoomScale="90" zoomScaleNormal="94" workbookViewId="0"/>
  </sheetViews>
  <sheetFormatPr defaultColWidth="8.6640625" defaultRowHeight="12.75"/>
  <cols>
    <col min="1" max="1" width="40.109375" style="625" customWidth="1"/>
    <col min="2" max="2" width="2.109375" style="625" customWidth="1"/>
    <col min="3" max="3" width="17.109375" style="804" customWidth="1"/>
    <col min="4" max="4" width="2.109375" style="625" customWidth="1"/>
    <col min="5" max="5" width="15.44140625" style="625" customWidth="1"/>
    <col min="6" max="6" width="2.109375" style="625" customWidth="1"/>
    <col min="7" max="7" width="16.109375" style="625" customWidth="1"/>
    <col min="8" max="8" width="2.109375" style="625" customWidth="1"/>
    <col min="9" max="9" width="15.5546875" style="626" customWidth="1"/>
    <col min="10" max="10" width="2.109375" style="625" customWidth="1"/>
    <col min="11" max="11" width="16.44140625" style="626" bestFit="1" customWidth="1"/>
    <col min="12" max="12" width="2.109375" style="625" customWidth="1"/>
    <col min="13" max="13" width="17.109375" style="804" customWidth="1"/>
    <col min="14" max="14" width="1.6640625" style="625" customWidth="1"/>
    <col min="15" max="15" width="1.109375" style="625" customWidth="1"/>
    <col min="16" max="16" width="2" style="625" customWidth="1"/>
    <col min="17" max="17" width="15.44140625" style="625" customWidth="1"/>
    <col min="18" max="18" width="2.109375" style="625" customWidth="1"/>
    <col min="19" max="19" width="16.44140625" style="625" bestFit="1" customWidth="1"/>
    <col min="20" max="20" width="11.6640625" style="625" customWidth="1"/>
    <col min="21" max="21" width="12.44140625" style="625" customWidth="1"/>
    <col min="22" max="22" width="8" style="625" bestFit="1" customWidth="1"/>
    <col min="23" max="16384" width="8.6640625" style="625"/>
  </cols>
  <sheetData>
    <row r="1" spans="1:23" ht="15">
      <c r="A1" s="644" t="s">
        <v>963</v>
      </c>
    </row>
    <row r="2" spans="1:23" ht="15">
      <c r="A2" s="1589"/>
    </row>
    <row r="3" spans="1:23" ht="18">
      <c r="A3" s="624" t="s">
        <v>0</v>
      </c>
      <c r="S3" s="624" t="s">
        <v>391</v>
      </c>
    </row>
    <row r="4" spans="1:23" ht="18">
      <c r="A4" s="624" t="s">
        <v>184</v>
      </c>
      <c r="J4" s="625" t="s">
        <v>15</v>
      </c>
    </row>
    <row r="5" spans="1:23" ht="18">
      <c r="A5" s="624" t="s">
        <v>392</v>
      </c>
    </row>
    <row r="6" spans="1:23" ht="18">
      <c r="A6" s="1590" t="str">
        <f>'Cashflow Governmental'!A6</f>
        <v xml:space="preserve">FISCAL YEAR 2020-2021   </v>
      </c>
    </row>
    <row r="9" spans="1:23">
      <c r="C9" s="3527"/>
      <c r="D9" s="1520"/>
      <c r="E9" s="3977" t="s">
        <v>1500</v>
      </c>
      <c r="F9" s="3977"/>
      <c r="G9" s="3977"/>
      <c r="H9" s="1523"/>
      <c r="I9" s="3580" t="s">
        <v>1295</v>
      </c>
      <c r="J9" s="3581"/>
      <c r="K9" s="3581"/>
      <c r="L9" s="1520"/>
      <c r="M9" s="1520"/>
      <c r="N9" s="1520"/>
      <c r="O9" s="1525"/>
      <c r="P9" s="1520"/>
    </row>
    <row r="10" spans="1:23">
      <c r="C10" s="1528" t="s">
        <v>121</v>
      </c>
      <c r="D10" s="1527"/>
      <c r="E10" s="3575"/>
      <c r="F10" s="3576"/>
      <c r="G10" s="3577"/>
      <c r="H10" s="1520"/>
      <c r="I10" s="3578"/>
      <c r="J10" s="3579"/>
      <c r="K10" s="3579"/>
      <c r="L10" s="1520"/>
      <c r="M10" s="1528" t="s">
        <v>121</v>
      </c>
      <c r="N10" s="1520"/>
      <c r="O10" s="1529"/>
      <c r="P10" s="1520"/>
      <c r="Q10" s="1526" t="s">
        <v>925</v>
      </c>
      <c r="R10" s="1526"/>
      <c r="S10" s="1526"/>
    </row>
    <row r="11" spans="1:23">
      <c r="C11" s="1528" t="s">
        <v>393</v>
      </c>
      <c r="D11" s="1527"/>
      <c r="E11" s="3587" t="s">
        <v>7</v>
      </c>
      <c r="F11" s="1527"/>
      <c r="G11" s="1530" t="s">
        <v>1561</v>
      </c>
      <c r="H11" s="1520"/>
      <c r="I11" s="1527" t="s">
        <v>394</v>
      </c>
      <c r="J11" s="1522" t="s">
        <v>15</v>
      </c>
      <c r="K11" s="1527" t="str">
        <f>G11</f>
        <v>10  MONTHS ENDED</v>
      </c>
      <c r="L11" s="1520"/>
      <c r="M11" s="1528" t="s">
        <v>393</v>
      </c>
      <c r="N11" s="1520"/>
      <c r="O11" s="1529"/>
      <c r="P11" s="1520"/>
      <c r="Q11" s="1527" t="s">
        <v>394</v>
      </c>
      <c r="R11" s="1522" t="s">
        <v>15</v>
      </c>
      <c r="S11" s="1527" t="str">
        <f>K11</f>
        <v>10  MONTHS ENDED</v>
      </c>
    </row>
    <row r="12" spans="1:23">
      <c r="A12" s="1591" t="s">
        <v>395</v>
      </c>
      <c r="C12" s="3528" t="s">
        <v>1467</v>
      </c>
      <c r="D12" s="2157"/>
      <c r="E12" s="3588" t="s">
        <v>133</v>
      </c>
      <c r="F12" s="2157"/>
      <c r="G12" s="1592" t="s">
        <v>1560</v>
      </c>
      <c r="H12" s="1520"/>
      <c r="I12" s="1592" t="str">
        <f>E12</f>
        <v>JANUARY</v>
      </c>
      <c r="J12" s="1520"/>
      <c r="K12" s="1521" t="str">
        <f>G12</f>
        <v>JANUARY 31, 2021</v>
      </c>
      <c r="L12" s="1520"/>
      <c r="M12" s="1521" t="str">
        <f>K12</f>
        <v>JANUARY 31, 2021</v>
      </c>
      <c r="N12" s="1520"/>
      <c r="O12" s="1529"/>
      <c r="P12" s="1520"/>
      <c r="Q12" s="1524" t="str">
        <f>I12</f>
        <v>JANUARY</v>
      </c>
      <c r="R12" s="1520"/>
      <c r="S12" s="1521" t="str">
        <f>M12</f>
        <v>JANUARY 31, 2021</v>
      </c>
    </row>
    <row r="13" spans="1:23">
      <c r="K13" s="1548"/>
      <c r="O13" s="1593"/>
    </row>
    <row r="14" spans="1:23">
      <c r="A14" s="627" t="s">
        <v>396</v>
      </c>
      <c r="K14" s="1548"/>
      <c r="O14" s="1593"/>
      <c r="Q14" s="626"/>
    </row>
    <row r="15" spans="1:23" ht="12" customHeight="1">
      <c r="A15" s="627"/>
      <c r="K15" s="1548"/>
      <c r="M15" s="804" t="s">
        <v>15</v>
      </c>
      <c r="O15" s="1593"/>
      <c r="Q15" s="626"/>
    </row>
    <row r="16" spans="1:23">
      <c r="A16" s="625" t="s">
        <v>974</v>
      </c>
      <c r="B16" s="626"/>
      <c r="C16" s="3521">
        <v>11445463</v>
      </c>
      <c r="D16" s="1547"/>
      <c r="E16" s="3521">
        <v>0</v>
      </c>
      <c r="F16" s="1547"/>
      <c r="G16" s="3521">
        <v>0</v>
      </c>
      <c r="H16" s="3521"/>
      <c r="I16" s="3521">
        <v>0</v>
      </c>
      <c r="J16" s="1547"/>
      <c r="K16" s="3521">
        <v>753209</v>
      </c>
      <c r="L16" s="1547"/>
      <c r="M16" s="3521">
        <f>ROUND(SUM(C16)-SUM(K16)+SUM(G16),0)</f>
        <v>10692254</v>
      </c>
      <c r="N16" s="640"/>
      <c r="O16" s="1594"/>
      <c r="P16" s="626"/>
      <c r="Q16" s="3521">
        <v>0</v>
      </c>
      <c r="R16" s="3521"/>
      <c r="S16" s="3521">
        <v>266790.7</v>
      </c>
      <c r="T16" s="629"/>
      <c r="U16" s="1547"/>
      <c r="V16" s="2151"/>
      <c r="W16" s="722"/>
    </row>
    <row r="17" spans="1:23">
      <c r="C17" s="805"/>
      <c r="D17" s="720"/>
      <c r="E17" s="631"/>
      <c r="F17" s="720"/>
      <c r="G17" s="805"/>
      <c r="H17" s="640"/>
      <c r="I17" s="631"/>
      <c r="J17" s="640"/>
      <c r="K17" s="1548"/>
      <c r="L17" s="640"/>
      <c r="M17" s="805"/>
      <c r="N17" s="640"/>
      <c r="O17" s="1594"/>
      <c r="P17" s="640"/>
      <c r="Q17" s="631"/>
      <c r="R17" s="640"/>
      <c r="S17" s="1548"/>
      <c r="U17" s="631"/>
      <c r="V17" s="721"/>
      <c r="W17" s="722"/>
    </row>
    <row r="18" spans="1:23">
      <c r="A18" s="625" t="s">
        <v>397</v>
      </c>
      <c r="C18" s="805"/>
      <c r="D18" s="720"/>
      <c r="E18" s="626"/>
      <c r="F18" s="720"/>
      <c r="G18" s="805"/>
      <c r="H18" s="640"/>
      <c r="J18" s="626"/>
      <c r="K18" s="1548"/>
      <c r="L18" s="640"/>
      <c r="M18" s="805"/>
      <c r="N18" s="640"/>
      <c r="O18" s="1594"/>
      <c r="P18" s="640"/>
      <c r="Q18" s="626"/>
      <c r="R18" s="626"/>
      <c r="S18" s="1548"/>
      <c r="U18" s="626"/>
      <c r="V18" s="721"/>
      <c r="W18" s="629"/>
    </row>
    <row r="19" spans="1:23" ht="12" customHeight="1">
      <c r="A19" s="625" t="s">
        <v>975</v>
      </c>
      <c r="C19" s="3523">
        <v>1795354</v>
      </c>
      <c r="D19" s="1549"/>
      <c r="E19" s="3523">
        <v>0</v>
      </c>
      <c r="F19" s="1549"/>
      <c r="G19" s="3523">
        <v>0</v>
      </c>
      <c r="H19" s="3523"/>
      <c r="I19" s="3523">
        <v>0</v>
      </c>
      <c r="J19" s="1549"/>
      <c r="K19" s="3523">
        <v>33020</v>
      </c>
      <c r="L19" s="1549" t="s">
        <v>15</v>
      </c>
      <c r="M19" s="3523">
        <f>ROUND(SUM(C19)-SUM(K19)+SUM(G19),0)</f>
        <v>1762334</v>
      </c>
      <c r="N19" s="640"/>
      <c r="O19" s="1594"/>
      <c r="P19" s="640" t="s">
        <v>15</v>
      </c>
      <c r="Q19" s="3523">
        <v>0</v>
      </c>
      <c r="R19" s="3523"/>
      <c r="S19" s="3523">
        <v>26899.27</v>
      </c>
      <c r="T19" s="629"/>
      <c r="U19" s="805"/>
      <c r="V19" s="721"/>
      <c r="W19" s="722"/>
    </row>
    <row r="20" spans="1:23">
      <c r="A20" s="625" t="s">
        <v>398</v>
      </c>
      <c r="C20" s="3523">
        <v>0</v>
      </c>
      <c r="D20" s="1549"/>
      <c r="E20" s="3523">
        <v>0</v>
      </c>
      <c r="F20" s="1549"/>
      <c r="G20" s="3523">
        <v>0</v>
      </c>
      <c r="H20" s="3523"/>
      <c r="I20" s="3523">
        <v>0</v>
      </c>
      <c r="J20" s="1549"/>
      <c r="K20" s="3523">
        <v>0</v>
      </c>
      <c r="L20" s="1549"/>
      <c r="M20" s="3523">
        <f>ROUND(SUM(C20)-SUM(K20)+SUM(G20),2)</f>
        <v>0</v>
      </c>
      <c r="N20" s="640"/>
      <c r="O20" s="1594"/>
      <c r="P20" s="640"/>
      <c r="Q20" s="3523">
        <v>0</v>
      </c>
      <c r="R20" s="3523"/>
      <c r="S20" s="3523">
        <v>0</v>
      </c>
      <c r="T20" s="629"/>
      <c r="U20" s="805"/>
      <c r="V20" s="721"/>
      <c r="W20" s="722"/>
    </row>
    <row r="21" spans="1:23">
      <c r="A21" s="625" t="s">
        <v>1288</v>
      </c>
      <c r="C21" s="3523">
        <v>298595491</v>
      </c>
      <c r="D21" s="1549"/>
      <c r="E21" s="3523">
        <v>0</v>
      </c>
      <c r="F21" s="1549"/>
      <c r="G21" s="3523">
        <v>0</v>
      </c>
      <c r="H21" s="3523"/>
      <c r="I21" s="3523">
        <v>0</v>
      </c>
      <c r="J21" s="1549"/>
      <c r="K21" s="3523">
        <v>10401850</v>
      </c>
      <c r="L21" s="1549"/>
      <c r="M21" s="3523">
        <f>ROUND(SUM(C21)-SUM(K21)+SUM(G21),0)</f>
        <v>288193641</v>
      </c>
      <c r="N21" s="640"/>
      <c r="O21" s="1594"/>
      <c r="P21" s="640"/>
      <c r="Q21" s="3523">
        <v>0</v>
      </c>
      <c r="R21" s="3523"/>
      <c r="S21" s="3523">
        <v>6665835.4800000004</v>
      </c>
      <c r="T21" s="629"/>
      <c r="U21" s="805"/>
      <c r="V21" s="721"/>
      <c r="W21" s="722"/>
    </row>
    <row r="22" spans="1:23">
      <c r="A22" s="625" t="s">
        <v>399</v>
      </c>
      <c r="C22" s="3523">
        <v>16287590</v>
      </c>
      <c r="D22" s="1549"/>
      <c r="E22" s="3523">
        <v>0</v>
      </c>
      <c r="F22" s="1549"/>
      <c r="G22" s="3523">
        <v>0</v>
      </c>
      <c r="H22" s="3523"/>
      <c r="I22" s="3523">
        <v>0</v>
      </c>
      <c r="J22" s="1549"/>
      <c r="K22" s="3523">
        <v>1660096</v>
      </c>
      <c r="L22" s="1549"/>
      <c r="M22" s="3523">
        <f>ROUND(SUM(C22)-SUM(K22)+SUM(G22),0)</f>
        <v>14627494</v>
      </c>
      <c r="N22" s="640"/>
      <c r="O22" s="1594"/>
      <c r="P22" s="640"/>
      <c r="Q22" s="3523">
        <v>0</v>
      </c>
      <c r="R22" s="3523"/>
      <c r="S22" s="3523">
        <v>356253.02</v>
      </c>
      <c r="T22" s="629"/>
      <c r="U22" s="805"/>
      <c r="V22" s="721"/>
      <c r="W22" s="722"/>
    </row>
    <row r="23" spans="1:23">
      <c r="A23" s="625" t="s">
        <v>976</v>
      </c>
      <c r="C23" s="3523">
        <v>40070447</v>
      </c>
      <c r="D23" s="1549"/>
      <c r="E23" s="3523">
        <v>0</v>
      </c>
      <c r="F23" s="1549"/>
      <c r="G23" s="3523">
        <v>0</v>
      </c>
      <c r="H23" s="3523"/>
      <c r="I23" s="3523">
        <v>0</v>
      </c>
      <c r="J23" s="1549"/>
      <c r="K23" s="3523">
        <v>1272879</v>
      </c>
      <c r="L23" s="1549"/>
      <c r="M23" s="3523">
        <f>ROUND(SUM(C23)-SUM(K23)+SUM(G23),0)</f>
        <v>38797568</v>
      </c>
      <c r="N23" s="640"/>
      <c r="O23" s="1594"/>
      <c r="P23" s="640"/>
      <c r="Q23" s="3523">
        <v>0</v>
      </c>
      <c r="R23" s="3523"/>
      <c r="S23" s="3523">
        <v>934506.3</v>
      </c>
      <c r="T23" s="629"/>
      <c r="U23" s="805"/>
      <c r="V23" s="721"/>
      <c r="W23" s="722"/>
    </row>
    <row r="24" spans="1:23">
      <c r="C24" s="3523"/>
      <c r="D24" s="805"/>
      <c r="E24" s="3522"/>
      <c r="F24" s="805"/>
      <c r="G24" s="3522"/>
      <c r="H24" s="3522"/>
      <c r="I24" s="3522"/>
      <c r="J24" s="805"/>
      <c r="K24" s="3522"/>
      <c r="L24" s="805"/>
      <c r="M24" s="3522"/>
      <c r="N24" s="640"/>
      <c r="O24" s="1594"/>
      <c r="P24" s="640"/>
      <c r="Q24" s="3523"/>
      <c r="R24" s="3523"/>
      <c r="S24" s="3523"/>
      <c r="U24" s="631"/>
      <c r="V24" s="721"/>
      <c r="W24" s="722"/>
    </row>
    <row r="25" spans="1:23">
      <c r="A25" s="625" t="s">
        <v>881</v>
      </c>
      <c r="C25" s="3523"/>
      <c r="D25" s="805"/>
      <c r="E25" s="3522"/>
      <c r="F25" s="805"/>
      <c r="G25" s="3522"/>
      <c r="H25" s="3522"/>
      <c r="I25" s="3522"/>
      <c r="J25" s="805"/>
      <c r="K25" s="3522"/>
      <c r="L25" s="805"/>
      <c r="M25" s="3522"/>
      <c r="N25" s="640"/>
      <c r="O25" s="1594"/>
      <c r="P25" s="640"/>
      <c r="Q25" s="3523"/>
      <c r="R25" s="3523"/>
      <c r="S25" s="3523"/>
      <c r="U25" s="631"/>
      <c r="V25" s="721"/>
      <c r="W25" s="629"/>
    </row>
    <row r="26" spans="1:23">
      <c r="A26" s="625" t="s">
        <v>992</v>
      </c>
      <c r="C26" s="3523">
        <v>1198754</v>
      </c>
      <c r="D26" s="1549"/>
      <c r="E26" s="3523">
        <v>0</v>
      </c>
      <c r="F26" s="1549"/>
      <c r="G26" s="3523">
        <v>0</v>
      </c>
      <c r="H26" s="3523"/>
      <c r="I26" s="3523">
        <v>0</v>
      </c>
      <c r="J26" s="1549"/>
      <c r="K26" s="3523">
        <v>176298</v>
      </c>
      <c r="L26" s="1549"/>
      <c r="M26" s="3523">
        <f>ROUND(SUM(C26)-SUM(K26)+SUM(G26),0)</f>
        <v>1022456</v>
      </c>
      <c r="N26" s="640"/>
      <c r="O26" s="1594"/>
      <c r="P26" s="640"/>
      <c r="Q26" s="3523">
        <v>0</v>
      </c>
      <c r="R26" s="3523"/>
      <c r="S26" s="3523">
        <v>48907.66</v>
      </c>
      <c r="T26" s="629"/>
      <c r="U26" s="805"/>
      <c r="V26" s="721"/>
      <c r="W26" s="722"/>
    </row>
    <row r="27" spans="1:23">
      <c r="C27" s="3523"/>
      <c r="D27" s="805" t="s">
        <v>15</v>
      </c>
      <c r="E27" s="3522"/>
      <c r="F27" s="805"/>
      <c r="G27" s="3522"/>
      <c r="H27" s="3522"/>
      <c r="I27" s="3522"/>
      <c r="J27" s="805"/>
      <c r="K27" s="3522"/>
      <c r="L27" s="805"/>
      <c r="M27" s="3522"/>
      <c r="N27" s="640"/>
      <c r="O27" s="1594"/>
      <c r="P27" s="640"/>
      <c r="Q27" s="3523"/>
      <c r="R27" s="3523"/>
      <c r="S27" s="3523"/>
      <c r="U27" s="631"/>
      <c r="V27" s="721"/>
      <c r="W27" s="722"/>
    </row>
    <row r="28" spans="1:23">
      <c r="A28" s="625" t="s">
        <v>1238</v>
      </c>
      <c r="C28" s="3523"/>
      <c r="D28" s="805" t="s">
        <v>15</v>
      </c>
      <c r="E28" s="3522"/>
      <c r="F28" s="805"/>
      <c r="G28" s="3522"/>
      <c r="H28" s="3522"/>
      <c r="I28" s="3522"/>
      <c r="J28" s="805"/>
      <c r="K28" s="3522"/>
      <c r="L28" s="805"/>
      <c r="M28" s="3522"/>
      <c r="N28" s="640"/>
      <c r="O28" s="1594"/>
      <c r="P28" s="640"/>
      <c r="Q28" s="3523"/>
      <c r="R28" s="3523"/>
      <c r="S28" s="3523"/>
      <c r="U28" s="631"/>
      <c r="V28" s="721"/>
    </row>
    <row r="29" spans="1:23">
      <c r="A29" s="625" t="s">
        <v>400</v>
      </c>
      <c r="C29" s="3523">
        <v>3184</v>
      </c>
      <c r="D29" s="1549"/>
      <c r="E29" s="3523">
        <v>0</v>
      </c>
      <c r="F29" s="1549"/>
      <c r="G29" s="3523">
        <v>0</v>
      </c>
      <c r="H29" s="3523"/>
      <c r="I29" s="3523">
        <v>0</v>
      </c>
      <c r="J29" s="1549"/>
      <c r="K29" s="3523">
        <v>0</v>
      </c>
      <c r="L29" s="1549"/>
      <c r="M29" s="3523">
        <f>ROUND(SUM(C29)-SUM(K29)+SUM(G29),0)</f>
        <v>3184</v>
      </c>
      <c r="N29" s="640"/>
      <c r="O29" s="1594"/>
      <c r="P29" s="640"/>
      <c r="Q29" s="3523">
        <v>0</v>
      </c>
      <c r="R29" s="3523"/>
      <c r="S29" s="3523">
        <v>64.48</v>
      </c>
      <c r="T29" s="629"/>
      <c r="U29" s="805"/>
      <c r="V29" s="721"/>
      <c r="W29" s="722"/>
    </row>
    <row r="30" spans="1:23">
      <c r="A30" s="625" t="s">
        <v>977</v>
      </c>
      <c r="C30" s="3523">
        <v>4939861</v>
      </c>
      <c r="D30" s="1549"/>
      <c r="E30" s="3523">
        <v>0</v>
      </c>
      <c r="F30" s="1549"/>
      <c r="G30" s="3523">
        <v>0</v>
      </c>
      <c r="H30" s="3523"/>
      <c r="I30" s="3523">
        <v>0</v>
      </c>
      <c r="J30" s="1549"/>
      <c r="K30" s="3523">
        <v>58254</v>
      </c>
      <c r="L30" s="1549"/>
      <c r="M30" s="3523">
        <f>ROUND(SUM(C30)-SUM(K30)+SUM(G30),0)</f>
        <v>4881607</v>
      </c>
      <c r="N30" s="640"/>
      <c r="O30" s="1594"/>
      <c r="P30" s="640"/>
      <c r="Q30" s="3523">
        <v>0</v>
      </c>
      <c r="R30" s="3523"/>
      <c r="S30" s="3523">
        <v>123344.86</v>
      </c>
      <c r="T30" s="629"/>
      <c r="U30" s="805"/>
      <c r="V30" s="721"/>
      <c r="W30" s="722"/>
    </row>
    <row r="31" spans="1:23">
      <c r="A31" s="625" t="s">
        <v>401</v>
      </c>
      <c r="C31" s="3523">
        <v>6370803</v>
      </c>
      <c r="D31" s="1549"/>
      <c r="E31" s="3523">
        <v>0</v>
      </c>
      <c r="F31" s="1549"/>
      <c r="G31" s="3523">
        <v>0</v>
      </c>
      <c r="H31" s="3523"/>
      <c r="I31" s="3523">
        <v>0</v>
      </c>
      <c r="J31" s="1549"/>
      <c r="K31" s="3523">
        <v>715000</v>
      </c>
      <c r="L31" s="1549"/>
      <c r="M31" s="3523">
        <f>ROUND(SUM(C31)-SUM(K31)+SUM(G31),0)</f>
        <v>5655803</v>
      </c>
      <c r="N31" s="640"/>
      <c r="O31" s="1594"/>
      <c r="P31" s="640"/>
      <c r="Q31" s="3523">
        <v>0</v>
      </c>
      <c r="R31" s="3523"/>
      <c r="S31" s="3523">
        <v>168873.85</v>
      </c>
      <c r="T31" s="629"/>
      <c r="U31" s="805"/>
      <c r="V31" s="721"/>
      <c r="W31" s="722"/>
    </row>
    <row r="32" spans="1:23">
      <c r="C32" s="3523"/>
      <c r="D32" s="805"/>
      <c r="E32" s="3522"/>
      <c r="F32" s="805"/>
      <c r="G32" s="3522"/>
      <c r="H32" s="3522"/>
      <c r="I32" s="3522"/>
      <c r="J32" s="805"/>
      <c r="K32" s="3522"/>
      <c r="L32" s="805"/>
      <c r="M32" s="3522"/>
      <c r="N32" s="640"/>
      <c r="O32" s="1594"/>
      <c r="P32" s="640"/>
      <c r="Q32" s="3523"/>
      <c r="R32" s="3523"/>
      <c r="S32" s="3523"/>
      <c r="U32" s="631"/>
      <c r="V32" s="721"/>
      <c r="W32" s="722"/>
    </row>
    <row r="33" spans="1:24">
      <c r="A33" s="625" t="s">
        <v>402</v>
      </c>
      <c r="C33" s="3523"/>
      <c r="D33" s="805"/>
      <c r="E33" s="3522"/>
      <c r="F33" s="805"/>
      <c r="G33" s="3522"/>
      <c r="H33" s="3522"/>
      <c r="I33" s="3522"/>
      <c r="J33" s="805"/>
      <c r="K33" s="3522"/>
      <c r="L33" s="805"/>
      <c r="M33" s="3522"/>
      <c r="N33" s="640"/>
      <c r="O33" s="1594"/>
      <c r="P33" s="640"/>
      <c r="Q33" s="3523"/>
      <c r="R33" s="3523"/>
      <c r="S33" s="3523"/>
      <c r="U33" s="631"/>
      <c r="V33" s="721"/>
      <c r="W33" s="629"/>
    </row>
    <row r="34" spans="1:24">
      <c r="A34" s="625" t="s">
        <v>1239</v>
      </c>
      <c r="C34" s="3523">
        <v>5309545</v>
      </c>
      <c r="D34" s="1549"/>
      <c r="E34" s="3523">
        <v>0</v>
      </c>
      <c r="F34" s="1549"/>
      <c r="G34" s="3523">
        <v>0</v>
      </c>
      <c r="H34" s="3523"/>
      <c r="I34" s="3523">
        <v>0</v>
      </c>
      <c r="J34" s="1549"/>
      <c r="K34" s="3523">
        <v>489935</v>
      </c>
      <c r="L34" s="1549"/>
      <c r="M34" s="3523">
        <f>ROUND(SUM(C34)-SUM(K34)+SUM(G34),0)</f>
        <v>4819610</v>
      </c>
      <c r="N34" s="640"/>
      <c r="O34" s="1594"/>
      <c r="P34" s="640"/>
      <c r="Q34" s="3523">
        <v>0</v>
      </c>
      <c r="R34" s="3523"/>
      <c r="S34" s="3523">
        <v>127463.8</v>
      </c>
      <c r="T34" s="629"/>
      <c r="U34" s="805"/>
      <c r="V34" s="721"/>
      <c r="W34" s="722"/>
    </row>
    <row r="35" spans="1:24">
      <c r="A35" s="625" t="s">
        <v>403</v>
      </c>
      <c r="C35" s="3523">
        <v>91992747</v>
      </c>
      <c r="D35" s="1549"/>
      <c r="E35" s="3523">
        <v>0</v>
      </c>
      <c r="F35" s="1549"/>
      <c r="G35" s="3523">
        <v>0</v>
      </c>
      <c r="H35" s="3523"/>
      <c r="I35" s="3523">
        <v>0</v>
      </c>
      <c r="J35" s="1549"/>
      <c r="K35" s="3523">
        <v>7648053</v>
      </c>
      <c r="L35" s="1549"/>
      <c r="M35" s="3523">
        <f>ROUND(SUM(C35)-SUM(K35)+SUM(G35),0)</f>
        <v>84344694</v>
      </c>
      <c r="N35" s="640"/>
      <c r="O35" s="1594"/>
      <c r="P35" s="640"/>
      <c r="Q35" s="3523">
        <v>0</v>
      </c>
      <c r="R35" s="3523"/>
      <c r="S35" s="3523">
        <v>2522780.21</v>
      </c>
      <c r="T35" s="629"/>
      <c r="U35" s="805"/>
      <c r="V35" s="721"/>
      <c r="W35" s="722"/>
      <c r="X35" s="629"/>
    </row>
    <row r="36" spans="1:24">
      <c r="C36" s="3523"/>
      <c r="D36" s="805"/>
      <c r="E36" s="3522"/>
      <c r="F36" s="805"/>
      <c r="G36" s="3522"/>
      <c r="H36" s="3522"/>
      <c r="I36" s="3522"/>
      <c r="J36" s="805"/>
      <c r="K36" s="3522"/>
      <c r="L36" s="805"/>
      <c r="M36" s="3522"/>
      <c r="N36" s="640"/>
      <c r="O36" s="1594"/>
      <c r="P36" s="640"/>
      <c r="Q36" s="3523"/>
      <c r="R36" s="3523"/>
      <c r="S36" s="3523"/>
      <c r="U36" s="631"/>
      <c r="V36" s="721"/>
      <c r="W36" s="722"/>
    </row>
    <row r="37" spans="1:24">
      <c r="A37" s="625" t="s">
        <v>404</v>
      </c>
      <c r="C37" s="3523"/>
      <c r="D37" s="805"/>
      <c r="E37" s="3522"/>
      <c r="F37" s="805"/>
      <c r="G37" s="3522"/>
      <c r="H37" s="3522"/>
      <c r="I37" s="3522"/>
      <c r="J37" s="805"/>
      <c r="K37" s="3522"/>
      <c r="L37" s="805"/>
      <c r="M37" s="3522"/>
      <c r="N37" s="640"/>
      <c r="O37" s="1594"/>
      <c r="P37" s="640"/>
      <c r="Q37" s="3523"/>
      <c r="R37" s="3523"/>
      <c r="S37" s="3523"/>
      <c r="U37" s="1836"/>
      <c r="V37" s="721"/>
      <c r="W37" s="629"/>
    </row>
    <row r="38" spans="1:24">
      <c r="A38" s="625" t="s">
        <v>1289</v>
      </c>
      <c r="C38" s="3523">
        <v>5840000</v>
      </c>
      <c r="D38" s="1549"/>
      <c r="E38" s="3523">
        <v>0</v>
      </c>
      <c r="F38" s="1549"/>
      <c r="G38" s="3523">
        <v>0</v>
      </c>
      <c r="H38" s="3523"/>
      <c r="I38" s="3523">
        <v>0</v>
      </c>
      <c r="J38" s="1549"/>
      <c r="K38" s="3523">
        <v>1060000</v>
      </c>
      <c r="L38" s="1549"/>
      <c r="M38" s="3523">
        <f>ROUND(SUM(C38)-SUM(K38)+SUM(G38),0)</f>
        <v>4780000</v>
      </c>
      <c r="N38" s="640"/>
      <c r="O38" s="1594"/>
      <c r="P38" s="640"/>
      <c r="Q38" s="3523">
        <v>0</v>
      </c>
      <c r="R38" s="3523"/>
      <c r="S38" s="3523">
        <v>87600</v>
      </c>
      <c r="T38" s="629"/>
      <c r="U38" s="805"/>
      <c r="V38" s="721"/>
      <c r="W38" s="722"/>
    </row>
    <row r="39" spans="1:24">
      <c r="A39" s="625" t="s">
        <v>978</v>
      </c>
      <c r="C39" s="3523">
        <v>4035000</v>
      </c>
      <c r="D39" s="1549"/>
      <c r="E39" s="3523">
        <v>0</v>
      </c>
      <c r="F39" s="1549"/>
      <c r="G39" s="3523">
        <v>0</v>
      </c>
      <c r="H39" s="3523"/>
      <c r="I39" s="3523">
        <v>0</v>
      </c>
      <c r="J39" s="1549"/>
      <c r="K39" s="3523">
        <v>2240000</v>
      </c>
      <c r="L39" s="1549"/>
      <c r="M39" s="3523">
        <f>ROUND(SUM(C39)-SUM(K39)+SUM(G39),0)</f>
        <v>1795000</v>
      </c>
      <c r="N39" s="640"/>
      <c r="O39" s="1594"/>
      <c r="P39" s="640"/>
      <c r="Q39" s="3523">
        <v>0</v>
      </c>
      <c r="R39" s="3523"/>
      <c r="S39" s="3523">
        <v>80717.5</v>
      </c>
      <c r="T39" s="629"/>
      <c r="U39" s="805"/>
      <c r="V39" s="721"/>
      <c r="W39" s="722"/>
    </row>
    <row r="40" spans="1:24">
      <c r="C40" s="3523"/>
      <c r="D40" s="805"/>
      <c r="E40" s="3522"/>
      <c r="F40" s="805"/>
      <c r="G40" s="3522"/>
      <c r="H40" s="3522"/>
      <c r="I40" s="3522"/>
      <c r="J40" s="805"/>
      <c r="K40" s="3522"/>
      <c r="L40" s="805"/>
      <c r="M40" s="3522"/>
      <c r="N40" s="640"/>
      <c r="O40" s="1594"/>
      <c r="P40" s="640"/>
      <c r="Q40" s="3523"/>
      <c r="R40" s="3523"/>
      <c r="S40" s="3523"/>
      <c r="U40" s="1836"/>
      <c r="V40" s="721"/>
      <c r="W40" s="722"/>
    </row>
    <row r="41" spans="1:24">
      <c r="A41" s="625" t="s">
        <v>979</v>
      </c>
      <c r="C41" s="3523">
        <v>0</v>
      </c>
      <c r="D41" s="1549"/>
      <c r="E41" s="3523">
        <v>0</v>
      </c>
      <c r="F41" s="1549"/>
      <c r="G41" s="3523">
        <v>0</v>
      </c>
      <c r="H41" s="3523"/>
      <c r="I41" s="3523">
        <v>0</v>
      </c>
      <c r="J41" s="1549"/>
      <c r="K41" s="3523">
        <v>0</v>
      </c>
      <c r="L41" s="1549"/>
      <c r="M41" s="3523">
        <f>ROUND(SUM(C41)-SUM(K41)+SUM(G41),2)</f>
        <v>0</v>
      </c>
      <c r="N41" s="640"/>
      <c r="O41" s="1594"/>
      <c r="P41" s="640"/>
      <c r="Q41" s="3523">
        <v>0</v>
      </c>
      <c r="R41" s="3523"/>
      <c r="S41" s="3523">
        <v>0</v>
      </c>
      <c r="T41" s="629"/>
      <c r="U41" s="805"/>
      <c r="V41" s="721"/>
      <c r="W41" s="722"/>
    </row>
    <row r="42" spans="1:24">
      <c r="C42" s="3523"/>
      <c r="D42" s="1549"/>
      <c r="E42" s="3523"/>
      <c r="F42" s="1549"/>
      <c r="G42" s="3523"/>
      <c r="H42" s="3523"/>
      <c r="I42" s="3523"/>
      <c r="J42" s="1549"/>
      <c r="K42" s="3523"/>
      <c r="L42" s="1549"/>
      <c r="M42" s="3523"/>
      <c r="N42" s="640"/>
      <c r="O42" s="1594"/>
      <c r="P42" s="640"/>
      <c r="Q42" s="3523"/>
      <c r="R42" s="3523"/>
      <c r="S42" s="3523"/>
      <c r="U42" s="1836"/>
      <c r="V42" s="721"/>
      <c r="W42" s="722"/>
    </row>
    <row r="43" spans="1:24">
      <c r="A43" s="625" t="s">
        <v>405</v>
      </c>
      <c r="C43" s="3523">
        <v>15498329</v>
      </c>
      <c r="D43" s="1549"/>
      <c r="E43" s="3523">
        <v>0</v>
      </c>
      <c r="F43" s="1549"/>
      <c r="G43" s="3523">
        <v>0</v>
      </c>
      <c r="H43" s="3523"/>
      <c r="I43" s="3523">
        <v>0</v>
      </c>
      <c r="J43" s="1549"/>
      <c r="K43" s="3523">
        <v>1892879</v>
      </c>
      <c r="L43" s="1549"/>
      <c r="M43" s="3523">
        <f>ROUND(SUM(C43)-SUM(K43)+SUM(G43),0)</f>
        <v>13605450</v>
      </c>
      <c r="N43" s="640"/>
      <c r="O43" s="1594"/>
      <c r="P43" s="640"/>
      <c r="Q43" s="3523">
        <v>0</v>
      </c>
      <c r="R43" s="3523"/>
      <c r="S43" s="3523">
        <v>422591.8</v>
      </c>
      <c r="T43" s="629"/>
      <c r="U43" s="805"/>
      <c r="V43" s="721"/>
      <c r="W43" s="722"/>
    </row>
    <row r="44" spans="1:24">
      <c r="C44" s="3523"/>
      <c r="D44" s="1549"/>
      <c r="E44" s="3523"/>
      <c r="F44" s="1549"/>
      <c r="G44" s="3523"/>
      <c r="H44" s="3523"/>
      <c r="I44" s="3523"/>
      <c r="J44" s="1549"/>
      <c r="K44" s="3523"/>
      <c r="L44" s="1549"/>
      <c r="M44" s="3523"/>
      <c r="N44" s="640"/>
      <c r="O44" s="1594"/>
      <c r="P44" s="640"/>
      <c r="Q44" s="3523"/>
      <c r="R44" s="3523"/>
      <c r="S44" s="3523"/>
      <c r="U44" s="775"/>
      <c r="V44" s="721"/>
      <c r="W44" s="722"/>
    </row>
    <row r="45" spans="1:24">
      <c r="A45" s="625" t="s">
        <v>406</v>
      </c>
      <c r="C45" s="3523">
        <v>0</v>
      </c>
      <c r="D45" s="1549"/>
      <c r="E45" s="3523">
        <v>0</v>
      </c>
      <c r="F45" s="1549"/>
      <c r="G45" s="3523">
        <v>0</v>
      </c>
      <c r="H45" s="3523"/>
      <c r="I45" s="3523">
        <v>0</v>
      </c>
      <c r="J45" s="1549"/>
      <c r="K45" s="3523">
        <v>0</v>
      </c>
      <c r="L45" s="1549"/>
      <c r="M45" s="3523">
        <f>ROUND(SUM(C45)-SUM(K45)+SUM(G45),0)</f>
        <v>0</v>
      </c>
      <c r="N45" s="640"/>
      <c r="O45" s="1594"/>
      <c r="P45" s="640"/>
      <c r="Q45" s="3523">
        <v>0</v>
      </c>
      <c r="R45" s="3523"/>
      <c r="S45" s="3523">
        <v>0</v>
      </c>
      <c r="T45" s="629"/>
      <c r="U45" s="805"/>
      <c r="V45" s="721"/>
      <c r="W45" s="722"/>
    </row>
    <row r="46" spans="1:24">
      <c r="C46" s="3523"/>
      <c r="D46" s="1549"/>
      <c r="E46" s="3523"/>
      <c r="F46" s="1549"/>
      <c r="G46" s="3523"/>
      <c r="H46" s="3523"/>
      <c r="I46" s="3523"/>
      <c r="J46" s="1549"/>
      <c r="K46" s="3523"/>
      <c r="L46" s="1549"/>
      <c r="M46" s="3523"/>
      <c r="N46" s="640"/>
      <c r="O46" s="1594"/>
      <c r="P46" s="640"/>
      <c r="Q46" s="3523"/>
      <c r="R46" s="3523"/>
      <c r="S46" s="3523"/>
      <c r="U46" s="631"/>
      <c r="V46" s="721"/>
      <c r="W46" s="722"/>
    </row>
    <row r="47" spans="1:24">
      <c r="A47" s="625" t="s">
        <v>407</v>
      </c>
      <c r="C47" s="3523"/>
      <c r="D47" s="1550"/>
      <c r="E47" s="3524"/>
      <c r="F47" s="1550"/>
      <c r="G47" s="3524"/>
      <c r="H47" s="3524"/>
      <c r="I47" s="3524"/>
      <c r="J47" s="1550"/>
      <c r="K47" s="3524"/>
      <c r="L47" s="1550"/>
      <c r="M47" s="3524"/>
      <c r="N47" s="640"/>
      <c r="O47" s="1594"/>
      <c r="P47" s="640"/>
      <c r="Q47" s="3523"/>
      <c r="R47" s="3523"/>
      <c r="S47" s="3523"/>
      <c r="U47" s="1836"/>
      <c r="V47" s="721"/>
      <c r="W47" s="722"/>
    </row>
    <row r="48" spans="1:24">
      <c r="A48" s="625" t="s">
        <v>408</v>
      </c>
      <c r="C48" s="3523">
        <v>600658226</v>
      </c>
      <c r="D48" s="1550"/>
      <c r="E48" s="3524">
        <v>0</v>
      </c>
      <c r="F48" s="1550"/>
      <c r="G48" s="3523">
        <v>0</v>
      </c>
      <c r="H48" s="3524"/>
      <c r="I48" s="3524">
        <v>0</v>
      </c>
      <c r="J48" s="1550"/>
      <c r="K48" s="3524">
        <v>6160202</v>
      </c>
      <c r="L48" s="1550"/>
      <c r="M48" s="3524">
        <f t="shared" ref="M48:M53" si="0">ROUND(SUM(C48)-SUM(K48)+SUM(G48),0)</f>
        <v>594498024</v>
      </c>
      <c r="N48" s="640"/>
      <c r="O48" s="1594"/>
      <c r="P48" s="640"/>
      <c r="Q48" s="3523">
        <v>0</v>
      </c>
      <c r="R48" s="3523"/>
      <c r="S48" s="3523">
        <v>11688489.040000001</v>
      </c>
      <c r="T48" s="1595"/>
      <c r="U48" s="805"/>
      <c r="V48" s="721"/>
      <c r="W48" s="722"/>
    </row>
    <row r="49" spans="1:23">
      <c r="A49" s="625" t="s">
        <v>409</v>
      </c>
      <c r="C49" s="3523">
        <v>9419680</v>
      </c>
      <c r="D49" s="1550"/>
      <c r="E49" s="3524">
        <v>0</v>
      </c>
      <c r="F49" s="1550"/>
      <c r="G49" s="3523">
        <v>0</v>
      </c>
      <c r="H49" s="3524"/>
      <c r="I49" s="3524">
        <v>0</v>
      </c>
      <c r="J49" s="1550"/>
      <c r="K49" s="3524">
        <v>507158</v>
      </c>
      <c r="L49" s="1550"/>
      <c r="M49" s="3524">
        <f t="shared" si="0"/>
        <v>8912522</v>
      </c>
      <c r="N49" s="640"/>
      <c r="O49" s="1594"/>
      <c r="P49" s="640"/>
      <c r="Q49" s="3523">
        <v>0</v>
      </c>
      <c r="R49" s="3523"/>
      <c r="S49" s="3523">
        <v>215316.84</v>
      </c>
      <c r="T49" s="1595"/>
      <c r="U49" s="805"/>
      <c r="V49" s="721"/>
      <c r="W49" s="722"/>
    </row>
    <row r="50" spans="1:23">
      <c r="A50" s="625" t="s">
        <v>410</v>
      </c>
      <c r="C50" s="3523">
        <v>41089448</v>
      </c>
      <c r="D50" s="1550"/>
      <c r="E50" s="3524">
        <v>0</v>
      </c>
      <c r="F50" s="1550"/>
      <c r="G50" s="3523">
        <v>0</v>
      </c>
      <c r="H50" s="3524"/>
      <c r="I50" s="3524">
        <v>0</v>
      </c>
      <c r="J50" s="1550"/>
      <c r="K50" s="3524">
        <v>0</v>
      </c>
      <c r="L50" s="1550"/>
      <c r="M50" s="3524">
        <f t="shared" si="0"/>
        <v>41089448</v>
      </c>
      <c r="N50" s="640"/>
      <c r="O50" s="1594"/>
      <c r="P50" s="640"/>
      <c r="Q50" s="3523">
        <v>0</v>
      </c>
      <c r="R50" s="3523"/>
      <c r="S50" s="3523">
        <v>643951.12</v>
      </c>
      <c r="T50" s="1595"/>
      <c r="U50" s="805"/>
      <c r="V50" s="721"/>
      <c r="W50" s="722"/>
    </row>
    <row r="51" spans="1:23">
      <c r="A51" s="625" t="s">
        <v>411</v>
      </c>
      <c r="C51" s="3523">
        <v>92824245</v>
      </c>
      <c r="D51" s="1550"/>
      <c r="E51" s="3524">
        <v>0</v>
      </c>
      <c r="F51" s="1550"/>
      <c r="G51" s="3523">
        <v>0</v>
      </c>
      <c r="H51" s="3524"/>
      <c r="I51" s="3524">
        <v>0</v>
      </c>
      <c r="J51" s="1550"/>
      <c r="K51" s="3524">
        <v>0</v>
      </c>
      <c r="L51" s="1550"/>
      <c r="M51" s="3524">
        <f t="shared" si="0"/>
        <v>92824245</v>
      </c>
      <c r="N51" s="640"/>
      <c r="O51" s="1594"/>
      <c r="P51" s="640"/>
      <c r="Q51" s="3523">
        <v>0</v>
      </c>
      <c r="R51" s="3523"/>
      <c r="S51" s="3523">
        <v>1413132.94</v>
      </c>
      <c r="T51" s="1595"/>
      <c r="U51" s="805"/>
      <c r="V51" s="721"/>
      <c r="W51" s="722"/>
    </row>
    <row r="52" spans="1:23">
      <c r="A52" s="625" t="s">
        <v>412</v>
      </c>
      <c r="C52" s="3523">
        <v>12168734</v>
      </c>
      <c r="D52" s="1550"/>
      <c r="E52" s="3524">
        <v>0</v>
      </c>
      <c r="F52" s="1550"/>
      <c r="G52" s="3523">
        <v>0</v>
      </c>
      <c r="H52" s="3524"/>
      <c r="I52" s="3524">
        <v>0</v>
      </c>
      <c r="J52" s="1550"/>
      <c r="K52" s="3524">
        <v>0</v>
      </c>
      <c r="L52" s="1550"/>
      <c r="M52" s="3524">
        <f t="shared" si="0"/>
        <v>12168734</v>
      </c>
      <c r="N52" s="640"/>
      <c r="O52" s="1594"/>
      <c r="P52" s="640"/>
      <c r="Q52" s="3523">
        <v>0</v>
      </c>
      <c r="R52" s="3523"/>
      <c r="S52" s="3523">
        <v>286617.40000000002</v>
      </c>
      <c r="T52" s="1595"/>
      <c r="U52" s="805"/>
      <c r="V52" s="721"/>
      <c r="W52" s="722"/>
    </row>
    <row r="53" spans="1:23">
      <c r="A53" s="625" t="s">
        <v>882</v>
      </c>
      <c r="C53" s="3523">
        <v>705163311</v>
      </c>
      <c r="D53" s="1549"/>
      <c r="E53" s="3523">
        <v>0</v>
      </c>
      <c r="F53" s="1549"/>
      <c r="G53" s="3523">
        <v>0</v>
      </c>
      <c r="H53" s="3523"/>
      <c r="I53" s="3523">
        <v>0</v>
      </c>
      <c r="J53" s="1549"/>
      <c r="K53" s="3523">
        <v>6598903</v>
      </c>
      <c r="L53" s="1549"/>
      <c r="M53" s="3523">
        <f t="shared" si="0"/>
        <v>698564408</v>
      </c>
      <c r="N53" s="640"/>
      <c r="O53" s="1594"/>
      <c r="P53" s="640"/>
      <c r="Q53" s="3523">
        <v>0</v>
      </c>
      <c r="R53" s="3523"/>
      <c r="S53" s="3523">
        <v>15230696.449999999</v>
      </c>
      <c r="T53" s="1595"/>
      <c r="U53" s="805"/>
      <c r="V53" s="721"/>
      <c r="W53" s="722"/>
    </row>
    <row r="54" spans="1:23">
      <c r="C54" s="3523"/>
      <c r="D54" s="1549"/>
      <c r="E54" s="3523"/>
      <c r="F54" s="1549"/>
      <c r="G54" s="3523"/>
      <c r="H54" s="3523"/>
      <c r="I54" s="3523"/>
      <c r="J54" s="1549"/>
      <c r="K54" s="3523"/>
      <c r="L54" s="1549"/>
      <c r="M54" s="3523"/>
      <c r="N54" s="640"/>
      <c r="O54" s="1594"/>
      <c r="P54" s="640"/>
      <c r="Q54" s="3523"/>
      <c r="R54" s="3523"/>
      <c r="S54" s="3523"/>
      <c r="U54" s="631"/>
      <c r="V54" s="721"/>
      <c r="W54" s="722"/>
    </row>
    <row r="55" spans="1:23">
      <c r="A55" s="625" t="s">
        <v>883</v>
      </c>
      <c r="C55" s="3523"/>
      <c r="D55" s="1549"/>
      <c r="E55" s="3523"/>
      <c r="F55" s="1549"/>
      <c r="G55" s="3523"/>
      <c r="H55" s="3523"/>
      <c r="I55" s="3523"/>
      <c r="J55" s="1549"/>
      <c r="K55" s="3523"/>
      <c r="L55" s="1549"/>
      <c r="M55" s="3523"/>
      <c r="N55" s="640"/>
      <c r="O55" s="1594"/>
      <c r="P55" s="640"/>
      <c r="Q55" s="3523"/>
      <c r="R55" s="3523"/>
      <c r="S55" s="3523"/>
      <c r="U55" s="1836"/>
      <c r="V55" s="721"/>
      <c r="W55" s="629"/>
    </row>
    <row r="56" spans="1:23">
      <c r="A56" s="625" t="s">
        <v>980</v>
      </c>
      <c r="C56" s="3523">
        <v>553992</v>
      </c>
      <c r="D56" s="1549"/>
      <c r="E56" s="3523">
        <v>0</v>
      </c>
      <c r="F56" s="1549"/>
      <c r="G56" s="3523">
        <v>0</v>
      </c>
      <c r="H56" s="3523"/>
      <c r="I56" s="3523">
        <v>0</v>
      </c>
      <c r="J56" s="1549"/>
      <c r="K56" s="3523">
        <v>16615</v>
      </c>
      <c r="L56" s="1549"/>
      <c r="M56" s="3523">
        <f>ROUND(SUM(C56)-SUM(K56)+SUM(G56),0)</f>
        <v>537377</v>
      </c>
      <c r="N56" s="640"/>
      <c r="O56" s="1594"/>
      <c r="P56" s="640"/>
      <c r="Q56" s="3523">
        <v>0</v>
      </c>
      <c r="R56" s="3523"/>
      <c r="S56" s="3523">
        <v>50863.54</v>
      </c>
      <c r="T56" s="629"/>
      <c r="U56" s="805"/>
      <c r="V56" s="721"/>
      <c r="W56" s="722"/>
    </row>
    <row r="57" spans="1:23">
      <c r="A57" s="913" t="s">
        <v>953</v>
      </c>
      <c r="C57" s="3523">
        <v>2042563</v>
      </c>
      <c r="D57" s="1549"/>
      <c r="E57" s="3523">
        <v>0</v>
      </c>
      <c r="F57" s="1549"/>
      <c r="G57" s="3523">
        <v>0</v>
      </c>
      <c r="H57" s="3523"/>
      <c r="I57" s="3523">
        <v>0</v>
      </c>
      <c r="J57" s="1549"/>
      <c r="K57" s="3523">
        <v>479171</v>
      </c>
      <c r="L57" s="1549"/>
      <c r="M57" s="3523">
        <f>ROUND(SUM(C57)-SUM(K57)+SUM(G57),0)</f>
        <v>1563392</v>
      </c>
      <c r="N57" s="640"/>
      <c r="O57" s="1594"/>
      <c r="P57" s="640"/>
      <c r="Q57" s="3799">
        <v>0</v>
      </c>
      <c r="R57" s="3799"/>
      <c r="S57" s="3799">
        <v>49370.17</v>
      </c>
      <c r="T57" s="629"/>
      <c r="U57" s="805"/>
      <c r="V57" s="721"/>
      <c r="W57" s="722"/>
    </row>
    <row r="58" spans="1:23" ht="13.5" customHeight="1">
      <c r="C58" s="3523"/>
      <c r="D58" s="1549"/>
      <c r="E58" s="3523"/>
      <c r="F58" s="1549"/>
      <c r="G58" s="3523"/>
      <c r="H58" s="3523"/>
      <c r="I58" s="3523"/>
      <c r="J58" s="1549"/>
      <c r="K58" s="3523"/>
      <c r="L58" s="1549"/>
      <c r="M58" s="3523"/>
      <c r="N58" s="640"/>
      <c r="O58" s="1594"/>
      <c r="P58" s="640"/>
      <c r="Q58" s="3523"/>
      <c r="R58" s="3523"/>
      <c r="S58" s="3523"/>
      <c r="U58" s="631"/>
      <c r="V58" s="721"/>
      <c r="W58" s="722"/>
    </row>
    <row r="59" spans="1:23">
      <c r="A59" s="625" t="s">
        <v>1274</v>
      </c>
      <c r="C59" s="3523">
        <v>161307133</v>
      </c>
      <c r="D59" s="1549"/>
      <c r="E59" s="3523">
        <v>0</v>
      </c>
      <c r="F59" s="1549"/>
      <c r="G59" s="3523">
        <v>0</v>
      </c>
      <c r="H59" s="3523"/>
      <c r="I59" s="3523">
        <v>0</v>
      </c>
      <c r="J59" s="1549"/>
      <c r="K59" s="3523">
        <v>0</v>
      </c>
      <c r="L59" s="1549"/>
      <c r="M59" s="3523">
        <f>ROUND(SUM(C59)-SUM(K59)+SUM(G59),0)</f>
        <v>161307133</v>
      </c>
      <c r="N59" s="640"/>
      <c r="O59" s="1594"/>
      <c r="P59" s="640"/>
      <c r="Q59" s="3523">
        <v>0</v>
      </c>
      <c r="R59" s="3523"/>
      <c r="S59" s="3523">
        <v>4031426.59</v>
      </c>
      <c r="T59" s="629"/>
      <c r="U59" s="805"/>
      <c r="V59" s="721"/>
      <c r="W59" s="722"/>
    </row>
    <row r="60" spans="1:23" ht="13.5" customHeight="1">
      <c r="C60" s="3523"/>
      <c r="D60" s="1549"/>
      <c r="E60" s="3523"/>
      <c r="F60" s="1549"/>
      <c r="G60" s="3523"/>
      <c r="H60" s="3523"/>
      <c r="I60" s="3523"/>
      <c r="J60" s="1549"/>
      <c r="K60" s="3523"/>
      <c r="L60" s="1549"/>
      <c r="M60" s="3523"/>
      <c r="N60" s="640"/>
      <c r="O60" s="1594"/>
      <c r="P60" s="640"/>
      <c r="Q60" s="3523"/>
      <c r="R60" s="3523"/>
      <c r="S60" s="3523"/>
      <c r="U60" s="631"/>
      <c r="V60" s="721"/>
      <c r="W60" s="722"/>
    </row>
    <row r="61" spans="1:23">
      <c r="A61" s="625" t="s">
        <v>413</v>
      </c>
      <c r="C61" s="3523"/>
      <c r="D61" s="1549"/>
      <c r="E61" s="3523"/>
      <c r="F61" s="1549"/>
      <c r="G61" s="3523"/>
      <c r="H61" s="3523"/>
      <c r="I61" s="3523"/>
      <c r="J61" s="1549"/>
      <c r="K61" s="3523"/>
      <c r="L61" s="1549"/>
      <c r="M61" s="3523"/>
      <c r="N61" s="640"/>
      <c r="O61" s="1594"/>
      <c r="P61" s="640"/>
      <c r="Q61" s="3523"/>
      <c r="R61" s="3523"/>
      <c r="S61" s="3523"/>
      <c r="U61" s="1836"/>
      <c r="V61" s="721"/>
      <c r="W61" s="629"/>
    </row>
    <row r="62" spans="1:23">
      <c r="A62" s="625" t="s">
        <v>410</v>
      </c>
      <c r="C62" s="3523">
        <v>2090099</v>
      </c>
      <c r="D62" s="1549"/>
      <c r="E62" s="3523">
        <v>0</v>
      </c>
      <c r="F62" s="1549"/>
      <c r="G62" s="3523">
        <v>0</v>
      </c>
      <c r="H62" s="3523"/>
      <c r="I62" s="3523">
        <v>0</v>
      </c>
      <c r="J62" s="1549"/>
      <c r="K62" s="3523">
        <v>441478</v>
      </c>
      <c r="L62" s="1549"/>
      <c r="M62" s="3523">
        <f>ROUND(SUM(C62)-SUM(K62)+SUM(G62),0)</f>
        <v>1648621</v>
      </c>
      <c r="N62" s="640"/>
      <c r="O62" s="1594"/>
      <c r="P62" s="640"/>
      <c r="Q62" s="3523">
        <v>0</v>
      </c>
      <c r="R62" s="3523"/>
      <c r="S62" s="3523">
        <v>90411.77</v>
      </c>
      <c r="T62" s="629"/>
      <c r="U62" s="805"/>
      <c r="V62" s="721"/>
      <c r="W62" s="722"/>
    </row>
    <row r="63" spans="1:23">
      <c r="A63" s="625" t="s">
        <v>414</v>
      </c>
      <c r="C63" s="3523">
        <v>0</v>
      </c>
      <c r="D63" s="1549"/>
      <c r="E63" s="3523">
        <v>0</v>
      </c>
      <c r="F63" s="1549"/>
      <c r="G63" s="3523">
        <v>0</v>
      </c>
      <c r="H63" s="3523"/>
      <c r="I63" s="3523">
        <v>0</v>
      </c>
      <c r="J63" s="1549"/>
      <c r="K63" s="1549">
        <v>0</v>
      </c>
      <c r="L63" s="1549"/>
      <c r="M63" s="3523">
        <f>ROUND(SUM(C63)-SUM(K63)+SUM(G63),2)</f>
        <v>0</v>
      </c>
      <c r="N63" s="640"/>
      <c r="O63" s="1594"/>
      <c r="P63" s="640"/>
      <c r="Q63" s="3523">
        <v>0</v>
      </c>
      <c r="R63" s="3523"/>
      <c r="S63" s="3523">
        <v>0</v>
      </c>
      <c r="T63" s="629"/>
      <c r="U63" s="805"/>
      <c r="V63" s="721"/>
      <c r="W63" s="722"/>
    </row>
    <row r="64" spans="1:23">
      <c r="B64" s="640"/>
      <c r="C64" s="3529"/>
      <c r="D64" s="1596"/>
      <c r="E64" s="3525"/>
      <c r="F64" s="1596"/>
      <c r="G64" s="3525"/>
      <c r="H64" s="3525"/>
      <c r="I64" s="3525"/>
      <c r="J64" s="3525"/>
      <c r="K64" s="3525"/>
      <c r="L64" s="3525"/>
      <c r="M64" s="3525"/>
      <c r="N64" s="640"/>
      <c r="O64" s="1594"/>
      <c r="P64" s="640"/>
      <c r="Q64" s="1597"/>
      <c r="R64" s="640"/>
      <c r="S64" s="1598"/>
      <c r="T64" s="635"/>
    </row>
    <row r="65" spans="1:23" ht="15" customHeight="1" thickBot="1">
      <c r="A65" s="627" t="s">
        <v>415</v>
      </c>
      <c r="B65" s="1599"/>
      <c r="C65" s="3526">
        <f>ROUND(SUM(C16:C63),2)</f>
        <v>2130699999</v>
      </c>
      <c r="D65" s="2152"/>
      <c r="E65" s="3526">
        <f>ROUND(SUM(E16:E64),2)</f>
        <v>0</v>
      </c>
      <c r="F65" s="2152"/>
      <c r="G65" s="3526">
        <f>ROUND(SUM(G16:G63),2)</f>
        <v>0</v>
      </c>
      <c r="H65" s="1599"/>
      <c r="I65" s="3526">
        <f>ROUND(SUM(I16:I63),2)</f>
        <v>0</v>
      </c>
      <c r="J65" s="1599"/>
      <c r="K65" s="3526">
        <f>ROUND(SUM(K16:K63),0)</f>
        <v>42605000</v>
      </c>
      <c r="L65" s="1599"/>
      <c r="M65" s="3526">
        <f>ROUND(SUM(M16:M63),2)</f>
        <v>2088094999</v>
      </c>
      <c r="N65" s="1600"/>
      <c r="O65" s="1601"/>
      <c r="P65" s="1599"/>
      <c r="Q65" s="3526">
        <f>ROUND(SUM(Q16:Q63),2)</f>
        <v>0</v>
      </c>
      <c r="R65" s="1599"/>
      <c r="S65" s="3526">
        <f>ROUND(SUM(S16:S63),0)</f>
        <v>45532905</v>
      </c>
      <c r="T65" s="1602"/>
      <c r="U65" s="2152"/>
      <c r="V65" s="776"/>
      <c r="W65" s="776"/>
    </row>
    <row r="66" spans="1:23" ht="15" customHeight="1" thickTop="1">
      <c r="A66" s="1603"/>
      <c r="B66" s="1604"/>
      <c r="C66" s="873"/>
      <c r="D66" s="1602"/>
      <c r="E66" s="1605"/>
      <c r="F66" s="1602"/>
      <c r="G66" s="1605"/>
      <c r="H66" s="1604"/>
      <c r="I66" s="1602"/>
      <c r="J66" s="1604"/>
      <c r="K66" s="1606"/>
      <c r="L66" s="1604"/>
      <c r="M66" s="873"/>
      <c r="N66" s="627"/>
      <c r="O66" s="627"/>
      <c r="P66" s="1604"/>
      <c r="Q66" s="1606"/>
      <c r="R66" s="1604"/>
      <c r="S66" s="1602"/>
      <c r="U66" s="777"/>
      <c r="V66" s="777"/>
      <c r="W66" s="777"/>
    </row>
    <row r="67" spans="1:23">
      <c r="A67" s="1607"/>
      <c r="B67" s="635"/>
      <c r="C67" s="877"/>
      <c r="D67" s="635"/>
      <c r="E67" s="635"/>
      <c r="F67" s="635"/>
      <c r="H67" s="640"/>
      <c r="I67" s="625"/>
      <c r="J67" s="640"/>
      <c r="K67" s="3895" t="s">
        <v>15</v>
      </c>
      <c r="L67" s="640"/>
      <c r="N67" s="635"/>
      <c r="P67" s="723"/>
    </row>
    <row r="68" spans="1:23">
      <c r="A68" s="723"/>
      <c r="C68" s="877"/>
      <c r="D68" s="635"/>
      <c r="E68" s="778"/>
      <c r="F68" s="635"/>
      <c r="G68" s="635"/>
      <c r="H68" s="721"/>
      <c r="I68" s="640"/>
      <c r="J68" s="721"/>
      <c r="K68" s="3521"/>
      <c r="L68" s="722"/>
      <c r="M68" s="804" t="s">
        <v>15</v>
      </c>
      <c r="O68" s="635"/>
      <c r="P68" s="722"/>
      <c r="Q68" s="1862"/>
      <c r="R68" s="629"/>
      <c r="S68" s="1862"/>
    </row>
    <row r="69" spans="1:23">
      <c r="A69" s="641"/>
      <c r="E69" s="1608"/>
      <c r="G69" s="639"/>
      <c r="I69" s="631"/>
      <c r="K69" s="631" t="s">
        <v>15</v>
      </c>
      <c r="Q69" s="629"/>
      <c r="S69" s="629"/>
      <c r="T69" s="628"/>
    </row>
    <row r="70" spans="1:23">
      <c r="E70" s="640"/>
      <c r="G70" s="640"/>
      <c r="M70" s="805"/>
      <c r="O70" s="635"/>
      <c r="Q70" s="723"/>
    </row>
    <row r="71" spans="1:23">
      <c r="D71" s="629"/>
      <c r="E71" s="630"/>
      <c r="F71" s="629"/>
      <c r="G71" s="630"/>
      <c r="I71" s="631"/>
      <c r="K71" s="631" t="s">
        <v>15</v>
      </c>
      <c r="M71" s="632"/>
      <c r="O71" s="635"/>
      <c r="Q71" s="636"/>
      <c r="S71" s="629"/>
    </row>
    <row r="72" spans="1:23">
      <c r="D72" s="629"/>
      <c r="E72" s="630"/>
      <c r="F72" s="629"/>
      <c r="G72" s="722"/>
      <c r="I72" s="631"/>
      <c r="K72" s="631"/>
      <c r="M72" s="874"/>
      <c r="O72" s="635"/>
      <c r="Q72" s="722"/>
      <c r="S72" s="629"/>
    </row>
    <row r="73" spans="1:23">
      <c r="D73" s="629"/>
      <c r="E73" s="630"/>
      <c r="F73" s="629"/>
      <c r="G73" s="720"/>
      <c r="I73" s="631"/>
      <c r="K73" s="631"/>
      <c r="M73" s="805"/>
      <c r="O73" s="635"/>
      <c r="Q73" s="775"/>
      <c r="S73" s="629"/>
    </row>
    <row r="74" spans="1:23">
      <c r="D74" s="629"/>
      <c r="E74" s="630"/>
      <c r="F74" s="629"/>
      <c r="G74" s="630"/>
      <c r="I74" s="631"/>
      <c r="K74" s="631"/>
      <c r="M74" s="632"/>
      <c r="O74" s="635"/>
      <c r="Q74" s="636"/>
      <c r="S74" s="629"/>
      <c r="T74" s="628"/>
    </row>
    <row r="75" spans="1:23">
      <c r="D75" s="629"/>
      <c r="E75" s="630"/>
      <c r="F75" s="629"/>
      <c r="G75" s="630"/>
      <c r="I75" s="631"/>
      <c r="K75" s="631"/>
      <c r="M75" s="632"/>
      <c r="O75" s="635"/>
      <c r="Q75" s="636"/>
      <c r="S75" s="629"/>
    </row>
    <row r="76" spans="1:23">
      <c r="D76" s="629"/>
      <c r="E76" s="630"/>
      <c r="F76" s="629"/>
      <c r="G76" s="722"/>
      <c r="I76" s="631"/>
      <c r="K76" s="631"/>
      <c r="M76" s="874"/>
      <c r="O76" s="635"/>
      <c r="Q76" s="722"/>
      <c r="S76" s="629"/>
    </row>
    <row r="77" spans="1:23">
      <c r="D77" s="629"/>
      <c r="E77" s="630"/>
      <c r="F77" s="629"/>
      <c r="G77" s="720"/>
      <c r="I77" s="631"/>
      <c r="K77" s="631"/>
      <c r="M77" s="805"/>
      <c r="O77" s="635"/>
      <c r="Q77" s="775"/>
      <c r="S77" s="629"/>
    </row>
    <row r="78" spans="1:23">
      <c r="B78" s="635"/>
      <c r="C78" s="877"/>
      <c r="D78" s="779"/>
      <c r="E78" s="780"/>
      <c r="F78" s="779"/>
      <c r="G78" s="780"/>
      <c r="H78" s="635"/>
      <c r="I78" s="781"/>
      <c r="J78" s="635"/>
      <c r="K78" s="781"/>
      <c r="L78" s="635"/>
      <c r="M78" s="875"/>
      <c r="N78" s="635"/>
      <c r="O78" s="635"/>
      <c r="P78" s="635"/>
      <c r="Q78" s="782"/>
      <c r="R78" s="635"/>
      <c r="S78" s="779"/>
    </row>
    <row r="79" spans="1:23">
      <c r="A79" s="635"/>
      <c r="B79" s="635"/>
      <c r="C79" s="3530"/>
      <c r="D79" s="634"/>
      <c r="E79" s="783"/>
      <c r="F79" s="634"/>
      <c r="G79" s="783"/>
      <c r="H79" s="633"/>
      <c r="I79" s="637"/>
      <c r="J79" s="633"/>
      <c r="K79" s="637"/>
      <c r="L79" s="633"/>
      <c r="M79" s="876"/>
      <c r="N79" s="633"/>
      <c r="O79" s="633"/>
      <c r="P79" s="633"/>
      <c r="Q79" s="783"/>
      <c r="R79" s="633"/>
      <c r="S79" s="634"/>
    </row>
    <row r="80" spans="1:23">
      <c r="A80" s="633"/>
      <c r="C80" s="873"/>
      <c r="D80" s="777"/>
      <c r="E80" s="777"/>
      <c r="F80" s="777"/>
      <c r="G80" s="777"/>
      <c r="H80" s="627"/>
      <c r="I80" s="774"/>
      <c r="J80" s="627"/>
      <c r="K80" s="774"/>
      <c r="L80" s="627"/>
      <c r="M80" s="873"/>
      <c r="N80" s="627"/>
      <c r="O80" s="627"/>
      <c r="P80" s="627"/>
      <c r="Q80" s="777"/>
      <c r="R80" s="627"/>
      <c r="S80" s="777"/>
    </row>
    <row r="81" spans="1:13">
      <c r="A81" s="627"/>
    </row>
    <row r="82" spans="1:13">
      <c r="C82" s="3531"/>
      <c r="D82" s="723"/>
      <c r="F82" s="723"/>
    </row>
    <row r="83" spans="1:13">
      <c r="C83" s="3532"/>
      <c r="D83" s="641"/>
      <c r="E83" s="778"/>
      <c r="F83" s="641"/>
      <c r="G83" s="778"/>
      <c r="H83" s="635"/>
      <c r="I83" s="638"/>
      <c r="J83" s="635"/>
      <c r="K83" s="638"/>
      <c r="L83" s="635"/>
      <c r="M83" s="877"/>
    </row>
    <row r="84" spans="1:13">
      <c r="E84" s="1551"/>
      <c r="G84" s="724"/>
    </row>
    <row r="85" spans="1:13">
      <c r="E85" s="1609"/>
      <c r="G85" s="639"/>
    </row>
  </sheetData>
  <mergeCells count="1">
    <mergeCell ref="E9:G9"/>
  </mergeCells>
  <pageMargins left="0.5" right="0.5" top="0.5" bottom="0.25" header="0.3" footer="0.3"/>
  <pageSetup scale="56" firstPageNumber="44" orientation="landscape" useFirstPageNumber="1" r:id="rId1"/>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8"/>
  <sheetViews>
    <sheetView showGridLines="0" zoomScale="80" zoomScaleNormal="80" workbookViewId="0"/>
  </sheetViews>
  <sheetFormatPr defaultColWidth="8.6640625" defaultRowHeight="12.75"/>
  <cols>
    <col min="1" max="1" width="3.6640625" style="1610" customWidth="1"/>
    <col min="2" max="2" width="43.6640625" style="1610" customWidth="1"/>
    <col min="3" max="3" width="2.109375" style="1610" customWidth="1"/>
    <col min="4" max="4" width="13.6640625" style="1610" customWidth="1"/>
    <col min="5" max="5" width="2.109375" style="1610" customWidth="1"/>
    <col min="6" max="6" width="24" style="1610" bestFit="1" customWidth="1"/>
    <col min="7" max="7" width="2.109375" style="1610" customWidth="1"/>
    <col min="8" max="8" width="20.109375" style="1610" customWidth="1"/>
    <col min="9" max="9" width="2.109375" style="1610" customWidth="1"/>
    <col min="10" max="10" width="17.6640625" style="1610" bestFit="1" customWidth="1"/>
    <col min="11" max="11" width="2.109375" style="1610" customWidth="1"/>
    <col min="12" max="12" width="17.6640625" style="1610" bestFit="1" customWidth="1"/>
    <col min="13" max="13" width="2.109375" style="1610" customWidth="1"/>
    <col min="14" max="14" width="19.6640625" style="1610" bestFit="1" customWidth="1"/>
    <col min="15" max="15" width="2.109375" style="1610" customWidth="1"/>
    <col min="16" max="16" width="18.44140625" style="1610" bestFit="1" customWidth="1"/>
    <col min="17" max="17" width="2.109375" style="1610" customWidth="1"/>
    <col min="18" max="18" width="19.6640625" style="1610" customWidth="1"/>
    <col min="19" max="19" width="2.109375" style="1610" customWidth="1"/>
    <col min="20" max="20" width="19.6640625" style="1610" bestFit="1" customWidth="1"/>
    <col min="21" max="21" width="2.109375" style="1610" customWidth="1"/>
    <col min="22" max="22" width="20.6640625" style="1610" bestFit="1" customWidth="1"/>
    <col min="23" max="23" width="17.109375" style="1610" customWidth="1"/>
    <col min="24" max="24" width="18.5546875" style="1610" customWidth="1"/>
    <col min="25" max="25" width="35.109375" style="1610" bestFit="1" customWidth="1"/>
    <col min="26" max="16384" width="8.6640625" style="1610"/>
  </cols>
  <sheetData>
    <row r="1" spans="1:23" ht="15">
      <c r="B1" s="937" t="s">
        <v>963</v>
      </c>
    </row>
    <row r="2" spans="1:23" ht="16.5">
      <c r="B2" s="2060"/>
      <c r="C2" s="2060"/>
      <c r="D2" s="2060"/>
      <c r="E2" s="2060"/>
      <c r="F2" s="2060"/>
      <c r="G2" s="2060"/>
      <c r="H2" s="2060"/>
      <c r="I2" s="2060"/>
      <c r="J2" s="2060"/>
      <c r="K2" s="2060"/>
      <c r="L2" s="2060"/>
      <c r="M2" s="2060"/>
      <c r="N2" s="2060"/>
      <c r="O2" s="2060"/>
      <c r="P2" s="2060"/>
      <c r="Q2" s="2060"/>
      <c r="R2" s="2060"/>
      <c r="S2" s="2060"/>
      <c r="T2" s="2060"/>
      <c r="U2" s="2060"/>
      <c r="V2" s="2060"/>
      <c r="W2" s="2061"/>
    </row>
    <row r="3" spans="1:23" ht="18">
      <c r="A3" s="1611"/>
      <c r="B3" s="2062" t="s">
        <v>0</v>
      </c>
      <c r="C3" s="2063"/>
      <c r="D3" s="2063"/>
      <c r="E3" s="2063"/>
      <c r="F3" s="2060"/>
      <c r="G3" s="2060"/>
      <c r="H3" s="2060"/>
      <c r="I3" s="2060"/>
      <c r="J3" s="2060"/>
      <c r="K3" s="2060"/>
      <c r="L3" s="2060"/>
      <c r="M3" s="2060"/>
      <c r="N3" s="2060"/>
      <c r="O3" s="2060"/>
      <c r="P3" s="2060"/>
      <c r="Q3" s="2060"/>
      <c r="R3" s="2060"/>
      <c r="S3" s="2060"/>
      <c r="T3" s="2060"/>
      <c r="U3" s="2060"/>
      <c r="V3" s="2064" t="s">
        <v>416</v>
      </c>
      <c r="W3" s="2065"/>
    </row>
    <row r="4" spans="1:23" ht="18">
      <c r="A4" s="1611"/>
      <c r="B4" s="2062" t="s">
        <v>417</v>
      </c>
      <c r="C4" s="2063"/>
      <c r="D4" s="2063"/>
      <c r="E4" s="2063"/>
      <c r="F4" s="2060"/>
      <c r="G4" s="2060"/>
      <c r="H4" s="2060"/>
      <c r="I4" s="2060"/>
      <c r="J4" s="2060"/>
      <c r="K4" s="2060"/>
      <c r="L4" s="2060"/>
      <c r="M4" s="2060"/>
      <c r="N4" s="2060"/>
      <c r="O4" s="2060"/>
      <c r="P4" s="2060"/>
      <c r="Q4" s="2060"/>
      <c r="R4" s="2060"/>
      <c r="S4" s="2060"/>
      <c r="T4" s="2060"/>
      <c r="U4" s="2060"/>
      <c r="V4" s="2066"/>
      <c r="W4" s="2061"/>
    </row>
    <row r="5" spans="1:23" ht="18">
      <c r="A5" s="1611"/>
      <c r="B5" s="2062" t="s">
        <v>418</v>
      </c>
      <c r="C5" s="2063"/>
      <c r="D5" s="2063"/>
      <c r="E5" s="2063"/>
      <c r="F5" s="2060"/>
      <c r="G5" s="2060"/>
      <c r="H5" s="2060"/>
      <c r="I5" s="2060"/>
      <c r="J5" s="2060"/>
      <c r="K5" s="2060"/>
      <c r="L5" s="2060"/>
      <c r="M5" s="2060"/>
      <c r="N5" s="2060"/>
      <c r="O5" s="2060"/>
      <c r="P5" s="2060"/>
      <c r="Q5" s="2060"/>
      <c r="R5" s="2060"/>
      <c r="S5" s="2060"/>
      <c r="T5" s="2060"/>
      <c r="U5" s="2060"/>
      <c r="V5" s="2060"/>
      <c r="W5" s="2061"/>
    </row>
    <row r="6" spans="1:23" ht="18">
      <c r="A6" s="1611"/>
      <c r="B6" s="2067" t="s">
        <v>1562</v>
      </c>
      <c r="C6" s="2068"/>
      <c r="D6" s="2063"/>
      <c r="E6" s="2063"/>
      <c r="F6" s="2060"/>
      <c r="G6" s="2060"/>
      <c r="H6" s="2060"/>
      <c r="I6" s="2060"/>
      <c r="J6" s="2060"/>
      <c r="K6" s="2060"/>
      <c r="L6" s="2060"/>
      <c r="M6" s="2060"/>
      <c r="N6" s="2060"/>
      <c r="O6" s="2060"/>
      <c r="P6" s="2060"/>
      <c r="Q6" s="2060"/>
      <c r="R6" s="2060"/>
      <c r="S6" s="2060"/>
      <c r="T6" s="2060"/>
      <c r="U6" s="2060"/>
      <c r="V6" s="2060"/>
      <c r="W6" s="2061"/>
    </row>
    <row r="7" spans="1:23" ht="16.5">
      <c r="A7" s="1611"/>
      <c r="B7" s="2069"/>
      <c r="C7" s="2069"/>
      <c r="D7" s="2063"/>
      <c r="E7" s="2063"/>
      <c r="F7" s="2060"/>
      <c r="G7" s="2060"/>
      <c r="H7" s="2060"/>
      <c r="I7" s="2060"/>
      <c r="J7" s="2060"/>
      <c r="K7" s="2060"/>
      <c r="L7" s="2060"/>
      <c r="M7" s="2060"/>
      <c r="N7" s="2060"/>
      <c r="O7" s="2060"/>
      <c r="P7" s="2060"/>
      <c r="Q7" s="2060"/>
      <c r="R7" s="2060"/>
      <c r="S7" s="2060"/>
      <c r="T7" s="2060"/>
      <c r="U7" s="2060"/>
      <c r="V7" s="2060"/>
      <c r="W7" s="2061"/>
    </row>
    <row r="8" spans="1:23" ht="5.25" customHeight="1">
      <c r="B8" s="2070"/>
      <c r="C8" s="2070"/>
      <c r="D8" s="2060"/>
      <c r="E8" s="2060"/>
      <c r="F8" s="2060"/>
      <c r="G8" s="2060"/>
      <c r="H8" s="2060"/>
      <c r="I8" s="2060"/>
      <c r="J8" s="2060"/>
      <c r="K8" s="2060"/>
      <c r="L8" s="2060"/>
      <c r="M8" s="2060"/>
      <c r="N8" s="2060"/>
      <c r="O8" s="2060"/>
      <c r="P8" s="2060"/>
      <c r="Q8" s="2060"/>
      <c r="R8" s="2060"/>
      <c r="S8" s="2060"/>
      <c r="T8" s="2060"/>
      <c r="U8" s="2060"/>
      <c r="V8" s="2060"/>
      <c r="W8" s="2061"/>
    </row>
    <row r="9" spans="1:23" ht="16.5">
      <c r="B9" s="2060"/>
      <c r="C9" s="2060"/>
      <c r="E9" s="2071"/>
      <c r="F9" s="2071"/>
      <c r="G9" s="2071"/>
      <c r="H9" s="2071"/>
      <c r="I9" s="2071"/>
      <c r="J9" s="2071" t="s">
        <v>419</v>
      </c>
      <c r="K9" s="2071"/>
      <c r="L9" s="2071"/>
      <c r="M9" s="2071"/>
      <c r="N9" s="2071"/>
      <c r="O9" s="2071"/>
      <c r="P9" s="2071"/>
      <c r="Q9" s="2071"/>
      <c r="R9" s="2060"/>
      <c r="S9" s="2060"/>
      <c r="T9" s="2060"/>
      <c r="U9" s="2060"/>
      <c r="V9" s="2060"/>
      <c r="W9" s="2061"/>
    </row>
    <row r="10" spans="1:23" ht="16.5">
      <c r="B10" s="2060"/>
      <c r="C10" s="2060"/>
      <c r="D10" s="2071" t="s">
        <v>121</v>
      </c>
      <c r="E10" s="2072"/>
      <c r="F10" s="2072" t="s">
        <v>104</v>
      </c>
      <c r="G10" s="2072"/>
      <c r="H10" s="2072" t="s">
        <v>421</v>
      </c>
      <c r="I10" s="2072"/>
      <c r="J10" s="2072" t="s">
        <v>422</v>
      </c>
      <c r="K10" s="2072"/>
      <c r="L10" s="2072" t="s">
        <v>423</v>
      </c>
      <c r="M10" s="2072"/>
      <c r="N10" s="2072" t="s">
        <v>10</v>
      </c>
      <c r="O10" s="2072"/>
      <c r="P10" s="2072" t="s">
        <v>884</v>
      </c>
      <c r="Q10" s="2072"/>
      <c r="R10" s="2060"/>
      <c r="S10" s="2060"/>
      <c r="T10" s="2060"/>
      <c r="U10" s="2060"/>
      <c r="V10" s="2060"/>
      <c r="W10" s="2061"/>
    </row>
    <row r="11" spans="1:23" ht="16.5">
      <c r="B11" s="2060"/>
      <c r="C11" s="2060"/>
      <c r="D11" s="2072" t="s">
        <v>420</v>
      </c>
      <c r="E11" s="2072"/>
      <c r="F11" s="2072" t="s">
        <v>121</v>
      </c>
      <c r="G11" s="2072"/>
      <c r="H11" s="2072" t="s">
        <v>425</v>
      </c>
      <c r="I11" s="2072"/>
      <c r="J11" s="2072" t="s">
        <v>426</v>
      </c>
      <c r="K11" s="2072"/>
      <c r="L11" s="2072" t="s">
        <v>427</v>
      </c>
      <c r="M11" s="2072"/>
      <c r="N11" s="2073" t="s">
        <v>428</v>
      </c>
      <c r="O11" s="2072"/>
      <c r="P11" s="2072" t="s">
        <v>885</v>
      </c>
      <c r="Q11" s="2072"/>
      <c r="R11" s="2075" t="s">
        <v>429</v>
      </c>
      <c r="S11" s="2075"/>
      <c r="T11" s="2075"/>
      <c r="U11" s="2060"/>
      <c r="V11" s="2060"/>
      <c r="W11" s="2061"/>
    </row>
    <row r="12" spans="1:23" ht="19.5">
      <c r="B12" s="2060"/>
      <c r="C12" s="2060"/>
      <c r="D12" s="2072" t="s">
        <v>424</v>
      </c>
      <c r="E12" s="2072"/>
      <c r="F12" s="2072" t="s">
        <v>11</v>
      </c>
      <c r="G12" s="2072"/>
      <c r="H12" s="2072" t="s">
        <v>430</v>
      </c>
      <c r="I12" s="2072"/>
      <c r="J12" s="2072" t="s">
        <v>431</v>
      </c>
      <c r="K12" s="2072"/>
      <c r="L12" s="2072" t="s">
        <v>432</v>
      </c>
      <c r="M12" s="2072"/>
      <c r="N12" s="2073" t="s">
        <v>1537</v>
      </c>
      <c r="O12" s="2073"/>
      <c r="P12" s="2072" t="s">
        <v>431</v>
      </c>
      <c r="Q12" s="2072"/>
      <c r="R12" s="2074" t="s">
        <v>1563</v>
      </c>
      <c r="S12" s="2074"/>
      <c r="T12" s="2074"/>
      <c r="U12" s="2060"/>
      <c r="V12" s="2071" t="s">
        <v>886</v>
      </c>
      <c r="W12" s="2076"/>
    </row>
    <row r="13" spans="1:23" ht="16.5">
      <c r="A13" s="1612"/>
      <c r="B13" s="2077" t="s">
        <v>440</v>
      </c>
      <c r="C13" s="2078"/>
      <c r="D13" s="2079" t="s">
        <v>433</v>
      </c>
      <c r="E13" s="2076"/>
      <c r="F13" s="2079" t="s">
        <v>434</v>
      </c>
      <c r="G13" s="2076"/>
      <c r="H13" s="2080" t="s">
        <v>435</v>
      </c>
      <c r="I13" s="2076"/>
      <c r="J13" s="2080" t="s">
        <v>436</v>
      </c>
      <c r="K13" s="2076"/>
      <c r="L13" s="2080" t="s">
        <v>437</v>
      </c>
      <c r="M13" s="2076"/>
      <c r="N13" s="2081" t="s">
        <v>438</v>
      </c>
      <c r="O13" s="2076"/>
      <c r="P13" s="2081" t="s">
        <v>887</v>
      </c>
      <c r="Q13" s="2076"/>
      <c r="R13" s="2082">
        <v>2021</v>
      </c>
      <c r="S13" s="2082"/>
      <c r="T13" s="2082">
        <v>2020</v>
      </c>
      <c r="U13" s="2076"/>
      <c r="V13" s="2083" t="s">
        <v>439</v>
      </c>
      <c r="W13" s="2076"/>
    </row>
    <row r="14" spans="1:23" ht="16.5">
      <c r="B14" s="2078" t="s">
        <v>441</v>
      </c>
      <c r="C14" s="2078"/>
      <c r="D14" s="2084"/>
      <c r="E14" s="2084"/>
      <c r="F14" s="2085"/>
      <c r="G14" s="2085"/>
      <c r="H14" s="2086"/>
      <c r="I14" s="2086"/>
      <c r="J14" s="2086"/>
      <c r="K14" s="2086"/>
      <c r="L14" s="2086"/>
      <c r="M14" s="2086"/>
      <c r="N14" s="2084"/>
      <c r="O14" s="2084"/>
      <c r="P14" s="2084"/>
      <c r="Q14" s="2084"/>
      <c r="R14" s="2086"/>
      <c r="S14" s="2086"/>
      <c r="T14" s="2087"/>
      <c r="U14" s="2087"/>
      <c r="V14" s="2088"/>
      <c r="W14" s="2061"/>
    </row>
    <row r="15" spans="1:23" ht="16.5">
      <c r="A15" s="1613"/>
      <c r="B15" s="2070" t="s">
        <v>442</v>
      </c>
      <c r="C15" s="2070"/>
      <c r="D15" s="2089">
        <v>0</v>
      </c>
      <c r="E15" s="2089"/>
      <c r="F15" s="2089">
        <v>7115904</v>
      </c>
      <c r="G15" s="2090"/>
      <c r="H15" s="2089">
        <v>0</v>
      </c>
      <c r="I15" s="2090"/>
      <c r="J15" s="2089">
        <v>0</v>
      </c>
      <c r="K15" s="2090"/>
      <c r="L15" s="2089">
        <v>0</v>
      </c>
      <c r="M15" s="2090"/>
      <c r="N15" s="2089">
        <v>0</v>
      </c>
      <c r="O15" s="2090"/>
      <c r="P15" s="2089">
        <v>0</v>
      </c>
      <c r="Q15" s="2090"/>
      <c r="R15" s="2089">
        <f>ROUND(SUM(D15:Q15),0)</f>
        <v>7115904</v>
      </c>
      <c r="S15" s="2089"/>
      <c r="T15" s="3508">
        <v>71889337</v>
      </c>
      <c r="U15" s="2090"/>
      <c r="V15" s="2091">
        <f>ROUND(R15-T15,0)</f>
        <v>-64773433</v>
      </c>
      <c r="W15" s="2089"/>
    </row>
    <row r="16" spans="1:23" ht="16.5">
      <c r="A16" s="1613"/>
      <c r="B16" s="2060" t="s">
        <v>443</v>
      </c>
      <c r="C16" s="2060"/>
      <c r="D16" s="2092"/>
      <c r="E16" s="2092"/>
      <c r="F16" s="2092"/>
      <c r="G16" s="2092"/>
      <c r="H16" s="2092"/>
      <c r="I16" s="2092"/>
      <c r="J16" s="2092"/>
      <c r="K16" s="2090"/>
      <c r="L16" s="2092"/>
      <c r="M16" s="2093"/>
      <c r="N16" s="2092"/>
      <c r="O16" s="2093"/>
      <c r="P16" s="2092"/>
      <c r="Q16" s="2093"/>
      <c r="R16" s="2093"/>
      <c r="S16" s="2093"/>
      <c r="T16" s="3509"/>
      <c r="U16" s="2093"/>
      <c r="V16" s="2094"/>
      <c r="W16" s="2089"/>
    </row>
    <row r="17" spans="1:23" ht="16.5">
      <c r="A17" s="1613"/>
      <c r="B17" s="2060" t="s">
        <v>1232</v>
      </c>
      <c r="C17" s="2060"/>
      <c r="D17" s="2092">
        <v>0</v>
      </c>
      <c r="E17" s="2092">
        <v>0</v>
      </c>
      <c r="F17" s="2092">
        <v>0</v>
      </c>
      <c r="G17" s="2092">
        <v>0</v>
      </c>
      <c r="H17" s="2092">
        <v>0</v>
      </c>
      <c r="I17" s="2092">
        <v>0</v>
      </c>
      <c r="J17" s="2092">
        <v>0</v>
      </c>
      <c r="K17" s="2092">
        <v>0</v>
      </c>
      <c r="L17" s="2092">
        <v>0</v>
      </c>
      <c r="M17" s="2092"/>
      <c r="N17" s="2092">
        <v>0</v>
      </c>
      <c r="O17" s="2092">
        <v>0</v>
      </c>
      <c r="P17" s="2092">
        <v>0</v>
      </c>
      <c r="Q17" s="2092">
        <v>0</v>
      </c>
      <c r="R17" s="2093">
        <f>ROUND(SUM(D17:Q17),0)</f>
        <v>0</v>
      </c>
      <c r="S17" s="2093"/>
      <c r="T17" s="3510">
        <v>54551063</v>
      </c>
      <c r="U17" s="2095"/>
      <c r="V17" s="2095">
        <f t="shared" ref="V17:V26" si="0">SUM(R17-T17,0)</f>
        <v>-54551063</v>
      </c>
      <c r="W17" s="2089"/>
    </row>
    <row r="18" spans="1:23" ht="16.5">
      <c r="A18" s="1613"/>
      <c r="B18" s="2060" t="s">
        <v>1233</v>
      </c>
      <c r="C18" s="2060"/>
      <c r="D18" s="2092">
        <v>0</v>
      </c>
      <c r="E18" s="2092">
        <v>0</v>
      </c>
      <c r="F18" s="2092">
        <v>0</v>
      </c>
      <c r="G18" s="2092">
        <v>0</v>
      </c>
      <c r="H18" s="2092">
        <v>0</v>
      </c>
      <c r="I18" s="2092">
        <v>0</v>
      </c>
      <c r="J18" s="2092">
        <v>0</v>
      </c>
      <c r="K18" s="2092">
        <v>0</v>
      </c>
      <c r="L18" s="2092">
        <v>0</v>
      </c>
      <c r="M18" s="2092"/>
      <c r="N18" s="2092">
        <v>1737463049</v>
      </c>
      <c r="O18" s="2092"/>
      <c r="P18" s="2092">
        <v>223441555</v>
      </c>
      <c r="Q18" s="2092">
        <v>0</v>
      </c>
      <c r="R18" s="2093">
        <f t="shared" ref="R18:R26" si="1">ROUND(SUM(D18:Q18),0)</f>
        <v>1960904604</v>
      </c>
      <c r="S18" s="2093"/>
      <c r="T18" s="2092">
        <v>542837785</v>
      </c>
      <c r="U18" s="2095"/>
      <c r="V18" s="2095">
        <f t="shared" si="0"/>
        <v>1418066819</v>
      </c>
      <c r="W18" s="2089"/>
    </row>
    <row r="19" spans="1:23" ht="16.5">
      <c r="A19" s="1613"/>
      <c r="B19" s="2060" t="s">
        <v>444</v>
      </c>
      <c r="C19" s="2060"/>
      <c r="D19" s="2092">
        <v>0</v>
      </c>
      <c r="E19" s="2092">
        <v>0</v>
      </c>
      <c r="F19" s="2092">
        <v>0</v>
      </c>
      <c r="G19" s="2092">
        <v>0</v>
      </c>
      <c r="H19" s="2092">
        <v>25467940</v>
      </c>
      <c r="I19" s="2092">
        <v>0</v>
      </c>
      <c r="J19" s="2092">
        <v>0</v>
      </c>
      <c r="K19" s="2092">
        <v>0</v>
      </c>
      <c r="L19" s="2092">
        <v>0</v>
      </c>
      <c r="M19" s="2092"/>
      <c r="N19" s="2092">
        <v>0</v>
      </c>
      <c r="O19" s="2092"/>
      <c r="P19" s="2092">
        <v>0</v>
      </c>
      <c r="Q19" s="2092">
        <v>0</v>
      </c>
      <c r="R19" s="2093">
        <f>ROUND(SUM(D19:Q19),0)</f>
        <v>25467940</v>
      </c>
      <c r="S19" s="2093"/>
      <c r="T19" s="2092">
        <v>26157902</v>
      </c>
      <c r="U19" s="2095"/>
      <c r="V19" s="2095">
        <f t="shared" si="0"/>
        <v>-689962</v>
      </c>
      <c r="W19" s="2089"/>
    </row>
    <row r="20" spans="1:23" ht="16.5">
      <c r="A20" s="1613"/>
      <c r="B20" s="2060" t="s">
        <v>981</v>
      </c>
      <c r="C20" s="2060"/>
      <c r="D20" s="2092">
        <v>0</v>
      </c>
      <c r="E20" s="2092">
        <v>0</v>
      </c>
      <c r="F20" s="2092">
        <v>0</v>
      </c>
      <c r="G20" s="2092">
        <v>0</v>
      </c>
      <c r="H20" s="2092">
        <v>0</v>
      </c>
      <c r="I20" s="2092">
        <v>0</v>
      </c>
      <c r="J20" s="2092">
        <v>0</v>
      </c>
      <c r="K20" s="2092">
        <v>0</v>
      </c>
      <c r="L20" s="2092">
        <v>8334210</v>
      </c>
      <c r="M20" s="2092"/>
      <c r="N20" s="2092">
        <v>0</v>
      </c>
      <c r="O20" s="2092"/>
      <c r="P20" s="2092">
        <v>0</v>
      </c>
      <c r="Q20" s="2092">
        <v>0</v>
      </c>
      <c r="R20" s="2093">
        <f>ROUND(SUM(D20:Q20),0)</f>
        <v>8334210</v>
      </c>
      <c r="S20" s="2093"/>
      <c r="T20" s="2092">
        <v>7095959</v>
      </c>
      <c r="U20" s="2096"/>
      <c r="V20" s="2095">
        <f t="shared" si="0"/>
        <v>1238251</v>
      </c>
      <c r="W20" s="2089"/>
    </row>
    <row r="21" spans="1:23" ht="16.5">
      <c r="A21" s="1613"/>
      <c r="B21" s="2060" t="s">
        <v>832</v>
      </c>
      <c r="C21" s="2060"/>
      <c r="D21" s="2092">
        <v>0</v>
      </c>
      <c r="E21" s="2092">
        <v>0</v>
      </c>
      <c r="F21" s="2092">
        <v>2495165</v>
      </c>
      <c r="G21" s="2092">
        <v>0</v>
      </c>
      <c r="H21" s="2092">
        <v>0</v>
      </c>
      <c r="I21" s="2092">
        <v>0</v>
      </c>
      <c r="J21" s="2092">
        <v>0</v>
      </c>
      <c r="K21" s="2092">
        <v>0</v>
      </c>
      <c r="L21" s="2092">
        <v>0</v>
      </c>
      <c r="M21" s="2092"/>
      <c r="N21" s="2092">
        <v>0</v>
      </c>
      <c r="O21" s="2092"/>
      <c r="P21" s="2092">
        <v>0</v>
      </c>
      <c r="Q21" s="2092">
        <v>0</v>
      </c>
      <c r="R21" s="2093">
        <f t="shared" si="1"/>
        <v>2495165</v>
      </c>
      <c r="S21" s="2093"/>
      <c r="T21" s="2092">
        <v>3829093</v>
      </c>
      <c r="U21" s="2096"/>
      <c r="V21" s="2095">
        <f t="shared" si="0"/>
        <v>-1333928</v>
      </c>
      <c r="W21" s="2089"/>
    </row>
    <row r="22" spans="1:23" ht="16.5">
      <c r="A22" s="1613"/>
      <c r="B22" s="2060" t="s">
        <v>1234</v>
      </c>
      <c r="C22" s="2060"/>
      <c r="D22" s="2092">
        <v>0</v>
      </c>
      <c r="E22" s="2092">
        <v>0</v>
      </c>
      <c r="F22" s="2092">
        <v>8347200</v>
      </c>
      <c r="G22" s="2092">
        <v>0</v>
      </c>
      <c r="H22" s="2092">
        <v>0</v>
      </c>
      <c r="I22" s="2092">
        <v>0</v>
      </c>
      <c r="J22" s="2092">
        <v>0</v>
      </c>
      <c r="K22" s="2092">
        <v>0</v>
      </c>
      <c r="L22" s="2092">
        <v>0</v>
      </c>
      <c r="M22" s="2092"/>
      <c r="N22" s="2092">
        <v>0</v>
      </c>
      <c r="O22" s="2092"/>
      <c r="P22" s="2092">
        <v>0</v>
      </c>
      <c r="Q22" s="2092">
        <v>0</v>
      </c>
      <c r="R22" s="2093">
        <f t="shared" si="1"/>
        <v>8347200</v>
      </c>
      <c r="S22" s="2093"/>
      <c r="T22" s="2092">
        <v>5928700</v>
      </c>
      <c r="U22" s="2095"/>
      <c r="V22" s="2095">
        <f t="shared" si="0"/>
        <v>2418500</v>
      </c>
      <c r="W22" s="2089"/>
    </row>
    <row r="23" spans="1:23" ht="16.5">
      <c r="A23" s="1613"/>
      <c r="B23" s="2060" t="s">
        <v>1235</v>
      </c>
      <c r="C23" s="2060"/>
      <c r="D23" s="2092">
        <v>0</v>
      </c>
      <c r="E23" s="2092">
        <v>0</v>
      </c>
      <c r="F23" s="2092">
        <v>25819812</v>
      </c>
      <c r="G23" s="2092">
        <v>0</v>
      </c>
      <c r="H23" s="2092">
        <v>0</v>
      </c>
      <c r="I23" s="2092">
        <v>0</v>
      </c>
      <c r="J23" s="2092">
        <v>0</v>
      </c>
      <c r="K23" s="2092">
        <v>0</v>
      </c>
      <c r="L23" s="2092">
        <v>0</v>
      </c>
      <c r="M23" s="2092"/>
      <c r="N23" s="2092">
        <v>0</v>
      </c>
      <c r="O23" s="2092"/>
      <c r="P23" s="2092">
        <v>0</v>
      </c>
      <c r="Q23" s="2092">
        <v>0</v>
      </c>
      <c r="R23" s="2093">
        <f t="shared" si="1"/>
        <v>25819812</v>
      </c>
      <c r="S23" s="2093"/>
      <c r="T23" s="2092">
        <v>18022938</v>
      </c>
      <c r="U23" s="2095"/>
      <c r="V23" s="2095">
        <f t="shared" si="0"/>
        <v>7796874</v>
      </c>
      <c r="W23" s="2089"/>
    </row>
    <row r="24" spans="1:23" ht="16.5">
      <c r="A24" s="1613"/>
      <c r="B24" s="2060" t="s">
        <v>445</v>
      </c>
      <c r="C24" s="2060"/>
      <c r="D24" s="2092">
        <v>0</v>
      </c>
      <c r="E24" s="2092">
        <v>0</v>
      </c>
      <c r="F24" s="2092">
        <v>0</v>
      </c>
      <c r="G24" s="2092">
        <v>0</v>
      </c>
      <c r="H24" s="2092">
        <v>0</v>
      </c>
      <c r="I24" s="2092">
        <v>0</v>
      </c>
      <c r="J24" s="2092">
        <v>0</v>
      </c>
      <c r="K24" s="2092">
        <v>0</v>
      </c>
      <c r="L24" s="2092">
        <v>0</v>
      </c>
      <c r="M24" s="2092"/>
      <c r="N24" s="2092">
        <v>17266263</v>
      </c>
      <c r="O24" s="2092"/>
      <c r="P24" s="2092">
        <v>0</v>
      </c>
      <c r="Q24" s="2092">
        <v>0</v>
      </c>
      <c r="R24" s="2093">
        <f t="shared" si="1"/>
        <v>17266263</v>
      </c>
      <c r="S24" s="2093"/>
      <c r="T24" s="3510">
        <v>17269722</v>
      </c>
      <c r="U24" s="2095"/>
      <c r="V24" s="2095">
        <f t="shared" si="0"/>
        <v>-3459</v>
      </c>
      <c r="W24" s="2089"/>
    </row>
    <row r="25" spans="1:23" ht="16.5">
      <c r="A25" s="1613"/>
      <c r="B25" s="2060" t="s">
        <v>446</v>
      </c>
      <c r="C25" s="2060"/>
      <c r="D25" s="2092">
        <v>0</v>
      </c>
      <c r="E25" s="2092">
        <v>0</v>
      </c>
      <c r="F25" s="2092">
        <v>15828552</v>
      </c>
      <c r="G25" s="2092">
        <v>0</v>
      </c>
      <c r="H25" s="2092">
        <v>0</v>
      </c>
      <c r="I25" s="2092">
        <v>0</v>
      </c>
      <c r="J25" s="2092">
        <v>0</v>
      </c>
      <c r="K25" s="2092">
        <v>0</v>
      </c>
      <c r="L25" s="2092">
        <v>0</v>
      </c>
      <c r="M25" s="2092"/>
      <c r="N25" s="2092">
        <v>0</v>
      </c>
      <c r="O25" s="2092"/>
      <c r="P25" s="2092">
        <v>0</v>
      </c>
      <c r="Q25" s="2092">
        <v>0</v>
      </c>
      <c r="R25" s="2093">
        <f t="shared" si="1"/>
        <v>15828552</v>
      </c>
      <c r="S25" s="2093"/>
      <c r="T25" s="3510">
        <v>17642733</v>
      </c>
      <c r="U25" s="2095"/>
      <c r="V25" s="2095">
        <f t="shared" si="0"/>
        <v>-1814181</v>
      </c>
      <c r="W25" s="2089"/>
    </row>
    <row r="26" spans="1:23" ht="16.5">
      <c r="A26" s="1613"/>
      <c r="B26" s="2060" t="s">
        <v>1236</v>
      </c>
      <c r="C26" s="2060"/>
      <c r="D26" s="2092">
        <v>0</v>
      </c>
      <c r="E26" s="2092">
        <v>0</v>
      </c>
      <c r="F26" s="2092">
        <v>0</v>
      </c>
      <c r="G26" s="2092">
        <v>0</v>
      </c>
      <c r="H26" s="2092">
        <v>0</v>
      </c>
      <c r="I26" s="2092">
        <v>0</v>
      </c>
      <c r="J26" s="2092">
        <v>0</v>
      </c>
      <c r="K26" s="2092">
        <v>0</v>
      </c>
      <c r="L26" s="2092">
        <v>0</v>
      </c>
      <c r="M26" s="2092"/>
      <c r="N26" s="2092">
        <v>0</v>
      </c>
      <c r="O26" s="2092"/>
      <c r="P26" s="2092">
        <v>0</v>
      </c>
      <c r="Q26" s="2092">
        <v>0</v>
      </c>
      <c r="R26" s="2093">
        <f t="shared" si="1"/>
        <v>0</v>
      </c>
      <c r="S26" s="2093"/>
      <c r="T26" s="3510">
        <v>21302971</v>
      </c>
      <c r="U26" s="2095"/>
      <c r="V26" s="2095">
        <f t="shared" si="0"/>
        <v>-21302971</v>
      </c>
      <c r="W26" s="2089"/>
    </row>
    <row r="27" spans="1:23" ht="16.5">
      <c r="A27" s="1613"/>
      <c r="B27" s="2060" t="s">
        <v>447</v>
      </c>
      <c r="C27" s="2060"/>
      <c r="D27" s="2097"/>
      <c r="E27" s="2097"/>
      <c r="F27" s="2097"/>
      <c r="G27" s="2097"/>
      <c r="H27" s="2097"/>
      <c r="I27" s="2097"/>
      <c r="J27" s="2097"/>
      <c r="K27" s="2097"/>
      <c r="L27" s="2097"/>
      <c r="M27" s="2097"/>
      <c r="N27" s="2097"/>
      <c r="O27" s="2097"/>
      <c r="P27" s="2097"/>
      <c r="Q27" s="2097"/>
      <c r="R27" s="2093"/>
      <c r="S27" s="2093"/>
      <c r="T27" s="3510"/>
      <c r="U27" s="2095"/>
      <c r="V27" s="2093"/>
      <c r="W27" s="2089"/>
    </row>
    <row r="28" spans="1:23" ht="16.5">
      <c r="A28" s="1613"/>
      <c r="B28" s="2060" t="s">
        <v>448</v>
      </c>
      <c r="C28" s="2060"/>
      <c r="D28" s="2092">
        <v>0</v>
      </c>
      <c r="E28" s="2092">
        <v>0</v>
      </c>
      <c r="F28" s="2092">
        <v>0</v>
      </c>
      <c r="G28" s="2092">
        <v>0</v>
      </c>
      <c r="H28" s="2092">
        <v>0</v>
      </c>
      <c r="I28" s="2092">
        <v>0</v>
      </c>
      <c r="J28" s="2092">
        <v>0</v>
      </c>
      <c r="K28" s="2092">
        <v>0</v>
      </c>
      <c r="L28" s="2092">
        <v>0</v>
      </c>
      <c r="M28" s="2092"/>
      <c r="N28" s="2092">
        <v>0</v>
      </c>
      <c r="O28" s="2092"/>
      <c r="P28" s="2092">
        <v>0</v>
      </c>
      <c r="Q28" s="2092">
        <v>0</v>
      </c>
      <c r="R28" s="2093">
        <f>ROUND(SUM(D28:Q28),0)</f>
        <v>0</v>
      </c>
      <c r="S28" s="2093"/>
      <c r="T28" s="3510">
        <v>0</v>
      </c>
      <c r="U28" s="2095"/>
      <c r="V28" s="2095">
        <f>SUM(R28-T28,0)</f>
        <v>0</v>
      </c>
      <c r="W28" s="2089"/>
    </row>
    <row r="29" spans="1:23" ht="16.5">
      <c r="A29" s="1613"/>
      <c r="B29" s="2060" t="s">
        <v>938</v>
      </c>
      <c r="C29" s="2060"/>
      <c r="D29" s="2092"/>
      <c r="E29" s="2092"/>
      <c r="F29" s="2092"/>
      <c r="G29" s="2093"/>
      <c r="H29" s="2092"/>
      <c r="I29" s="2092"/>
      <c r="J29" s="2092"/>
      <c r="K29" s="2093"/>
      <c r="L29" s="2092"/>
      <c r="M29" s="2093"/>
      <c r="N29" s="2092"/>
      <c r="O29" s="2093"/>
      <c r="P29" s="2092"/>
      <c r="Q29" s="2093"/>
      <c r="R29" s="2093"/>
      <c r="S29" s="2093"/>
      <c r="T29" s="3510"/>
      <c r="U29" s="2095"/>
      <c r="V29" s="2093"/>
      <c r="W29" s="2089"/>
    </row>
    <row r="30" spans="1:23" ht="17.100000000000001" customHeight="1">
      <c r="A30" s="1613"/>
      <c r="B30" s="2060" t="s">
        <v>937</v>
      </c>
      <c r="C30" s="2060"/>
      <c r="D30" s="2092">
        <v>0</v>
      </c>
      <c r="E30" s="2092"/>
      <c r="F30" s="2092">
        <v>102143862</v>
      </c>
      <c r="G30" s="2093"/>
      <c r="H30" s="2092">
        <v>0</v>
      </c>
      <c r="I30" s="2092"/>
      <c r="J30" s="2092">
        <v>0</v>
      </c>
      <c r="K30" s="2093"/>
      <c r="L30" s="2092">
        <v>0</v>
      </c>
      <c r="M30" s="2093"/>
      <c r="N30" s="2092">
        <v>0</v>
      </c>
      <c r="O30" s="2093"/>
      <c r="P30" s="2092">
        <v>0</v>
      </c>
      <c r="Q30" s="2093"/>
      <c r="R30" s="2093">
        <f>ROUND(SUM(D30:Q30),0)</f>
        <v>102143862</v>
      </c>
      <c r="S30" s="2093"/>
      <c r="T30" s="3544">
        <v>442238607</v>
      </c>
      <c r="U30" s="2095"/>
      <c r="V30" s="2095">
        <f t="shared" ref="V30:V41" si="2">SUM(R30-T30,0)</f>
        <v>-340094745</v>
      </c>
      <c r="W30" s="2089"/>
    </row>
    <row r="31" spans="1:23" ht="16.5">
      <c r="A31" s="1613"/>
      <c r="B31" s="2060" t="s">
        <v>936</v>
      </c>
      <c r="C31" s="2060"/>
      <c r="D31" s="2092">
        <v>0</v>
      </c>
      <c r="E31" s="2092">
        <v>0</v>
      </c>
      <c r="F31" s="2092">
        <v>0</v>
      </c>
      <c r="G31" s="2092">
        <v>0</v>
      </c>
      <c r="H31" s="2092">
        <v>0</v>
      </c>
      <c r="I31" s="2092">
        <v>0</v>
      </c>
      <c r="J31" s="2092">
        <v>0</v>
      </c>
      <c r="K31" s="2092">
        <v>0</v>
      </c>
      <c r="L31" s="2092">
        <v>0</v>
      </c>
      <c r="M31" s="2092"/>
      <c r="N31" s="2092">
        <v>0</v>
      </c>
      <c r="O31" s="2092"/>
      <c r="P31" s="2092">
        <v>0</v>
      </c>
      <c r="Q31" s="2092">
        <v>0</v>
      </c>
      <c r="R31" s="2093">
        <f>ROUND(SUM(D31:Q31),0)</f>
        <v>0</v>
      </c>
      <c r="S31" s="2093"/>
      <c r="T31" s="2092">
        <v>21772000</v>
      </c>
      <c r="U31" s="2095"/>
      <c r="V31" s="2095">
        <f t="shared" si="2"/>
        <v>-21772000</v>
      </c>
      <c r="W31" s="2089"/>
    </row>
    <row r="32" spans="1:23" ht="16.5">
      <c r="A32" s="1613"/>
      <c r="B32" s="2060" t="s">
        <v>888</v>
      </c>
      <c r="C32" s="2060"/>
      <c r="D32" s="2092">
        <v>0</v>
      </c>
      <c r="E32" s="2092">
        <v>0</v>
      </c>
      <c r="F32" s="2092">
        <v>0</v>
      </c>
      <c r="G32" s="2092">
        <v>0</v>
      </c>
      <c r="H32" s="2092">
        <v>0</v>
      </c>
      <c r="I32" s="2092">
        <v>0</v>
      </c>
      <c r="J32" s="2092">
        <v>0</v>
      </c>
      <c r="K32" s="2092">
        <v>0</v>
      </c>
      <c r="L32" s="2092">
        <v>0</v>
      </c>
      <c r="M32" s="2092"/>
      <c r="N32" s="2092">
        <v>17821175</v>
      </c>
      <c r="O32" s="2092"/>
      <c r="P32" s="2092">
        <v>0</v>
      </c>
      <c r="Q32" s="2092">
        <v>0</v>
      </c>
      <c r="R32" s="2093">
        <f>ROUND(SUM(D32:Q32),0)</f>
        <v>17821175</v>
      </c>
      <c r="S32" s="2093"/>
      <c r="T32" s="2092">
        <v>27320113</v>
      </c>
      <c r="U32" s="2095"/>
      <c r="V32" s="2095">
        <f t="shared" si="2"/>
        <v>-9498938</v>
      </c>
      <c r="W32" s="2089"/>
    </row>
    <row r="33" spans="1:25" ht="16.5">
      <c r="A33" s="1613"/>
      <c r="B33" s="2060" t="s">
        <v>449</v>
      </c>
      <c r="C33" s="2060"/>
      <c r="D33" s="2092"/>
      <c r="E33" s="2092"/>
      <c r="F33" s="2092"/>
      <c r="G33" s="2092"/>
      <c r="H33" s="2092"/>
      <c r="I33" s="2092"/>
      <c r="J33" s="2092"/>
      <c r="K33" s="2092"/>
      <c r="L33" s="2092"/>
      <c r="M33" s="2092"/>
      <c r="N33" s="2092"/>
      <c r="O33" s="2092"/>
      <c r="P33" s="2092"/>
      <c r="Q33" s="2092"/>
      <c r="R33" s="2093"/>
      <c r="S33" s="2093"/>
      <c r="T33" s="3510"/>
      <c r="U33" s="2095"/>
      <c r="V33" s="2093"/>
      <c r="W33" s="2089"/>
    </row>
    <row r="34" spans="1:25" ht="16.5">
      <c r="A34" s="1613"/>
      <c r="B34" s="2060" t="s">
        <v>450</v>
      </c>
      <c r="C34" s="2060"/>
      <c r="D34" s="2092">
        <v>0</v>
      </c>
      <c r="E34" s="2092">
        <v>0</v>
      </c>
      <c r="F34" s="2092">
        <v>0</v>
      </c>
      <c r="G34" s="2092">
        <v>0</v>
      </c>
      <c r="H34" s="2092">
        <v>0</v>
      </c>
      <c r="I34" s="2092">
        <v>0</v>
      </c>
      <c r="J34" s="2092">
        <v>0</v>
      </c>
      <c r="K34" s="2092">
        <v>0</v>
      </c>
      <c r="L34" s="2092">
        <v>0</v>
      </c>
      <c r="M34" s="2092"/>
      <c r="N34" s="2092">
        <v>0</v>
      </c>
      <c r="O34" s="2092"/>
      <c r="P34" s="2092">
        <v>0</v>
      </c>
      <c r="Q34" s="2092">
        <v>0</v>
      </c>
      <c r="R34" s="2093">
        <f t="shared" ref="R34:R39" si="3">ROUND(SUM(D34:Q34),0)</f>
        <v>0</v>
      </c>
      <c r="S34" s="2093"/>
      <c r="T34" s="2092">
        <v>448350</v>
      </c>
      <c r="U34" s="2096"/>
      <c r="V34" s="2095">
        <f t="shared" si="2"/>
        <v>-448350</v>
      </c>
      <c r="W34" s="2089"/>
    </row>
    <row r="35" spans="1:25" ht="16.5">
      <c r="A35" s="1613"/>
      <c r="B35" s="2098" t="s">
        <v>451</v>
      </c>
      <c r="C35" s="2099"/>
      <c r="D35" s="2092">
        <v>0</v>
      </c>
      <c r="E35" s="2092">
        <v>0</v>
      </c>
      <c r="F35" s="2092">
        <v>0</v>
      </c>
      <c r="G35" s="2092">
        <v>0</v>
      </c>
      <c r="H35" s="2092">
        <v>0</v>
      </c>
      <c r="I35" s="2092">
        <v>0</v>
      </c>
      <c r="J35" s="2092">
        <v>0</v>
      </c>
      <c r="K35" s="2092">
        <v>0</v>
      </c>
      <c r="L35" s="2092">
        <v>0</v>
      </c>
      <c r="M35" s="2092"/>
      <c r="N35" s="2092">
        <v>0</v>
      </c>
      <c r="O35" s="2092"/>
      <c r="P35" s="2092">
        <v>0</v>
      </c>
      <c r="Q35" s="2092">
        <v>0</v>
      </c>
      <c r="R35" s="2093">
        <f t="shared" si="3"/>
        <v>0</v>
      </c>
      <c r="S35" s="2093"/>
      <c r="T35" s="2092">
        <v>0</v>
      </c>
      <c r="U35" s="2096"/>
      <c r="V35" s="2095">
        <f t="shared" si="2"/>
        <v>0</v>
      </c>
      <c r="W35" s="2089"/>
    </row>
    <row r="36" spans="1:25" ht="16.5">
      <c r="A36" s="1613"/>
      <c r="B36" s="2060" t="s">
        <v>1232</v>
      </c>
      <c r="C36" s="2060"/>
      <c r="D36" s="2092">
        <v>0</v>
      </c>
      <c r="E36" s="2092">
        <v>0</v>
      </c>
      <c r="F36" s="2092">
        <v>23405116</v>
      </c>
      <c r="G36" s="2092">
        <v>0</v>
      </c>
      <c r="H36" s="2092">
        <v>0</v>
      </c>
      <c r="I36" s="2092">
        <v>0</v>
      </c>
      <c r="J36" s="2092">
        <v>0</v>
      </c>
      <c r="K36" s="2092">
        <v>0</v>
      </c>
      <c r="L36" s="2092">
        <v>0</v>
      </c>
      <c r="M36" s="2092"/>
      <c r="N36" s="2092">
        <v>0</v>
      </c>
      <c r="O36" s="2092"/>
      <c r="P36" s="2092">
        <v>0</v>
      </c>
      <c r="Q36" s="2092">
        <v>0</v>
      </c>
      <c r="R36" s="2093">
        <f t="shared" si="3"/>
        <v>23405116</v>
      </c>
      <c r="S36" s="2093"/>
      <c r="T36" s="2092">
        <v>78840807</v>
      </c>
      <c r="U36" s="2096"/>
      <c r="V36" s="2095">
        <f t="shared" si="2"/>
        <v>-55435691</v>
      </c>
      <c r="W36" s="2089"/>
    </row>
    <row r="37" spans="1:25" ht="16.5">
      <c r="A37" s="1613"/>
      <c r="B37" s="2098" t="s">
        <v>452</v>
      </c>
      <c r="C37" s="2099"/>
      <c r="D37" s="2092">
        <v>0</v>
      </c>
      <c r="E37" s="2092">
        <v>0</v>
      </c>
      <c r="F37" s="2092">
        <v>0</v>
      </c>
      <c r="G37" s="2092">
        <v>0</v>
      </c>
      <c r="H37" s="2092">
        <v>0</v>
      </c>
      <c r="I37" s="2092">
        <v>0</v>
      </c>
      <c r="J37" s="2092">
        <v>0</v>
      </c>
      <c r="K37" s="2092">
        <v>0</v>
      </c>
      <c r="L37" s="2092">
        <v>0</v>
      </c>
      <c r="M37" s="2092"/>
      <c r="N37" s="2092">
        <v>0</v>
      </c>
      <c r="O37" s="2092"/>
      <c r="P37" s="2092">
        <v>0</v>
      </c>
      <c r="Q37" s="2092">
        <v>0</v>
      </c>
      <c r="R37" s="2093">
        <f t="shared" si="3"/>
        <v>0</v>
      </c>
      <c r="S37" s="2093"/>
      <c r="T37" s="2092">
        <v>0</v>
      </c>
      <c r="U37" s="2095"/>
      <c r="V37" s="2095">
        <f t="shared" si="2"/>
        <v>0</v>
      </c>
      <c r="W37" s="2089"/>
    </row>
    <row r="38" spans="1:25" ht="16.5">
      <c r="A38" s="1613"/>
      <c r="B38" s="2070" t="s">
        <v>453</v>
      </c>
      <c r="C38" s="2070"/>
      <c r="D38" s="2092">
        <v>0</v>
      </c>
      <c r="E38" s="2092">
        <v>0</v>
      </c>
      <c r="F38" s="2092">
        <v>0</v>
      </c>
      <c r="G38" s="2092">
        <v>0</v>
      </c>
      <c r="H38" s="2092">
        <v>0</v>
      </c>
      <c r="I38" s="2092">
        <v>0</v>
      </c>
      <c r="J38" s="2092">
        <v>0</v>
      </c>
      <c r="K38" s="2092">
        <v>0</v>
      </c>
      <c r="L38" s="2092">
        <v>0</v>
      </c>
      <c r="M38" s="2092"/>
      <c r="N38" s="2092">
        <v>0</v>
      </c>
      <c r="O38" s="2092"/>
      <c r="P38" s="2092">
        <v>0</v>
      </c>
      <c r="Q38" s="2092">
        <v>0</v>
      </c>
      <c r="R38" s="2093">
        <f t="shared" si="3"/>
        <v>0</v>
      </c>
      <c r="S38" s="2093"/>
      <c r="T38" s="2092">
        <v>555750</v>
      </c>
      <c r="U38" s="2095"/>
      <c r="V38" s="2095">
        <f t="shared" si="2"/>
        <v>-555750</v>
      </c>
      <c r="W38" s="2089"/>
    </row>
    <row r="39" spans="1:25" ht="16.5">
      <c r="A39" s="1613"/>
      <c r="B39" s="2098" t="s">
        <v>1149</v>
      </c>
      <c r="C39" s="2099"/>
      <c r="D39" s="2092">
        <v>0</v>
      </c>
      <c r="E39" s="2092">
        <v>0</v>
      </c>
      <c r="F39" s="2092">
        <v>0</v>
      </c>
      <c r="G39" s="2092">
        <v>0</v>
      </c>
      <c r="H39" s="2092">
        <v>0</v>
      </c>
      <c r="I39" s="2092">
        <v>0</v>
      </c>
      <c r="J39" s="2092">
        <v>0</v>
      </c>
      <c r="K39" s="2092">
        <v>0</v>
      </c>
      <c r="L39" s="2092">
        <v>0</v>
      </c>
      <c r="M39" s="2092"/>
      <c r="N39" s="2092">
        <v>0</v>
      </c>
      <c r="O39" s="2092"/>
      <c r="P39" s="2092">
        <v>0</v>
      </c>
      <c r="Q39" s="2092">
        <v>0</v>
      </c>
      <c r="R39" s="2093">
        <f t="shared" si="3"/>
        <v>0</v>
      </c>
      <c r="S39" s="2093"/>
      <c r="T39" s="2092">
        <v>0</v>
      </c>
      <c r="U39" s="2095"/>
      <c r="V39" s="2095">
        <f t="shared" si="2"/>
        <v>0</v>
      </c>
      <c r="W39" s="2089"/>
    </row>
    <row r="40" spans="1:25" ht="16.5">
      <c r="A40" s="1612"/>
      <c r="B40" s="2060" t="s">
        <v>994</v>
      </c>
      <c r="C40" s="2060"/>
      <c r="D40" s="2092">
        <v>0</v>
      </c>
      <c r="E40" s="2092">
        <v>0</v>
      </c>
      <c r="F40" s="2092">
        <v>0</v>
      </c>
      <c r="G40" s="2092">
        <v>0</v>
      </c>
      <c r="H40" s="2092">
        <v>0</v>
      </c>
      <c r="I40" s="2092">
        <v>0</v>
      </c>
      <c r="J40" s="2092">
        <v>0</v>
      </c>
      <c r="K40" s="2092">
        <v>0</v>
      </c>
      <c r="L40" s="2092">
        <v>0</v>
      </c>
      <c r="M40" s="2092"/>
      <c r="N40" s="2092">
        <v>286525473</v>
      </c>
      <c r="O40" s="2092"/>
      <c r="P40" s="2092">
        <v>0</v>
      </c>
      <c r="Q40" s="2092">
        <v>0</v>
      </c>
      <c r="R40" s="2093">
        <f>ROUND(SUM(D40:Q40),0)</f>
        <v>286525473</v>
      </c>
      <c r="S40" s="2093"/>
      <c r="T40" s="2092">
        <v>92438900</v>
      </c>
      <c r="U40" s="2100"/>
      <c r="V40" s="2095">
        <f t="shared" si="2"/>
        <v>194086573</v>
      </c>
      <c r="W40" s="2089"/>
      <c r="Y40" s="1614"/>
    </row>
    <row r="41" spans="1:25" ht="16.5">
      <c r="B41" s="2060" t="s">
        <v>454</v>
      </c>
      <c r="C41" s="2060"/>
      <c r="D41" s="2092">
        <v>0</v>
      </c>
      <c r="E41" s="2092">
        <v>0</v>
      </c>
      <c r="F41" s="2092">
        <v>11603</v>
      </c>
      <c r="G41" s="2092">
        <v>0</v>
      </c>
      <c r="H41" s="2092">
        <v>0</v>
      </c>
      <c r="I41" s="2092">
        <v>0</v>
      </c>
      <c r="J41" s="2092">
        <v>0</v>
      </c>
      <c r="K41" s="2092">
        <v>0</v>
      </c>
      <c r="L41" s="2092">
        <v>0</v>
      </c>
      <c r="M41" s="2092"/>
      <c r="N41" s="2092">
        <v>0</v>
      </c>
      <c r="O41" s="2092"/>
      <c r="P41" s="2092">
        <v>0</v>
      </c>
      <c r="Q41" s="2092">
        <v>0</v>
      </c>
      <c r="R41" s="2093">
        <f>ROUND(SUM(D41:Q41),0)</f>
        <v>11603</v>
      </c>
      <c r="S41" s="2093"/>
      <c r="T41" s="3510">
        <v>1770144</v>
      </c>
      <c r="U41" s="2101"/>
      <c r="V41" s="2095">
        <f t="shared" si="2"/>
        <v>-1758541</v>
      </c>
      <c r="W41" s="2089"/>
    </row>
    <row r="42" spans="1:25" ht="16.5">
      <c r="A42" s="1615"/>
      <c r="B42" s="2063" t="s">
        <v>455</v>
      </c>
      <c r="C42" s="2063"/>
      <c r="D42" s="2066"/>
      <c r="E42" s="2066"/>
      <c r="F42" s="2066"/>
      <c r="G42" s="2066"/>
      <c r="H42" s="2102"/>
      <c r="I42" s="2102"/>
      <c r="J42" s="2094"/>
      <c r="K42" s="2094"/>
      <c r="L42" s="2094"/>
      <c r="M42" s="2094"/>
      <c r="N42" s="2102"/>
      <c r="O42" s="2102"/>
      <c r="P42" s="2102"/>
      <c r="Q42" s="2102"/>
      <c r="R42" s="2102"/>
      <c r="S42" s="2102"/>
      <c r="T42" s="2102"/>
      <c r="U42" s="2103"/>
      <c r="V42" s="2093"/>
      <c r="W42" s="2089"/>
    </row>
    <row r="43" spans="1:25" s="1611" customFormat="1" ht="17.25" thickBot="1">
      <c r="B43" s="2104" t="s">
        <v>456</v>
      </c>
      <c r="C43" s="2068"/>
      <c r="D43" s="2105">
        <f>ROUND(SUM(D15:D41),0)</f>
        <v>0</v>
      </c>
      <c r="E43" s="2106"/>
      <c r="F43" s="2105">
        <f>ROUND(SUM(F15:F41),0)</f>
        <v>185167214</v>
      </c>
      <c r="G43" s="2106"/>
      <c r="H43" s="2105">
        <f>ROUND(SUM(H15:H41),0)</f>
        <v>25467940</v>
      </c>
      <c r="I43" s="2106"/>
      <c r="J43" s="2105">
        <f>ROUND(SUM(J15:J41),0)</f>
        <v>0</v>
      </c>
      <c r="K43" s="2107"/>
      <c r="L43" s="2105">
        <f>ROUND(SUM(L15:L41),0)</f>
        <v>8334210</v>
      </c>
      <c r="M43" s="2107"/>
      <c r="N43" s="2105">
        <f>ROUND(SUM(N15:N41),0)</f>
        <v>2059075960</v>
      </c>
      <c r="O43" s="2106"/>
      <c r="P43" s="2105">
        <f>ROUND(SUM(P15:P41),0)</f>
        <v>223441555</v>
      </c>
      <c r="Q43" s="2106"/>
      <c r="R43" s="2105">
        <f>ROUND(SUM(R15:R41),0)</f>
        <v>2501486879</v>
      </c>
      <c r="S43" s="2106"/>
      <c r="T43" s="2105">
        <f>ROUND(SUM(T15:T41),0)</f>
        <v>1451912874</v>
      </c>
      <c r="U43" s="2106"/>
      <c r="V43" s="2105">
        <f>ROUND(SUM(V15:V41),0)</f>
        <v>1049574005</v>
      </c>
      <c r="W43" s="2089"/>
    </row>
    <row r="44" spans="1:25" ht="17.25" thickTop="1">
      <c r="C44" s="2108"/>
      <c r="D44" s="2060"/>
      <c r="E44" s="2060"/>
      <c r="F44" s="2060"/>
      <c r="G44" s="2060"/>
      <c r="H44" s="2060"/>
      <c r="I44" s="2060"/>
      <c r="J44" s="2060"/>
      <c r="K44" s="2060"/>
      <c r="L44" s="2060"/>
      <c r="M44" s="2060"/>
      <c r="N44" s="2060"/>
      <c r="O44" s="2060"/>
      <c r="P44" s="2060"/>
      <c r="Q44" s="2060"/>
      <c r="R44" s="2060"/>
      <c r="S44" s="2060"/>
      <c r="T44" s="2060"/>
      <c r="U44" s="2060"/>
      <c r="V44" s="2109"/>
      <c r="W44" s="2061"/>
    </row>
    <row r="45" spans="1:25" ht="16.5">
      <c r="B45" s="1433" t="s">
        <v>1548</v>
      </c>
      <c r="C45" s="2060"/>
      <c r="D45" s="2060"/>
      <c r="E45" s="2060"/>
      <c r="F45" s="2060"/>
      <c r="G45" s="2060"/>
      <c r="H45" s="2060"/>
      <c r="I45" s="2060"/>
      <c r="J45" s="2060"/>
      <c r="K45" s="2060"/>
      <c r="L45" s="2060"/>
      <c r="M45" s="2060"/>
      <c r="N45" s="2060"/>
      <c r="O45" s="2060"/>
      <c r="P45" s="2060"/>
      <c r="Q45" s="2060"/>
      <c r="R45" s="3415"/>
      <c r="S45" s="2060"/>
      <c r="T45" s="2060"/>
      <c r="U45" s="2060"/>
      <c r="V45" s="2060"/>
    </row>
    <row r="46" spans="1:25" ht="15">
      <c r="B46" s="1616" t="s">
        <v>1538</v>
      </c>
      <c r="R46" s="3416" t="s">
        <v>15</v>
      </c>
    </row>
    <row r="47" spans="1:25" ht="15">
      <c r="B47" s="1616"/>
      <c r="R47" s="3800" t="s">
        <v>15</v>
      </c>
    </row>
    <row r="48" spans="1:25" ht="15">
      <c r="B48" s="1616"/>
      <c r="R48" s="3416" t="s">
        <v>15</v>
      </c>
    </row>
  </sheetData>
  <dataConsolidate/>
  <pageMargins left="0.25" right="0.25" top="0.5" bottom="0.25" header="0.5" footer="0.25"/>
  <pageSetup scale="43" firstPageNumber="45" orientation="landscape" useFirstPageNumber="1" r:id="rId1"/>
  <headerFooter scaleWithDoc="0" alignWithMargins="0">
    <oddFooter>&amp;C&amp;8&amp;P</oddFooter>
  </headerFooter>
  <ignoredErrors>
    <ignoredError sqref="F13 N13:P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B1:L40"/>
  <sheetViews>
    <sheetView showGridLines="0" workbookViewId="0"/>
  </sheetViews>
  <sheetFormatPr defaultColWidth="8.6640625" defaultRowHeight="15"/>
  <cols>
    <col min="1" max="1" width="2.109375" style="1338" customWidth="1"/>
    <col min="2" max="4" width="9.6640625" style="1338" customWidth="1"/>
    <col min="5" max="5" width="10.44140625" style="1338" customWidth="1"/>
    <col min="6" max="6" width="14.6640625" style="1338" customWidth="1"/>
    <col min="7" max="7" width="1.109375" style="1338" customWidth="1"/>
    <col min="8" max="8" width="16.6640625" style="1338" customWidth="1"/>
    <col min="9" max="9" width="1.109375" style="1338" customWidth="1"/>
    <col min="10" max="10" width="16.6640625" style="1338" bestFit="1" customWidth="1"/>
    <col min="11" max="11" width="9.6640625" style="1338" customWidth="1"/>
    <col min="12" max="12" width="15.6640625" style="1338" customWidth="1"/>
    <col min="13" max="16384" width="8.6640625" style="1338"/>
  </cols>
  <sheetData>
    <row r="1" spans="2:12">
      <c r="B1" s="3552" t="s">
        <v>963</v>
      </c>
    </row>
    <row r="2" spans="2:12">
      <c r="B2" s="827"/>
    </row>
    <row r="3" spans="2:12" ht="15.75">
      <c r="B3" s="719" t="s">
        <v>0</v>
      </c>
      <c r="J3" s="1201" t="s">
        <v>1148</v>
      </c>
    </row>
    <row r="4" spans="2:12" ht="15.75">
      <c r="B4" s="828" t="s">
        <v>1147</v>
      </c>
    </row>
    <row r="5" spans="2:12" ht="15.75">
      <c r="B5" s="1944" t="s">
        <v>1564</v>
      </c>
      <c r="C5" s="1945"/>
      <c r="D5" s="1945"/>
      <c r="E5" s="1945"/>
      <c r="F5" s="1945"/>
      <c r="G5" s="1945"/>
      <c r="H5" s="1945"/>
      <c r="I5" s="1945"/>
      <c r="J5" s="1945"/>
      <c r="K5" s="1945"/>
      <c r="L5" s="1945"/>
    </row>
    <row r="6" spans="2:12" ht="15.75">
      <c r="B6" s="1944" t="s">
        <v>870</v>
      </c>
      <c r="C6" s="1945"/>
      <c r="D6" s="1945"/>
      <c r="E6" s="1945"/>
      <c r="F6" s="1945"/>
      <c r="G6" s="1945"/>
      <c r="H6" s="1945"/>
      <c r="I6" s="1945"/>
      <c r="J6" s="1945"/>
      <c r="K6" s="1945"/>
      <c r="L6" s="1945"/>
    </row>
    <row r="7" spans="2:12" ht="15.75">
      <c r="B7" s="1944" t="s">
        <v>1363</v>
      </c>
      <c r="C7" s="1946"/>
      <c r="D7" s="1946"/>
      <c r="E7" s="1946"/>
      <c r="F7" s="1946"/>
      <c r="G7" s="1946"/>
      <c r="H7" s="1946"/>
      <c r="I7" s="1946"/>
      <c r="J7" s="1946"/>
      <c r="K7" s="1946"/>
      <c r="L7" s="1946"/>
    </row>
    <row r="8" spans="2:12">
      <c r="B8" s="399"/>
      <c r="G8" s="399"/>
      <c r="I8" s="399"/>
    </row>
    <row r="9" spans="2:12" ht="15.75">
      <c r="B9" s="399"/>
      <c r="F9" s="400" t="s">
        <v>7</v>
      </c>
      <c r="G9" s="399"/>
      <c r="H9" s="401" t="s">
        <v>458</v>
      </c>
      <c r="I9" s="399"/>
      <c r="J9" s="400" t="s">
        <v>457</v>
      </c>
    </row>
    <row r="10" spans="2:12" ht="15.75">
      <c r="B10" s="399"/>
      <c r="F10" s="402" t="s">
        <v>1556</v>
      </c>
      <c r="G10" s="399"/>
      <c r="H10" s="401" t="s">
        <v>460</v>
      </c>
      <c r="I10" s="399"/>
      <c r="J10" s="401" t="s">
        <v>459</v>
      </c>
    </row>
    <row r="11" spans="2:12" ht="15.75">
      <c r="B11" s="399"/>
      <c r="F11" s="1896"/>
      <c r="G11" s="399"/>
      <c r="H11" s="1896"/>
      <c r="I11" s="399"/>
      <c r="J11" s="1896"/>
    </row>
    <row r="12" spans="2:12" ht="15.75">
      <c r="B12" s="403" t="s">
        <v>956</v>
      </c>
      <c r="G12" s="399"/>
      <c r="I12" s="399"/>
      <c r="J12" s="718"/>
      <c r="K12" s="718"/>
    </row>
    <row r="13" spans="2:12">
      <c r="B13" s="399"/>
      <c r="G13" s="399"/>
      <c r="I13" s="399"/>
      <c r="J13" s="718"/>
      <c r="K13" s="718"/>
    </row>
    <row r="14" spans="2:12">
      <c r="B14" s="664" t="s">
        <v>955</v>
      </c>
      <c r="F14" s="3096">
        <v>37077</v>
      </c>
      <c r="G14" s="3096"/>
      <c r="H14" s="3418">
        <v>29554.3</v>
      </c>
      <c r="I14" s="1339"/>
      <c r="J14" s="3096">
        <v>19276.8</v>
      </c>
      <c r="K14" s="718"/>
    </row>
    <row r="15" spans="2:12">
      <c r="B15" s="664" t="s">
        <v>954</v>
      </c>
      <c r="F15" s="3097">
        <v>1.2600000000000001E-3</v>
      </c>
      <c r="G15" s="716"/>
      <c r="H15" s="3419">
        <v>2.0100000000000001E-3</v>
      </c>
      <c r="I15" s="807"/>
      <c r="J15" s="3097">
        <v>2.146E-2</v>
      </c>
      <c r="K15" s="718"/>
    </row>
    <row r="16" spans="2:12">
      <c r="B16" s="807" t="s">
        <v>461</v>
      </c>
      <c r="F16" s="3098">
        <v>3.887</v>
      </c>
      <c r="G16" s="3420"/>
      <c r="H16" s="3421">
        <v>51.808</v>
      </c>
      <c r="I16" s="902"/>
      <c r="J16" s="3098">
        <v>352.79500000000002</v>
      </c>
      <c r="K16" s="718"/>
    </row>
    <row r="17" spans="2:11">
      <c r="B17" s="399"/>
      <c r="J17" s="718"/>
      <c r="K17" s="405"/>
    </row>
    <row r="18" spans="2:11">
      <c r="B18" s="878"/>
      <c r="C18" s="1340"/>
      <c r="D18" s="1340"/>
      <c r="E18" s="1340"/>
      <c r="F18" s="1340"/>
      <c r="G18" s="1340"/>
      <c r="H18" s="1340"/>
      <c r="I18" s="1340"/>
      <c r="J18" s="3115"/>
      <c r="K18" s="878"/>
    </row>
    <row r="19" spans="2:11">
      <c r="B19" s="878"/>
      <c r="C19" s="1340"/>
      <c r="D19" s="1340"/>
      <c r="E19" s="1340"/>
      <c r="F19" s="1340"/>
      <c r="G19" s="1340"/>
      <c r="H19" s="1340"/>
      <c r="I19" s="1340"/>
      <c r="J19" s="3115"/>
      <c r="K19" s="878"/>
    </row>
    <row r="20" spans="2:11" ht="18">
      <c r="B20" s="879" t="s">
        <v>462</v>
      </c>
      <c r="C20" s="880"/>
      <c r="D20" s="880"/>
      <c r="E20" s="1340"/>
      <c r="F20" s="1340"/>
      <c r="G20" s="1340"/>
      <c r="H20" s="1340"/>
      <c r="I20" s="1340"/>
      <c r="J20" s="3115"/>
      <c r="K20" s="878"/>
    </row>
    <row r="21" spans="2:11">
      <c r="B21" s="878"/>
      <c r="C21" s="1340"/>
      <c r="D21" s="1340"/>
      <c r="E21" s="1340"/>
      <c r="F21" s="1340"/>
      <c r="G21" s="623"/>
      <c r="H21" s="623" t="str">
        <f>F10</f>
        <v>JANUARY 2021</v>
      </c>
      <c r="I21" s="2139"/>
      <c r="J21" s="3513" t="s">
        <v>1565</v>
      </c>
      <c r="K21" s="878"/>
    </row>
    <row r="22" spans="2:11">
      <c r="B22" s="878"/>
      <c r="C22" s="881" t="s">
        <v>463</v>
      </c>
      <c r="D22" s="1340"/>
      <c r="E22" s="1341" t="s">
        <v>15</v>
      </c>
      <c r="F22" s="1340"/>
      <c r="G22" s="882"/>
      <c r="H22" s="1949" t="s">
        <v>464</v>
      </c>
      <c r="I22" s="882"/>
      <c r="J22" s="3514" t="s">
        <v>464</v>
      </c>
      <c r="K22" s="878"/>
    </row>
    <row r="23" spans="2:11">
      <c r="B23" s="878"/>
      <c r="C23" s="1341" t="s">
        <v>465</v>
      </c>
      <c r="D23" s="1340"/>
      <c r="E23" s="1340"/>
      <c r="F23" s="1340"/>
      <c r="G23" s="1342"/>
      <c r="H23" s="1343">
        <v>18898.5</v>
      </c>
      <c r="I23" s="1342"/>
      <c r="J23" s="3692">
        <v>6624.5</v>
      </c>
      <c r="K23" s="878"/>
    </row>
    <row r="24" spans="2:11">
      <c r="B24" s="878"/>
      <c r="C24" s="1341" t="s">
        <v>466</v>
      </c>
      <c r="D24" s="1340"/>
      <c r="E24" s="1340"/>
      <c r="F24" s="1340"/>
      <c r="G24" s="1342"/>
      <c r="H24" s="1344">
        <v>119.3</v>
      </c>
      <c r="I24" s="1342"/>
      <c r="J24" s="3693">
        <v>307.39999999999998</v>
      </c>
      <c r="K24" s="878"/>
    </row>
    <row r="25" spans="2:11">
      <c r="B25" s="878"/>
      <c r="C25" s="1341" t="s">
        <v>1525</v>
      </c>
      <c r="D25" s="1340"/>
      <c r="E25" s="1340"/>
      <c r="F25" s="1340"/>
      <c r="G25" s="1342"/>
      <c r="H25" s="1344">
        <v>700</v>
      </c>
      <c r="I25" s="1342"/>
      <c r="J25" s="3693">
        <v>0</v>
      </c>
      <c r="K25" s="878"/>
    </row>
    <row r="26" spans="2:11">
      <c r="B26" s="878"/>
      <c r="C26" s="1341" t="s">
        <v>467</v>
      </c>
      <c r="D26" s="1340"/>
      <c r="E26" s="1340"/>
      <c r="F26" s="1340"/>
      <c r="G26" s="1345"/>
      <c r="H26" s="1344">
        <v>19113.599999999999</v>
      </c>
      <c r="I26" s="1345"/>
      <c r="J26" s="3694">
        <v>16197.5</v>
      </c>
      <c r="K26" s="878" t="s">
        <v>15</v>
      </c>
    </row>
    <row r="27" spans="2:11">
      <c r="B27" s="878"/>
      <c r="C27" s="1341" t="s">
        <v>468</v>
      </c>
      <c r="D27" s="1340"/>
      <c r="E27" s="1340"/>
      <c r="F27" s="1340"/>
      <c r="G27" s="1345"/>
      <c r="H27" s="1344">
        <v>1991.1</v>
      </c>
      <c r="I27" s="1345"/>
      <c r="J27" s="3694">
        <v>2939.7</v>
      </c>
      <c r="K27" s="878" t="s">
        <v>15</v>
      </c>
    </row>
    <row r="28" spans="2:11">
      <c r="B28" s="878"/>
      <c r="C28" s="883" t="s">
        <v>833</v>
      </c>
      <c r="D28" s="1340"/>
      <c r="E28" s="1340"/>
      <c r="F28" s="1340"/>
      <c r="G28" s="1346"/>
      <c r="H28" s="1344">
        <v>723</v>
      </c>
      <c r="I28" s="1346"/>
      <c r="J28" s="3694">
        <v>78</v>
      </c>
      <c r="K28" s="878"/>
    </row>
    <row r="29" spans="2:11" ht="16.5" thickBot="1">
      <c r="B29" s="878"/>
      <c r="C29" s="1340"/>
      <c r="D29" s="1340"/>
      <c r="E29" s="1340"/>
      <c r="F29" s="1340"/>
      <c r="G29" s="404"/>
      <c r="H29" s="1897">
        <f>ROUND(SUM(H23:H28),1)</f>
        <v>41545.5</v>
      </c>
      <c r="I29" s="404"/>
      <c r="J29" s="3431">
        <f>ROUND(SUM(J23:J28),1)</f>
        <v>26147.1</v>
      </c>
      <c r="K29" s="878"/>
    </row>
    <row r="30" spans="2:11" ht="15.75" thickTop="1">
      <c r="B30" s="399"/>
      <c r="G30" s="1347"/>
      <c r="H30" s="1347"/>
      <c r="I30" s="1347"/>
      <c r="J30" s="718"/>
      <c r="K30" s="399"/>
    </row>
    <row r="31" spans="2:11">
      <c r="B31" s="399"/>
      <c r="K31" s="399"/>
    </row>
    <row r="32" spans="2:11" ht="15.75">
      <c r="B32" s="403"/>
      <c r="K32" s="399"/>
    </row>
    <row r="33" spans="2:12" ht="192.75" customHeight="1">
      <c r="B33" s="3978" t="s">
        <v>1481</v>
      </c>
      <c r="C33" s="3978"/>
      <c r="D33" s="3978"/>
      <c r="E33" s="3978"/>
      <c r="F33" s="3978"/>
      <c r="G33" s="3978"/>
      <c r="H33" s="3978"/>
      <c r="I33" s="3978"/>
      <c r="J33" s="3978"/>
      <c r="K33" s="399"/>
    </row>
    <row r="35" spans="2:12" ht="15" customHeight="1">
      <c r="B35" s="650" t="s">
        <v>957</v>
      </c>
      <c r="C35" s="717"/>
      <c r="D35" s="717"/>
      <c r="E35" s="717"/>
      <c r="F35" s="717"/>
      <c r="G35" s="717"/>
      <c r="H35" s="717"/>
      <c r="I35" s="717"/>
      <c r="J35" s="717"/>
      <c r="K35" s="717"/>
      <c r="L35" s="717"/>
    </row>
    <row r="36" spans="2:12" ht="17.25" customHeight="1">
      <c r="B36" s="715"/>
      <c r="C36" s="718"/>
      <c r="D36" s="718"/>
      <c r="E36" s="718"/>
      <c r="F36" s="718"/>
      <c r="G36" s="718"/>
      <c r="H36" s="718"/>
      <c r="I36" s="718"/>
      <c r="J36" s="718"/>
      <c r="K36" s="718"/>
      <c r="L36" s="405"/>
    </row>
    <row r="37" spans="2:12">
      <c r="B37" s="807"/>
      <c r="C37" s="807"/>
      <c r="D37" s="718"/>
      <c r="E37" s="718"/>
      <c r="F37" s="718"/>
      <c r="G37" s="718"/>
      <c r="H37" s="718"/>
      <c r="I37" s="718"/>
      <c r="J37" s="718"/>
      <c r="K37" s="718"/>
      <c r="L37" s="405"/>
    </row>
    <row r="38" spans="2:12">
      <c r="B38" s="715"/>
      <c r="C38" s="716"/>
      <c r="D38" s="718"/>
      <c r="E38" s="718"/>
      <c r="F38" s="718"/>
      <c r="G38" s="718"/>
      <c r="H38" s="718"/>
      <c r="I38" s="718"/>
      <c r="J38" s="718"/>
      <c r="K38" s="718"/>
      <c r="L38" s="405"/>
    </row>
    <row r="39" spans="2:12">
      <c r="B39" s="399"/>
      <c r="C39" s="807" t="s">
        <v>15</v>
      </c>
      <c r="D39" s="399"/>
      <c r="E39" s="399"/>
      <c r="F39" s="399"/>
      <c r="G39" s="399"/>
      <c r="H39" s="399"/>
      <c r="I39" s="399"/>
      <c r="J39" s="399"/>
    </row>
    <row r="40" spans="2:12">
      <c r="C40" s="807" t="s">
        <v>15</v>
      </c>
    </row>
  </sheetData>
  <mergeCells count="1">
    <mergeCell ref="B33:J33"/>
  </mergeCells>
  <printOptions horizontalCentered="1"/>
  <pageMargins left="0.5" right="0.5" top="1" bottom="0.5" header="0.5" footer="0.25"/>
  <pageSetup scale="69" firstPageNumber="46" orientation="landscape" useFirstPageNumber="1" r:id="rId1"/>
  <headerFooter scaleWithDoc="0" alignWithMargins="0">
    <oddFooter>&amp;C&amp;8&amp;P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N96"/>
  <sheetViews>
    <sheetView showGridLines="0" zoomScale="80" zoomScaleNormal="70" workbookViewId="0"/>
  </sheetViews>
  <sheetFormatPr defaultColWidth="8.6640625" defaultRowHeight="15"/>
  <cols>
    <col min="1" max="1" width="45.44140625" style="1735" customWidth="1"/>
    <col min="2" max="2" width="17" style="1562" bestFit="1" customWidth="1"/>
    <col min="3" max="3" width="1.6640625" style="1562" customWidth="1"/>
    <col min="4" max="4" width="17" style="1562" bestFit="1" customWidth="1"/>
    <col min="5" max="5" width="1.6640625" style="1561" customWidth="1"/>
    <col min="6" max="6" width="17.109375" style="1562" customWidth="1"/>
    <col min="7" max="7" width="1.6640625" style="1561" customWidth="1"/>
    <col min="8" max="8" width="17.5546875" style="1562" customWidth="1"/>
    <col min="9" max="9" width="1.6640625" style="1786" customWidth="1"/>
    <col min="10" max="10" width="16.44140625" style="1740" customWidth="1"/>
    <col min="11" max="11" width="1.6640625" style="1740" customWidth="1"/>
    <col min="12" max="12" width="17" style="1740" bestFit="1" customWidth="1"/>
    <col min="13" max="13" width="1.6640625" style="1786" customWidth="1"/>
    <col min="14" max="14" width="17.5546875" style="1740" customWidth="1"/>
    <col min="15" max="15" width="1.6640625" style="1786" customWidth="1"/>
    <col min="16" max="16" width="17.109375" style="1740" customWidth="1"/>
    <col min="17" max="17" width="1.6640625" style="1786" customWidth="1"/>
    <col min="18" max="18" width="13.6640625" style="1740" customWidth="1"/>
    <col min="19" max="19" width="1.6640625" style="1786" customWidth="1"/>
    <col min="20" max="20" width="13.6640625" style="1740" customWidth="1"/>
    <col min="21" max="21" width="1.6640625" style="1786" customWidth="1"/>
    <col min="22" max="22" width="13.6640625" style="1740" customWidth="1"/>
    <col min="23" max="23" width="1.6640625" style="1786" customWidth="1"/>
    <col min="24" max="24" width="13.6640625" style="1740" customWidth="1"/>
    <col min="25" max="25" width="1.6640625" style="1786" customWidth="1"/>
    <col min="26" max="26" width="22.5546875" style="1787" customWidth="1"/>
    <col min="27" max="27" width="1.5546875" style="1753" customWidth="1"/>
    <col min="28" max="28" width="18.6640625" style="1735" bestFit="1" customWidth="1"/>
    <col min="29" max="29" width="12.6640625" style="1735" bestFit="1" customWidth="1"/>
    <col min="30" max="16384" width="8.6640625" style="1735"/>
  </cols>
  <sheetData>
    <row r="1" spans="1:40">
      <c r="A1" s="1501" t="s">
        <v>963</v>
      </c>
      <c r="B1" s="1308"/>
      <c r="C1" s="1308"/>
      <c r="D1" s="1308"/>
      <c r="E1" s="1308"/>
      <c r="F1" s="1308"/>
      <c r="G1" s="1308"/>
      <c r="H1" s="1308"/>
      <c r="I1" s="1734"/>
      <c r="J1" s="1734"/>
      <c r="K1" s="1734"/>
      <c r="L1" s="1734"/>
      <c r="M1" s="1734"/>
      <c r="N1" s="1734"/>
      <c r="O1" s="1734"/>
      <c r="P1" s="1734"/>
      <c r="Q1" s="1734"/>
      <c r="R1" s="1734"/>
      <c r="S1" s="1734"/>
      <c r="T1" s="1734"/>
      <c r="U1" s="1734"/>
      <c r="V1" s="1734"/>
      <c r="W1" s="1734"/>
      <c r="X1" s="1734"/>
      <c r="Y1" s="1734"/>
      <c r="Z1" s="1734"/>
      <c r="AA1" s="3447"/>
      <c r="AB1" s="1734"/>
      <c r="AC1" s="1734"/>
      <c r="AD1" s="1734"/>
      <c r="AE1" s="1734"/>
      <c r="AF1" s="1734"/>
      <c r="AG1" s="1734"/>
    </row>
    <row r="2" spans="1:40">
      <c r="A2" s="1501"/>
      <c r="B2" s="1308"/>
      <c r="C2" s="1308"/>
      <c r="D2" s="1308"/>
      <c r="E2" s="1308"/>
      <c r="F2" s="1308"/>
      <c r="G2" s="1308"/>
      <c r="H2" s="1308"/>
      <c r="I2" s="1734"/>
      <c r="J2" s="1734"/>
      <c r="K2" s="1734"/>
      <c r="L2" s="1734"/>
      <c r="M2" s="1734"/>
      <c r="N2" s="1734"/>
      <c r="O2" s="1734"/>
      <c r="P2" s="1734"/>
      <c r="Q2" s="1734"/>
      <c r="R2" s="1734"/>
      <c r="S2" s="1734"/>
      <c r="T2" s="1734"/>
      <c r="U2" s="1734"/>
      <c r="V2" s="1734"/>
      <c r="W2" s="1734"/>
      <c r="X2" s="1734"/>
      <c r="Y2" s="1734"/>
      <c r="Z2" s="1734"/>
      <c r="AA2" s="3447"/>
      <c r="AB2" s="1734"/>
      <c r="AC2" s="1734"/>
      <c r="AD2" s="1734"/>
      <c r="AE2" s="1734"/>
      <c r="AF2" s="1734"/>
      <c r="AG2" s="1734"/>
    </row>
    <row r="3" spans="1:40" ht="17.850000000000001" customHeight="1">
      <c r="A3" s="1736" t="s">
        <v>0</v>
      </c>
      <c r="B3" s="479"/>
      <c r="C3" s="479"/>
      <c r="D3" s="480"/>
      <c r="E3" s="481"/>
      <c r="F3" s="480"/>
      <c r="G3" s="481"/>
      <c r="H3" s="480"/>
      <c r="I3" s="1739"/>
      <c r="K3" s="1737"/>
      <c r="L3" s="1741"/>
      <c r="M3" s="1737"/>
      <c r="N3" s="1738"/>
      <c r="O3" s="1739"/>
      <c r="P3" s="1738"/>
      <c r="Q3" s="1739"/>
      <c r="R3" s="1738"/>
      <c r="S3" s="1739"/>
      <c r="T3" s="1738"/>
      <c r="U3" s="1739"/>
      <c r="V3" s="1738"/>
      <c r="W3" s="1739"/>
      <c r="X3" s="1738"/>
      <c r="Y3" s="1739"/>
      <c r="Z3" s="1742" t="s">
        <v>469</v>
      </c>
      <c r="AA3" s="3448"/>
      <c r="AC3" s="1737"/>
      <c r="AE3" s="1737"/>
    </row>
    <row r="4" spans="1:40" ht="17.850000000000001" customHeight="1">
      <c r="A4" s="1736" t="s">
        <v>470</v>
      </c>
      <c r="B4" s="1309"/>
      <c r="C4" s="1309"/>
      <c r="D4" s="483"/>
      <c r="E4" s="481"/>
      <c r="F4" s="1309"/>
      <c r="G4" s="481"/>
      <c r="H4" s="1309"/>
      <c r="I4" s="1739"/>
      <c r="J4" s="1743"/>
      <c r="K4" s="1743"/>
      <c r="L4" s="1743"/>
      <c r="M4" s="1744"/>
      <c r="N4" s="1743"/>
      <c r="O4" s="1739"/>
      <c r="P4" s="1743"/>
      <c r="Q4" s="1739"/>
      <c r="R4" s="1743"/>
      <c r="S4" s="1739"/>
      <c r="T4" s="1743"/>
      <c r="U4" s="1739"/>
      <c r="V4" s="1743"/>
      <c r="W4" s="1739"/>
      <c r="X4" s="1743"/>
      <c r="Y4" s="1739"/>
      <c r="Z4" s="1745"/>
      <c r="AA4" s="3448"/>
      <c r="AC4" s="1737"/>
    </row>
    <row r="5" spans="1:40" ht="17.850000000000001" customHeight="1">
      <c r="A5" s="1746" t="s">
        <v>1165</v>
      </c>
      <c r="B5" s="1309"/>
      <c r="C5" s="1309"/>
      <c r="D5" s="1309"/>
      <c r="E5" s="481"/>
      <c r="F5" s="1309"/>
      <c r="G5" s="481"/>
      <c r="H5" s="1309"/>
      <c r="I5" s="1739"/>
      <c r="J5" s="1743"/>
      <c r="K5" s="1743"/>
      <c r="L5" s="1743"/>
      <c r="M5" s="1744"/>
      <c r="N5" s="1743"/>
      <c r="O5" s="1739"/>
      <c r="P5" s="1743"/>
      <c r="Q5" s="1739"/>
      <c r="R5" s="1743"/>
      <c r="S5" s="1739"/>
      <c r="T5" s="1743"/>
      <c r="U5" s="1739"/>
      <c r="V5" s="1743"/>
      <c r="W5" s="1739"/>
      <c r="X5" s="1743"/>
      <c r="Y5" s="1739"/>
      <c r="Z5" s="1745"/>
    </row>
    <row r="6" spans="1:40" ht="17.850000000000001" customHeight="1">
      <c r="A6" s="1747" t="str">
        <f>'Cashflow Governmental'!A6</f>
        <v xml:space="preserve">FISCAL YEAR 2020-2021   </v>
      </c>
      <c r="B6" s="1309"/>
      <c r="C6" s="1309"/>
      <c r="D6" s="488"/>
      <c r="E6" s="481"/>
      <c r="F6" s="1309"/>
      <c r="G6" s="481"/>
      <c r="H6" s="1309"/>
      <c r="I6" s="1739"/>
      <c r="J6" s="1743"/>
      <c r="K6" s="1743"/>
      <c r="L6" s="1743"/>
      <c r="M6" s="1744"/>
      <c r="N6" s="1743"/>
      <c r="O6" s="1739"/>
      <c r="P6" s="1743"/>
      <c r="Q6" s="1739"/>
      <c r="R6" s="1743"/>
      <c r="S6" s="1739"/>
      <c r="T6" s="1743"/>
      <c r="U6" s="1739"/>
      <c r="V6" s="1743"/>
      <c r="W6" s="1739"/>
      <c r="X6" s="1743"/>
      <c r="Y6" s="1739"/>
      <c r="Z6" s="1745"/>
    </row>
    <row r="7" spans="1:40" ht="18">
      <c r="A7" s="1748"/>
      <c r="B7" s="1309"/>
      <c r="C7" s="1309"/>
      <c r="D7" s="1309"/>
      <c r="E7" s="481"/>
      <c r="F7" s="1309"/>
      <c r="G7" s="481"/>
      <c r="H7" s="1309"/>
      <c r="I7" s="1739"/>
      <c r="J7" s="1743"/>
      <c r="K7" s="1743"/>
      <c r="L7" s="1743"/>
      <c r="M7" s="1744"/>
      <c r="N7" s="1743"/>
      <c r="O7" s="1739"/>
      <c r="P7" s="1743"/>
      <c r="Q7" s="1739"/>
      <c r="R7" s="1749"/>
      <c r="S7" s="1739"/>
      <c r="T7" s="1749"/>
      <c r="U7" s="1739"/>
      <c r="V7" s="1749"/>
      <c r="W7" s="1739"/>
      <c r="X7" s="1749"/>
      <c r="Y7" s="1739"/>
      <c r="Z7" s="1745"/>
    </row>
    <row r="8" spans="1:40" ht="15.75">
      <c r="A8" s="1750"/>
      <c r="B8" s="1309"/>
      <c r="C8" s="1309"/>
      <c r="D8" s="1309"/>
      <c r="E8" s="481"/>
      <c r="F8" s="1309"/>
      <c r="G8" s="481"/>
      <c r="H8" s="1309"/>
      <c r="I8" s="1739"/>
      <c r="J8" s="1743"/>
      <c r="K8" s="1743"/>
      <c r="L8" s="1743"/>
      <c r="M8" s="1739"/>
      <c r="N8" s="1743"/>
      <c r="O8" s="1739"/>
      <c r="P8" s="1743"/>
      <c r="Q8" s="1739"/>
      <c r="R8" s="1743"/>
      <c r="S8" s="1739"/>
      <c r="T8" s="1743"/>
      <c r="U8" s="1739"/>
      <c r="V8" s="1743"/>
      <c r="W8" s="1739"/>
      <c r="X8" s="1743"/>
      <c r="Y8" s="1739"/>
      <c r="Z8" s="1751"/>
      <c r="AA8" s="1752"/>
    </row>
    <row r="9" spans="1:40" ht="15.75">
      <c r="A9" s="1753"/>
      <c r="B9" s="909" t="str">
        <f>'Cashflow Governmental'!C13</f>
        <v>2020</v>
      </c>
      <c r="C9" s="491"/>
      <c r="D9" s="491"/>
      <c r="E9" s="484"/>
      <c r="F9" s="491"/>
      <c r="G9" s="484"/>
      <c r="H9" s="491"/>
      <c r="I9" s="1744"/>
      <c r="J9" s="1755"/>
      <c r="K9" s="1755"/>
      <c r="L9" s="1756"/>
      <c r="M9" s="1744"/>
      <c r="N9" s="1756"/>
      <c r="O9" s="1744"/>
      <c r="P9" s="1756"/>
      <c r="Q9" s="1744"/>
      <c r="R9" s="1756"/>
      <c r="S9" s="1744"/>
      <c r="T9" s="1754">
        <f>'Cashflow Governmental'!U13</f>
        <v>2021</v>
      </c>
      <c r="U9" s="1744"/>
      <c r="V9" s="1756"/>
      <c r="W9" s="1744"/>
      <c r="X9" s="1756"/>
      <c r="Y9" s="1744"/>
      <c r="Z9" s="1757" t="s">
        <v>1566</v>
      </c>
      <c r="AA9" s="1757"/>
    </row>
    <row r="10" spans="1:40" ht="15.75">
      <c r="A10" s="1753"/>
      <c r="B10" s="494" t="s">
        <v>124</v>
      </c>
      <c r="C10" s="495"/>
      <c r="D10" s="492" t="s">
        <v>125</v>
      </c>
      <c r="E10" s="484"/>
      <c r="F10" s="492" t="s">
        <v>126</v>
      </c>
      <c r="G10" s="484"/>
      <c r="H10" s="492" t="s">
        <v>127</v>
      </c>
      <c r="I10" s="1744"/>
      <c r="J10" s="1935" t="s">
        <v>128</v>
      </c>
      <c r="K10" s="496"/>
      <c r="L10" s="1756" t="s">
        <v>143</v>
      </c>
      <c r="M10" s="1744"/>
      <c r="N10" s="1756" t="s">
        <v>144</v>
      </c>
      <c r="O10" s="1744"/>
      <c r="P10" s="1756" t="s">
        <v>131</v>
      </c>
      <c r="Q10" s="1744"/>
      <c r="R10" s="1756" t="s">
        <v>132</v>
      </c>
      <c r="S10" s="1744"/>
      <c r="T10" s="1756" t="s">
        <v>133</v>
      </c>
      <c r="U10" s="1744"/>
      <c r="V10" s="1756" t="s">
        <v>134</v>
      </c>
      <c r="W10" s="1744"/>
      <c r="X10" s="1756" t="s">
        <v>185</v>
      </c>
      <c r="Y10" s="1744"/>
      <c r="Z10" s="1758">
        <v>44227</v>
      </c>
      <c r="AA10" s="1758"/>
    </row>
    <row r="11" spans="1:40" ht="15.75">
      <c r="A11" s="1753"/>
      <c r="B11" s="1863" t="s">
        <v>15</v>
      </c>
      <c r="C11" s="1313"/>
      <c r="D11" s="1863" t="s">
        <v>15</v>
      </c>
      <c r="E11" s="1314"/>
      <c r="F11" s="1863" t="s">
        <v>15</v>
      </c>
      <c r="G11" s="1314"/>
      <c r="H11" s="1863" t="s">
        <v>15</v>
      </c>
      <c r="I11" s="1761"/>
      <c r="J11" s="1759" t="s">
        <v>15</v>
      </c>
      <c r="K11" s="496"/>
      <c r="L11" s="1759" t="s">
        <v>15</v>
      </c>
      <c r="M11" s="1761"/>
      <c r="N11" s="1759" t="s">
        <v>15</v>
      </c>
      <c r="O11" s="1761"/>
      <c r="P11" s="1759" t="s">
        <v>15</v>
      </c>
      <c r="Q11" s="1761"/>
      <c r="R11" s="1759" t="s">
        <v>15</v>
      </c>
      <c r="S11" s="1761"/>
      <c r="T11" s="1759" t="s">
        <v>15</v>
      </c>
      <c r="U11" s="1761"/>
      <c r="V11" s="1759" t="s">
        <v>15</v>
      </c>
      <c r="W11" s="1761"/>
      <c r="X11" s="1759" t="s">
        <v>15</v>
      </c>
      <c r="Y11" s="1761"/>
      <c r="Z11" s="1762" t="s">
        <v>15</v>
      </c>
      <c r="AB11" s="1763"/>
      <c r="AC11" s="1763"/>
      <c r="AD11" s="1763"/>
      <c r="AE11" s="1763"/>
      <c r="AF11" s="1763"/>
      <c r="AG11" s="1763"/>
      <c r="AH11" s="1763"/>
      <c r="AI11" s="1763"/>
      <c r="AJ11" s="1763"/>
      <c r="AK11" s="1763"/>
      <c r="AL11" s="1763"/>
      <c r="AM11" s="1763"/>
      <c r="AN11" s="1763"/>
    </row>
    <row r="12" spans="1:40" s="1765" customFormat="1" ht="15.75">
      <c r="A12" s="510" t="s">
        <v>471</v>
      </c>
      <c r="B12" s="499">
        <v>15704540</v>
      </c>
      <c r="C12" s="500"/>
      <c r="D12" s="499">
        <f>B47</f>
        <v>95764658</v>
      </c>
      <c r="E12" s="1315"/>
      <c r="F12" s="499">
        <f>D47</f>
        <v>80082746</v>
      </c>
      <c r="G12" s="1315"/>
      <c r="H12" s="499">
        <f>F47</f>
        <v>490512199</v>
      </c>
      <c r="I12" s="1764"/>
      <c r="J12" s="499">
        <f>H47</f>
        <v>186132186</v>
      </c>
      <c r="K12" s="501"/>
      <c r="L12" s="512">
        <f>J47</f>
        <v>217721195</v>
      </c>
      <c r="M12" s="511"/>
      <c r="N12" s="512">
        <f>L47</f>
        <v>104334501</v>
      </c>
      <c r="O12" s="512"/>
      <c r="P12" s="512">
        <f>N47</f>
        <v>181581146</v>
      </c>
      <c r="Q12" s="512"/>
      <c r="R12" s="512">
        <f>P47</f>
        <v>200742306</v>
      </c>
      <c r="S12" s="512"/>
      <c r="T12" s="512">
        <f>R47</f>
        <v>204855179</v>
      </c>
      <c r="U12" s="512"/>
      <c r="V12" s="512"/>
      <c r="W12" s="512"/>
      <c r="X12" s="512"/>
      <c r="Y12" s="512"/>
      <c r="Z12" s="512">
        <f>+B12</f>
        <v>15704540</v>
      </c>
      <c r="AA12" s="3449"/>
    </row>
    <row r="13" spans="1:40" ht="15.75">
      <c r="A13" s="1766"/>
      <c r="B13" s="1317"/>
      <c r="C13" s="1318"/>
      <c r="D13" s="1317"/>
      <c r="E13" s="1317"/>
      <c r="F13" s="1317"/>
      <c r="G13" s="1317"/>
      <c r="H13" s="1317"/>
      <c r="I13" s="1327"/>
      <c r="J13" s="1327"/>
      <c r="K13" s="496"/>
      <c r="L13" s="1327"/>
      <c r="M13" s="1327"/>
      <c r="N13" s="1327"/>
      <c r="O13" s="1327"/>
      <c r="P13" s="1327"/>
      <c r="Q13" s="1327"/>
      <c r="R13" s="1327"/>
      <c r="S13" s="1327"/>
      <c r="T13" s="1327"/>
      <c r="U13" s="1327"/>
      <c r="V13" s="1327"/>
      <c r="W13" s="1327"/>
      <c r="X13" s="1327"/>
      <c r="Y13" s="1327"/>
      <c r="Z13" s="1768"/>
    </row>
    <row r="14" spans="1:40" ht="15.75">
      <c r="A14" s="509" t="s">
        <v>14</v>
      </c>
      <c r="B14" s="1317"/>
      <c r="C14" s="1318"/>
      <c r="D14" s="1317"/>
      <c r="E14" s="1317"/>
      <c r="F14" s="1317"/>
      <c r="G14" s="1317"/>
      <c r="H14" s="1317"/>
      <c r="I14" s="1327"/>
      <c r="J14" s="1327"/>
      <c r="K14" s="1327"/>
      <c r="L14" s="1327"/>
      <c r="M14" s="1327"/>
      <c r="N14" s="1327"/>
      <c r="O14" s="1327"/>
      <c r="P14" s="1327"/>
      <c r="Q14" s="1327"/>
      <c r="R14" s="1327"/>
      <c r="S14" s="1327"/>
      <c r="T14" s="1327"/>
      <c r="U14" s="1327"/>
      <c r="V14" s="1327"/>
      <c r="W14" s="1327"/>
      <c r="X14" s="1327"/>
      <c r="Y14" s="1327"/>
      <c r="Z14" s="1768"/>
    </row>
    <row r="15" spans="1:40">
      <c r="A15" s="819" t="s">
        <v>472</v>
      </c>
      <c r="B15" s="1320">
        <v>68786104</v>
      </c>
      <c r="C15" s="1321"/>
      <c r="D15" s="1320">
        <v>51352065</v>
      </c>
      <c r="E15" s="1320"/>
      <c r="F15" s="1320">
        <v>60187824</v>
      </c>
      <c r="G15" s="1320"/>
      <c r="H15" s="1320">
        <v>68798997</v>
      </c>
      <c r="I15" s="1325"/>
      <c r="J15" s="1320">
        <v>60405723</v>
      </c>
      <c r="K15" s="1325"/>
      <c r="L15" s="1320">
        <v>70952125</v>
      </c>
      <c r="M15" s="1327"/>
      <c r="N15" s="1325">
        <v>55756250</v>
      </c>
      <c r="O15" s="1325"/>
      <c r="P15" s="1325">
        <v>59065187</v>
      </c>
      <c r="Q15" s="1325"/>
      <c r="R15" s="1325">
        <v>60999901</v>
      </c>
      <c r="S15" s="1325"/>
      <c r="T15" s="1325">
        <f>$Z15-$B15-$D15-$F15-$H15-$J15-$L15-$N15-$P15-$R15</f>
        <v>61273605</v>
      </c>
      <c r="U15" s="1325"/>
      <c r="V15" s="1325"/>
      <c r="W15" s="1325"/>
      <c r="X15" s="1325"/>
      <c r="Y15" s="1325"/>
      <c r="Z15" s="1325">
        <v>617577781</v>
      </c>
    </row>
    <row r="16" spans="1:40">
      <c r="A16" s="819" t="s">
        <v>1461</v>
      </c>
      <c r="B16" s="1320">
        <v>2160000</v>
      </c>
      <c r="C16" s="1321"/>
      <c r="D16" s="1320">
        <v>1133000</v>
      </c>
      <c r="E16" s="1320"/>
      <c r="F16" s="1320">
        <v>1346000</v>
      </c>
      <c r="G16" s="1320"/>
      <c r="H16" s="1320">
        <v>1945000</v>
      </c>
      <c r="I16" s="1325"/>
      <c r="J16" s="1320">
        <v>1308000</v>
      </c>
      <c r="K16" s="1325"/>
      <c r="L16" s="1320">
        <v>2075000</v>
      </c>
      <c r="M16" s="1327"/>
      <c r="N16" s="1325">
        <v>1665000</v>
      </c>
      <c r="O16" s="1325"/>
      <c r="P16" s="1325">
        <v>1555000</v>
      </c>
      <c r="Q16" s="1325"/>
      <c r="R16" s="1325">
        <v>1749000</v>
      </c>
      <c r="S16" s="1325"/>
      <c r="T16" s="1325">
        <f t="shared" ref="T16:T24" si="0">$Z16-$B16-$D16-$F16-$H16-$J16-$L16-$N16-$P16-$R16</f>
        <v>1868000</v>
      </c>
      <c r="U16" s="1325"/>
      <c r="V16" s="1325"/>
      <c r="W16" s="1325"/>
      <c r="X16" s="1325"/>
      <c r="Y16" s="1325"/>
      <c r="Z16" s="1325">
        <v>16804000</v>
      </c>
    </row>
    <row r="17" spans="1:28">
      <c r="A17" s="819" t="s">
        <v>1453</v>
      </c>
      <c r="B17" s="1320">
        <v>25877</v>
      </c>
      <c r="C17" s="1321"/>
      <c r="D17" s="1320">
        <v>69976</v>
      </c>
      <c r="E17" s="1320"/>
      <c r="F17" s="1320">
        <v>11670725</v>
      </c>
      <c r="G17" s="1320"/>
      <c r="H17" s="1320">
        <v>-348272</v>
      </c>
      <c r="I17" s="1325"/>
      <c r="J17" s="1320">
        <v>-123922</v>
      </c>
      <c r="K17" s="1325"/>
      <c r="L17" s="1320">
        <v>7357137</v>
      </c>
      <c r="M17" s="1327"/>
      <c r="N17" s="1325">
        <v>6765</v>
      </c>
      <c r="O17" s="1325"/>
      <c r="P17" s="1325">
        <v>27573</v>
      </c>
      <c r="Q17" s="1325"/>
      <c r="R17" s="1325">
        <v>6801844</v>
      </c>
      <c r="S17" s="1325"/>
      <c r="T17" s="1325">
        <f t="shared" si="0"/>
        <v>9407</v>
      </c>
      <c r="U17" s="1325"/>
      <c r="V17" s="1325"/>
      <c r="W17" s="1325"/>
      <c r="X17" s="1325"/>
      <c r="Y17" s="1325"/>
      <c r="Z17" s="1325">
        <v>25497110</v>
      </c>
    </row>
    <row r="18" spans="1:28">
      <c r="A18" s="819" t="s">
        <v>473</v>
      </c>
      <c r="B18" s="1320">
        <v>382848</v>
      </c>
      <c r="C18" s="1321"/>
      <c r="D18" s="1320">
        <v>258771</v>
      </c>
      <c r="E18" s="1320"/>
      <c r="F18" s="1320">
        <v>58513</v>
      </c>
      <c r="G18" s="1320"/>
      <c r="H18" s="1320">
        <v>43854</v>
      </c>
      <c r="I18" s="1325"/>
      <c r="J18" s="1320">
        <v>53717</v>
      </c>
      <c r="K18" s="1325"/>
      <c r="L18" s="1320">
        <v>52869</v>
      </c>
      <c r="M18" s="1327"/>
      <c r="N18" s="1325">
        <v>41598</v>
      </c>
      <c r="O18" s="1325"/>
      <c r="P18" s="1325">
        <v>38448</v>
      </c>
      <c r="Q18" s="1325"/>
      <c r="R18" s="1325">
        <v>48760</v>
      </c>
      <c r="S18" s="1325"/>
      <c r="T18" s="1325">
        <f t="shared" si="0"/>
        <v>55912</v>
      </c>
      <c r="U18" s="1325"/>
      <c r="V18" s="1325"/>
      <c r="W18" s="1325"/>
      <c r="X18" s="1325"/>
      <c r="Y18" s="1325"/>
      <c r="Z18" s="1325">
        <v>1035290</v>
      </c>
    </row>
    <row r="19" spans="1:28">
      <c r="A19" s="819" t="s">
        <v>474</v>
      </c>
      <c r="B19" s="1320">
        <v>0</v>
      </c>
      <c r="C19" s="1323"/>
      <c r="D19" s="1320">
        <v>0</v>
      </c>
      <c r="E19" s="1864"/>
      <c r="F19" s="1320">
        <v>0</v>
      </c>
      <c r="G19" s="1864"/>
      <c r="H19" s="1320">
        <v>0</v>
      </c>
      <c r="I19" s="1325"/>
      <c r="J19" s="1320">
        <v>0</v>
      </c>
      <c r="K19" s="1769"/>
      <c r="L19" s="1320">
        <v>0</v>
      </c>
      <c r="M19" s="1327"/>
      <c r="N19" s="1325">
        <v>0</v>
      </c>
      <c r="O19" s="1325"/>
      <c r="P19" s="1325">
        <v>0</v>
      </c>
      <c r="Q19" s="1325"/>
      <c r="R19" s="1325">
        <v>0</v>
      </c>
      <c r="S19" s="1325"/>
      <c r="T19" s="1325">
        <f t="shared" si="0"/>
        <v>0</v>
      </c>
      <c r="U19" s="1325"/>
      <c r="V19" s="1325"/>
      <c r="W19" s="1325"/>
      <c r="X19" s="1325"/>
      <c r="Y19" s="1325"/>
      <c r="Z19" s="1331">
        <v>0</v>
      </c>
    </row>
    <row r="20" spans="1:28">
      <c r="A20" s="819" t="s">
        <v>475</v>
      </c>
      <c r="B20" s="1320">
        <v>478443458</v>
      </c>
      <c r="C20" s="1321"/>
      <c r="D20" s="1320">
        <v>390720867</v>
      </c>
      <c r="E20" s="1320"/>
      <c r="F20" s="1320">
        <v>437012587</v>
      </c>
      <c r="G20" s="1320"/>
      <c r="H20" s="1320">
        <v>376078217</v>
      </c>
      <c r="I20" s="1325"/>
      <c r="J20" s="1320">
        <v>389691001</v>
      </c>
      <c r="K20" s="1325"/>
      <c r="L20" s="1320">
        <v>454153792</v>
      </c>
      <c r="M20" s="1327"/>
      <c r="N20" s="1325">
        <v>435070365</v>
      </c>
      <c r="O20" s="1325"/>
      <c r="P20" s="1325">
        <v>401657632</v>
      </c>
      <c r="Q20" s="1325"/>
      <c r="R20" s="1325">
        <v>444521644</v>
      </c>
      <c r="S20" s="1325"/>
      <c r="T20" s="1325">
        <f t="shared" si="0"/>
        <v>376057991</v>
      </c>
      <c r="U20" s="1325"/>
      <c r="V20" s="1325"/>
      <c r="W20" s="1325"/>
      <c r="X20" s="1325"/>
      <c r="Y20" s="1325"/>
      <c r="Z20" s="1325">
        <v>4183407554</v>
      </c>
    </row>
    <row r="21" spans="1:28">
      <c r="A21" s="819" t="s">
        <v>476</v>
      </c>
      <c r="B21" s="1320">
        <v>327000</v>
      </c>
      <c r="C21" s="1323"/>
      <c r="D21" s="1320">
        <v>46000</v>
      </c>
      <c r="E21" s="1320"/>
      <c r="F21" s="1320">
        <v>561000</v>
      </c>
      <c r="G21" s="1320"/>
      <c r="H21" s="1320">
        <v>930000</v>
      </c>
      <c r="I21" s="1325"/>
      <c r="J21" s="1320">
        <v>776000</v>
      </c>
      <c r="K21" s="1328"/>
      <c r="L21" s="1320">
        <v>1404000</v>
      </c>
      <c r="M21" s="1327"/>
      <c r="N21" s="1325">
        <v>199000</v>
      </c>
      <c r="O21" s="1325"/>
      <c r="P21" s="1325">
        <v>390000</v>
      </c>
      <c r="Q21" s="1325"/>
      <c r="R21" s="1325">
        <v>2067000</v>
      </c>
      <c r="S21" s="1325"/>
      <c r="T21" s="1325">
        <f t="shared" si="0"/>
        <v>1103000</v>
      </c>
      <c r="U21" s="1325"/>
      <c r="V21" s="1325"/>
      <c r="W21" s="1331"/>
      <c r="X21" s="1325"/>
      <c r="Y21" s="1325"/>
      <c r="Z21" s="1325">
        <v>7803000</v>
      </c>
    </row>
    <row r="22" spans="1:28">
      <c r="A22" s="819" t="s">
        <v>477</v>
      </c>
      <c r="B22" s="1320">
        <v>12000</v>
      </c>
      <c r="C22" s="1323"/>
      <c r="D22" s="1320">
        <v>4545140</v>
      </c>
      <c r="E22" s="1320"/>
      <c r="F22" s="1320">
        <v>5975618</v>
      </c>
      <c r="G22" s="1320"/>
      <c r="H22" s="1320">
        <v>9916208</v>
      </c>
      <c r="I22" s="1325"/>
      <c r="J22" s="1320">
        <v>2000366</v>
      </c>
      <c r="K22" s="1328"/>
      <c r="L22" s="1320">
        <v>4881029</v>
      </c>
      <c r="M22" s="1327"/>
      <c r="N22" s="1325">
        <v>2789602</v>
      </c>
      <c r="O22" s="1325"/>
      <c r="P22" s="1325">
        <v>3632553</v>
      </c>
      <c r="Q22" s="1325"/>
      <c r="R22" s="1325">
        <v>4734992</v>
      </c>
      <c r="S22" s="1325"/>
      <c r="T22" s="1325">
        <f t="shared" si="0"/>
        <v>3713400</v>
      </c>
      <c r="U22" s="1325"/>
      <c r="V22" s="1325"/>
      <c r="W22" s="1331"/>
      <c r="X22" s="1325"/>
      <c r="Y22" s="1325"/>
      <c r="Z22" s="1325">
        <v>42200908</v>
      </c>
    </row>
    <row r="23" spans="1:28">
      <c r="A23" s="819" t="s">
        <v>478</v>
      </c>
      <c r="B23" s="1320">
        <v>0</v>
      </c>
      <c r="C23" s="1323"/>
      <c r="D23" s="1320">
        <v>0</v>
      </c>
      <c r="E23" s="1320"/>
      <c r="F23" s="1320">
        <v>0</v>
      </c>
      <c r="G23" s="1320"/>
      <c r="H23" s="1320">
        <v>0</v>
      </c>
      <c r="I23" s="1325"/>
      <c r="J23" s="1320">
        <v>0</v>
      </c>
      <c r="K23" s="1328"/>
      <c r="L23" s="1320">
        <v>0</v>
      </c>
      <c r="M23" s="1327"/>
      <c r="N23" s="1325">
        <v>0</v>
      </c>
      <c r="O23" s="1325"/>
      <c r="P23" s="1325">
        <v>0</v>
      </c>
      <c r="Q23" s="1325"/>
      <c r="R23" s="1325">
        <v>0</v>
      </c>
      <c r="S23" s="1325"/>
      <c r="T23" s="1325">
        <f t="shared" si="0"/>
        <v>0</v>
      </c>
      <c r="U23" s="1325"/>
      <c r="V23" s="1325"/>
      <c r="W23" s="1331"/>
      <c r="X23" s="1325"/>
      <c r="Y23" s="1325"/>
      <c r="Z23" s="1325">
        <v>0</v>
      </c>
    </row>
    <row r="24" spans="1:28">
      <c r="A24" s="819" t="s">
        <v>479</v>
      </c>
      <c r="B24" s="1320">
        <v>0</v>
      </c>
      <c r="C24" s="1865"/>
      <c r="D24" s="1320">
        <v>0</v>
      </c>
      <c r="E24" s="1320"/>
      <c r="F24" s="1320">
        <v>297248</v>
      </c>
      <c r="G24" s="1320"/>
      <c r="H24" s="1320">
        <v>0</v>
      </c>
      <c r="I24" s="1325"/>
      <c r="J24" s="1320">
        <v>1148</v>
      </c>
      <c r="K24" s="1325"/>
      <c r="L24" s="1320">
        <v>0</v>
      </c>
      <c r="M24" s="1327"/>
      <c r="N24" s="1325">
        <v>483</v>
      </c>
      <c r="O24" s="1325"/>
      <c r="P24" s="1325">
        <v>0</v>
      </c>
      <c r="Q24" s="1325"/>
      <c r="R24" s="1325">
        <v>22682</v>
      </c>
      <c r="S24" s="1325"/>
      <c r="T24" s="1325">
        <f t="shared" si="0"/>
        <v>28874</v>
      </c>
      <c r="U24" s="1325"/>
      <c r="V24" s="1325"/>
      <c r="W24" s="1325"/>
      <c r="X24" s="1325"/>
      <c r="Y24" s="1325"/>
      <c r="Z24" s="1325">
        <v>350435</v>
      </c>
    </row>
    <row r="25" spans="1:28" s="1765" customFormat="1" ht="15.75">
      <c r="A25" s="509" t="s">
        <v>150</v>
      </c>
      <c r="B25" s="1866">
        <f>ROUND(SUM(B15:B24),0)</f>
        <v>550137287</v>
      </c>
      <c r="C25" s="505"/>
      <c r="D25" s="1866">
        <f>ROUND(SUM(D15:D24),0)</f>
        <v>448125819</v>
      </c>
      <c r="E25" s="506"/>
      <c r="F25" s="1866">
        <f>ROUND(SUM(F15:F24),0)</f>
        <v>517109515</v>
      </c>
      <c r="G25" s="506"/>
      <c r="H25" s="1866">
        <f>ROUND(SUM(H15:H24),0)</f>
        <v>457364004</v>
      </c>
      <c r="I25" s="1770"/>
      <c r="J25" s="1733">
        <f>ROUND(SUM(J15:J24),0)</f>
        <v>454112033</v>
      </c>
      <c r="K25" s="508"/>
      <c r="L25" s="1733">
        <f>ROUND(SUM(L15:L24),0)</f>
        <v>540875952</v>
      </c>
      <c r="M25" s="511"/>
      <c r="N25" s="1733">
        <f>ROUND(SUM(N15:N24),0)</f>
        <v>495529063</v>
      </c>
      <c r="O25" s="1770"/>
      <c r="P25" s="1733">
        <f>ROUND(SUM(P15:P24),0)</f>
        <v>466366393</v>
      </c>
      <c r="Q25" s="1770"/>
      <c r="R25" s="1733">
        <f>ROUND(SUM(R15:R24),0)</f>
        <v>520945823</v>
      </c>
      <c r="S25" s="1770"/>
      <c r="T25" s="1733">
        <f>ROUND(SUM(T15:T24),0)</f>
        <v>444110189</v>
      </c>
      <c r="U25" s="1770"/>
      <c r="V25" s="1733">
        <f>ROUND(SUM(V15:V24),0)</f>
        <v>0</v>
      </c>
      <c r="W25" s="1770"/>
      <c r="X25" s="1733">
        <f>ROUND(SUM(X15:X24),0)</f>
        <v>0</v>
      </c>
      <c r="Y25" s="1770"/>
      <c r="Z25" s="507">
        <f>ROUND(SUM(Z15:Z24),0)</f>
        <v>4894676078</v>
      </c>
      <c r="AA25" s="3449"/>
      <c r="AB25" s="1771"/>
    </row>
    <row r="26" spans="1:28">
      <c r="A26" s="1766"/>
      <c r="B26" s="1320"/>
      <c r="C26" s="1321"/>
      <c r="D26" s="1320"/>
      <c r="E26" s="1320"/>
      <c r="F26" s="1320"/>
      <c r="G26" s="1320"/>
      <c r="H26" s="1320"/>
      <c r="I26" s="1325"/>
      <c r="J26" s="1325"/>
      <c r="K26" s="1325"/>
      <c r="L26" s="1325"/>
      <c r="M26" s="1327"/>
      <c r="N26" s="1325"/>
      <c r="O26" s="1325"/>
      <c r="P26" s="1325"/>
      <c r="Q26" s="1325"/>
      <c r="R26" s="1325"/>
      <c r="S26" s="1325"/>
      <c r="T26" s="1325"/>
      <c r="U26" s="1325"/>
      <c r="V26" s="1325"/>
      <c r="W26" s="1325"/>
      <c r="X26" s="1325"/>
      <c r="Y26" s="1325"/>
      <c r="Z26" s="1322"/>
    </row>
    <row r="27" spans="1:28" ht="15.75">
      <c r="A27" s="509" t="s">
        <v>23</v>
      </c>
      <c r="B27" s="1320"/>
      <c r="C27" s="1321"/>
      <c r="D27" s="1320"/>
      <c r="E27" s="1320"/>
      <c r="F27" s="1320"/>
      <c r="G27" s="1320"/>
      <c r="H27" s="1320"/>
      <c r="I27" s="1325"/>
      <c r="J27" s="1325"/>
      <c r="K27" s="1325"/>
      <c r="L27" s="1325"/>
      <c r="M27" s="1327"/>
      <c r="N27" s="1325"/>
      <c r="O27" s="1325"/>
      <c r="P27" s="1325"/>
      <c r="Q27" s="1325"/>
      <c r="R27" s="1325"/>
      <c r="S27" s="1325"/>
      <c r="T27" s="1325"/>
      <c r="U27" s="1325"/>
      <c r="V27" s="1325"/>
      <c r="W27" s="1325"/>
      <c r="X27" s="1325"/>
      <c r="Y27" s="1325"/>
      <c r="Z27" s="1322"/>
    </row>
    <row r="28" spans="1:28">
      <c r="A28" s="819" t="s">
        <v>480</v>
      </c>
      <c r="B28" s="1320">
        <v>466021724</v>
      </c>
      <c r="C28" s="1326"/>
      <c r="D28" s="1320">
        <v>462778011</v>
      </c>
      <c r="E28" s="1325"/>
      <c r="F28" s="1320">
        <v>97733246</v>
      </c>
      <c r="G28" s="1325"/>
      <c r="H28" s="1320">
        <v>756144082</v>
      </c>
      <c r="I28" s="1325"/>
      <c r="J28" s="1320">
        <v>414416738</v>
      </c>
      <c r="K28" s="1325"/>
      <c r="L28" s="1320">
        <v>642214484</v>
      </c>
      <c r="M28" s="1327"/>
      <c r="N28" s="1325">
        <v>404418743</v>
      </c>
      <c r="O28" s="1325"/>
      <c r="P28" s="1325">
        <v>442607097</v>
      </c>
      <c r="Q28" s="1325"/>
      <c r="R28" s="1325">
        <v>510453711</v>
      </c>
      <c r="S28" s="1325"/>
      <c r="T28" s="1325">
        <f t="shared" ref="T28:T32" si="1">$Z28-$B28-$D28-$F28-$H28-$J28-$L28-$N28-$P28-$R28</f>
        <v>501400673</v>
      </c>
      <c r="U28" s="1325"/>
      <c r="V28" s="1325"/>
      <c r="W28" s="1325"/>
      <c r="X28" s="1325"/>
      <c r="Y28" s="1325"/>
      <c r="Z28" s="1325">
        <v>4698188509</v>
      </c>
    </row>
    <row r="29" spans="1:28">
      <c r="A29" s="819" t="s">
        <v>481</v>
      </c>
      <c r="B29" s="1320">
        <v>36</v>
      </c>
      <c r="C29" s="1326"/>
      <c r="D29" s="1320">
        <v>22</v>
      </c>
      <c r="E29" s="1325"/>
      <c r="F29" s="1320">
        <v>26224</v>
      </c>
      <c r="G29" s="1325"/>
      <c r="H29" s="1320">
        <v>11452</v>
      </c>
      <c r="I29" s="1325"/>
      <c r="J29" s="1320">
        <v>-5834</v>
      </c>
      <c r="K29" s="1325"/>
      <c r="L29" s="1320">
        <v>-3803</v>
      </c>
      <c r="M29" s="1327"/>
      <c r="N29" s="1325">
        <v>610</v>
      </c>
      <c r="O29" s="1325"/>
      <c r="P29" s="1325">
        <v>203</v>
      </c>
      <c r="Q29" s="1325"/>
      <c r="R29" s="1325">
        <v>-642</v>
      </c>
      <c r="S29" s="1325"/>
      <c r="T29" s="1325">
        <f t="shared" si="1"/>
        <v>84</v>
      </c>
      <c r="U29" s="1325"/>
      <c r="V29" s="1325"/>
      <c r="W29" s="1325"/>
      <c r="X29" s="1325"/>
      <c r="Y29" s="1325"/>
      <c r="Z29" s="1325">
        <v>28352</v>
      </c>
      <c r="AB29" s="1772"/>
    </row>
    <row r="30" spans="1:28">
      <c r="A30" s="819" t="s">
        <v>482</v>
      </c>
      <c r="B30" s="1320">
        <v>1509162</v>
      </c>
      <c r="C30" s="1326"/>
      <c r="D30" s="1320">
        <v>534992</v>
      </c>
      <c r="E30" s="1325"/>
      <c r="F30" s="1320">
        <v>1290941</v>
      </c>
      <c r="G30" s="1325"/>
      <c r="H30" s="1320">
        <v>270686</v>
      </c>
      <c r="I30" s="1325"/>
      <c r="J30" s="1320">
        <v>1523044</v>
      </c>
      <c r="K30" s="1325"/>
      <c r="L30" s="1320">
        <v>750054</v>
      </c>
      <c r="M30" s="1327"/>
      <c r="N30" s="1325">
        <v>1609108</v>
      </c>
      <c r="O30" s="1325"/>
      <c r="P30" s="1325">
        <v>983288</v>
      </c>
      <c r="Q30" s="1325"/>
      <c r="R30" s="1325">
        <v>345679</v>
      </c>
      <c r="S30" s="1325"/>
      <c r="T30" s="1325">
        <f t="shared" si="1"/>
        <v>1628961</v>
      </c>
      <c r="U30" s="1325"/>
      <c r="V30" s="1325"/>
      <c r="W30" s="1325"/>
      <c r="X30" s="1325"/>
      <c r="Y30" s="1325"/>
      <c r="Z30" s="1325">
        <v>10445915</v>
      </c>
    </row>
    <row r="31" spans="1:28">
      <c r="A31" s="819" t="s">
        <v>483</v>
      </c>
      <c r="B31" s="1320">
        <v>55956</v>
      </c>
      <c r="C31" s="1326"/>
      <c r="D31" s="1320">
        <v>-291867</v>
      </c>
      <c r="E31" s="1325"/>
      <c r="F31" s="1320">
        <v>5284609</v>
      </c>
      <c r="G31" s="1325"/>
      <c r="H31" s="1320">
        <v>4077923</v>
      </c>
      <c r="I31" s="1325"/>
      <c r="J31" s="1320">
        <v>3349084</v>
      </c>
      <c r="K31" s="1325"/>
      <c r="L31" s="1320">
        <v>7839793</v>
      </c>
      <c r="M31" s="1327"/>
      <c r="N31" s="1325">
        <v>3878285</v>
      </c>
      <c r="O31" s="1325"/>
      <c r="P31" s="1325">
        <v>2812150</v>
      </c>
      <c r="Q31" s="1325"/>
      <c r="R31" s="1325">
        <v>5182277</v>
      </c>
      <c r="S31" s="1325"/>
      <c r="T31" s="1325">
        <f t="shared" si="1"/>
        <v>1084498</v>
      </c>
      <c r="U31" s="1325"/>
      <c r="V31" s="1325"/>
      <c r="W31" s="1325"/>
      <c r="X31" s="1325"/>
      <c r="Y31" s="1325"/>
      <c r="Z31" s="1325">
        <v>33272708</v>
      </c>
    </row>
    <row r="32" spans="1:28">
      <c r="A32" s="819" t="s">
        <v>484</v>
      </c>
      <c r="B32" s="1320">
        <v>612447</v>
      </c>
      <c r="C32" s="1326"/>
      <c r="D32" s="1320">
        <v>299051</v>
      </c>
      <c r="E32" s="1325"/>
      <c r="F32" s="1320">
        <v>1164130</v>
      </c>
      <c r="G32" s="1325"/>
      <c r="H32" s="1320">
        <v>638546</v>
      </c>
      <c r="I32" s="1325"/>
      <c r="J32" s="1320">
        <v>568694</v>
      </c>
      <c r="K32" s="1325"/>
      <c r="L32" s="1320">
        <v>194836</v>
      </c>
      <c r="M32" s="1327"/>
      <c r="N32" s="1325">
        <v>891073</v>
      </c>
      <c r="O32" s="1325"/>
      <c r="P32" s="1325">
        <v>593884</v>
      </c>
      <c r="Q32" s="1325"/>
      <c r="R32" s="1325">
        <v>511315</v>
      </c>
      <c r="S32" s="1325"/>
      <c r="T32" s="1325">
        <f t="shared" si="1"/>
        <v>1024088</v>
      </c>
      <c r="U32" s="1325"/>
      <c r="V32" s="1325"/>
      <c r="W32" s="1325"/>
      <c r="X32" s="1325"/>
      <c r="Y32" s="1325"/>
      <c r="Z32" s="1325">
        <v>6498064</v>
      </c>
    </row>
    <row r="33" spans="1:28" ht="15.75">
      <c r="A33" s="509" t="s">
        <v>156</v>
      </c>
      <c r="B33" s="1733">
        <f>ROUND(SUM(B28:B32),0)</f>
        <v>468199325</v>
      </c>
      <c r="C33" s="1326"/>
      <c r="D33" s="1733">
        <f>ROUND(SUM(D28:D32),0)</f>
        <v>463320209</v>
      </c>
      <c r="E33" s="1325"/>
      <c r="F33" s="1733">
        <f>ROUND(SUM(F28:F32),0)</f>
        <v>105499150</v>
      </c>
      <c r="G33" s="1325"/>
      <c r="H33" s="1733">
        <f>ROUND(SUM(H28:H32),0)</f>
        <v>761142689</v>
      </c>
      <c r="I33" s="1325"/>
      <c r="J33" s="1733">
        <f>ROUND(SUM(J28:J32),0)</f>
        <v>419851726</v>
      </c>
      <c r="K33" s="1325"/>
      <c r="L33" s="1733">
        <f>ROUND(SUM(L28:L32),0)</f>
        <v>650995364</v>
      </c>
      <c r="M33" s="1327"/>
      <c r="N33" s="1733">
        <f>ROUND(SUM(N28:N32),0)</f>
        <v>410797819</v>
      </c>
      <c r="O33" s="1325"/>
      <c r="P33" s="1733">
        <f>ROUND(SUM(P28:P32),0)</f>
        <v>446996622</v>
      </c>
      <c r="Q33" s="1325"/>
      <c r="R33" s="1733">
        <f>ROUND(SUM(R28:R32),0)</f>
        <v>516492340</v>
      </c>
      <c r="S33" s="1325"/>
      <c r="T33" s="1733">
        <f>ROUND(SUM(T28:T32),0)</f>
        <v>505138304</v>
      </c>
      <c r="U33" s="1325"/>
      <c r="V33" s="1733">
        <f>ROUND(SUM(V28:V32),0)</f>
        <v>0</v>
      </c>
      <c r="W33" s="1325"/>
      <c r="X33" s="1733">
        <f>ROUND(SUM(X28:X32),0)</f>
        <v>0</v>
      </c>
      <c r="Y33" s="1325"/>
      <c r="Z33" s="507">
        <f>ROUND(SUM(Z28:Z32),0)</f>
        <v>4748433548</v>
      </c>
    </row>
    <row r="34" spans="1:28" ht="15.75">
      <c r="A34" s="509"/>
      <c r="B34" s="1325"/>
      <c r="C34" s="1326"/>
      <c r="D34" s="1325"/>
      <c r="E34" s="1325"/>
      <c r="F34" s="1331"/>
      <c r="G34" s="1325"/>
      <c r="H34" s="1331"/>
      <c r="I34" s="1325"/>
      <c r="J34" s="1325"/>
      <c r="K34" s="1325"/>
      <c r="L34" s="1325"/>
      <c r="M34" s="1327"/>
      <c r="N34" s="1325"/>
      <c r="O34" s="1325"/>
      <c r="P34" s="1325"/>
      <c r="Q34" s="1325"/>
      <c r="R34" s="1325"/>
      <c r="S34" s="1325"/>
      <c r="T34" s="1325"/>
      <c r="U34" s="1325"/>
      <c r="V34" s="1325"/>
      <c r="W34" s="1325"/>
      <c r="X34" s="1325"/>
      <c r="Y34" s="1325"/>
      <c r="Z34" s="1322"/>
    </row>
    <row r="35" spans="1:28" ht="15.75">
      <c r="A35" s="510" t="s">
        <v>485</v>
      </c>
      <c r="B35" s="1331"/>
      <c r="C35" s="1332"/>
      <c r="D35" s="1331"/>
      <c r="E35" s="1325"/>
      <c r="F35" s="1330"/>
      <c r="G35" s="1325"/>
      <c r="H35" s="1331"/>
      <c r="I35" s="1325"/>
      <c r="J35" s="1331"/>
      <c r="K35" s="1325"/>
      <c r="L35" s="1331"/>
      <c r="M35" s="1327"/>
      <c r="N35" s="1331"/>
      <c r="O35" s="1325"/>
      <c r="P35" s="1331"/>
      <c r="Q35" s="1325"/>
      <c r="R35" s="1331"/>
      <c r="S35" s="1325"/>
      <c r="T35" s="1331"/>
      <c r="U35" s="1325"/>
      <c r="V35" s="1331"/>
      <c r="W35" s="1325"/>
      <c r="X35" s="1331"/>
      <c r="Y35" s="1325"/>
      <c r="Z35" s="1322"/>
    </row>
    <row r="36" spans="1:28">
      <c r="A36" s="819" t="s">
        <v>486</v>
      </c>
      <c r="B36" s="1320">
        <v>0</v>
      </c>
      <c r="C36" s="1332"/>
      <c r="D36" s="1320">
        <v>0</v>
      </c>
      <c r="E36" s="1325"/>
      <c r="F36" s="1320">
        <v>0</v>
      </c>
      <c r="G36" s="1325"/>
      <c r="H36" s="1320">
        <v>0</v>
      </c>
      <c r="I36" s="1325"/>
      <c r="J36" s="1320">
        <v>0</v>
      </c>
      <c r="K36" s="1325"/>
      <c r="L36" s="1320">
        <v>0</v>
      </c>
      <c r="M36" s="1327"/>
      <c r="N36" s="1325">
        <v>0</v>
      </c>
      <c r="O36" s="1325"/>
      <c r="P36" s="1325">
        <v>0</v>
      </c>
      <c r="Q36" s="1325"/>
      <c r="R36" s="1325">
        <v>0</v>
      </c>
      <c r="S36" s="1325"/>
      <c r="T36" s="1325">
        <f t="shared" ref="T36:T42" si="2">$Z36-$B36-$D36-$F36-$H36-$J36-$L36-$N36-$P36-$R36</f>
        <v>0</v>
      </c>
      <c r="U36" s="1325"/>
      <c r="V36" s="1325"/>
      <c r="W36" s="1325"/>
      <c r="X36" s="1325"/>
      <c r="Y36" s="1325"/>
      <c r="Z36" s="1325">
        <v>0</v>
      </c>
    </row>
    <row r="37" spans="1:28">
      <c r="A37" s="819" t="s">
        <v>487</v>
      </c>
      <c r="B37" s="1320">
        <v>0</v>
      </c>
      <c r="C37" s="1332"/>
      <c r="D37" s="1320">
        <v>0</v>
      </c>
      <c r="E37" s="1325"/>
      <c r="F37" s="1320">
        <v>297248</v>
      </c>
      <c r="G37" s="1325"/>
      <c r="H37" s="1320">
        <v>0</v>
      </c>
      <c r="I37" s="1325"/>
      <c r="J37" s="1320">
        <v>1147</v>
      </c>
      <c r="K37" s="1325"/>
      <c r="L37" s="1320">
        <v>0</v>
      </c>
      <c r="M37" s="1327"/>
      <c r="N37" s="1325">
        <v>484</v>
      </c>
      <c r="O37" s="1325"/>
      <c r="P37" s="1325">
        <v>0</v>
      </c>
      <c r="Q37" s="1325"/>
      <c r="R37" s="1325">
        <v>132000</v>
      </c>
      <c r="S37" s="1325"/>
      <c r="T37" s="1325">
        <f t="shared" si="2"/>
        <v>1607</v>
      </c>
      <c r="U37" s="1325"/>
      <c r="V37" s="1325"/>
      <c r="W37" s="1325"/>
      <c r="X37" s="1325"/>
      <c r="Y37" s="1325"/>
      <c r="Z37" s="1325">
        <v>432486</v>
      </c>
    </row>
    <row r="38" spans="1:28">
      <c r="A38" s="819" t="s">
        <v>145</v>
      </c>
      <c r="B38" s="1320">
        <v>0</v>
      </c>
      <c r="C38" s="1332"/>
      <c r="D38" s="1320">
        <v>0</v>
      </c>
      <c r="E38" s="1325"/>
      <c r="F38" s="1320">
        <v>0</v>
      </c>
      <c r="G38" s="1325"/>
      <c r="H38" s="1320">
        <v>0</v>
      </c>
      <c r="I38" s="1325"/>
      <c r="J38" s="1320">
        <v>2276000</v>
      </c>
      <c r="K38" s="1325"/>
      <c r="L38" s="1320">
        <v>2650324</v>
      </c>
      <c r="M38" s="1327"/>
      <c r="N38" s="1325">
        <v>0</v>
      </c>
      <c r="O38" s="1325"/>
      <c r="P38" s="1325">
        <v>0</v>
      </c>
      <c r="Q38" s="1325"/>
      <c r="R38" s="1325">
        <v>0</v>
      </c>
      <c r="S38" s="1325"/>
      <c r="T38" s="1325">
        <f t="shared" si="2"/>
        <v>0</v>
      </c>
      <c r="U38" s="1325"/>
      <c r="V38" s="1325"/>
      <c r="W38" s="1325"/>
      <c r="X38" s="1325"/>
      <c r="Y38" s="1325"/>
      <c r="Z38" s="1325">
        <v>4926324</v>
      </c>
    </row>
    <row r="39" spans="1:28">
      <c r="A39" s="819" t="s">
        <v>1462</v>
      </c>
      <c r="B39" s="1320" t="s">
        <v>15</v>
      </c>
      <c r="C39" s="1868"/>
      <c r="D39" s="1320"/>
      <c r="E39" s="1868"/>
      <c r="F39" s="1320"/>
      <c r="G39" s="1868"/>
      <c r="H39" s="1320"/>
      <c r="I39" s="1773"/>
      <c r="J39" s="1320"/>
      <c r="K39" s="1773"/>
      <c r="L39" s="1320"/>
      <c r="M39" s="1327"/>
      <c r="N39" s="1325"/>
      <c r="O39" s="1773"/>
      <c r="P39" s="1325"/>
      <c r="Q39" s="1773"/>
      <c r="R39" s="1325"/>
      <c r="S39" s="1773"/>
      <c r="T39" s="1325"/>
      <c r="U39" s="1773"/>
      <c r="V39" s="1325"/>
      <c r="W39" s="1773"/>
      <c r="X39" s="1325"/>
      <c r="Y39" s="1773"/>
      <c r="Z39" s="1773"/>
    </row>
    <row r="40" spans="1:28">
      <c r="A40" s="819" t="s">
        <v>488</v>
      </c>
      <c r="B40" s="1320">
        <v>989254</v>
      </c>
      <c r="C40" s="1332"/>
      <c r="D40" s="1320">
        <v>0</v>
      </c>
      <c r="E40" s="1325"/>
      <c r="F40" s="1320">
        <v>0</v>
      </c>
      <c r="G40" s="1325"/>
      <c r="H40" s="1320">
        <v>0</v>
      </c>
      <c r="I40" s="1325"/>
      <c r="J40" s="1320">
        <v>0</v>
      </c>
      <c r="K40" s="1325"/>
      <c r="L40" s="1320">
        <v>222807</v>
      </c>
      <c r="M40" s="1327"/>
      <c r="N40" s="1325">
        <v>-1</v>
      </c>
      <c r="O40" s="1325"/>
      <c r="P40" s="1325">
        <v>1</v>
      </c>
      <c r="Q40" s="1325"/>
      <c r="R40" s="1325">
        <v>0</v>
      </c>
      <c r="S40" s="1325"/>
      <c r="T40" s="1325">
        <f t="shared" si="2"/>
        <v>0</v>
      </c>
      <c r="U40" s="1325"/>
      <c r="V40" s="1325"/>
      <c r="W40" s="1325"/>
      <c r="X40" s="1325"/>
      <c r="Y40" s="1325"/>
      <c r="Z40" s="1325">
        <v>1212061</v>
      </c>
    </row>
    <row r="41" spans="1:28">
      <c r="A41" s="819" t="s">
        <v>489</v>
      </c>
      <c r="B41" s="1320">
        <v>0</v>
      </c>
      <c r="C41" s="1332"/>
      <c r="D41" s="1320">
        <v>0</v>
      </c>
      <c r="E41" s="1325"/>
      <c r="F41" s="1320">
        <v>0</v>
      </c>
      <c r="G41" s="1325"/>
      <c r="H41" s="1320">
        <v>0</v>
      </c>
      <c r="I41" s="1325"/>
      <c r="J41" s="1320">
        <v>0</v>
      </c>
      <c r="K41" s="1325"/>
      <c r="L41" s="1320">
        <v>0</v>
      </c>
      <c r="M41" s="1327"/>
      <c r="N41" s="1325">
        <v>7100000</v>
      </c>
      <c r="O41" s="1325"/>
      <c r="P41" s="1325">
        <v>0</v>
      </c>
      <c r="Q41" s="1325"/>
      <c r="R41" s="1325">
        <v>0</v>
      </c>
      <c r="S41" s="1325"/>
      <c r="T41" s="1325">
        <f t="shared" si="2"/>
        <v>0</v>
      </c>
      <c r="U41" s="1325"/>
      <c r="V41" s="1325"/>
      <c r="W41" s="1325"/>
      <c r="X41" s="1325"/>
      <c r="Y41" s="1325"/>
      <c r="Z41" s="1325">
        <v>7100000</v>
      </c>
    </row>
    <row r="42" spans="1:28">
      <c r="A42" s="819" t="s">
        <v>490</v>
      </c>
      <c r="B42" s="1320">
        <v>888590</v>
      </c>
      <c r="C42" s="1332"/>
      <c r="D42" s="1320">
        <v>487522</v>
      </c>
      <c r="E42" s="1325"/>
      <c r="F42" s="1320">
        <v>883664</v>
      </c>
      <c r="G42" s="1325"/>
      <c r="H42" s="1320">
        <v>601328</v>
      </c>
      <c r="I42" s="1325"/>
      <c r="J42" s="1320">
        <v>394151</v>
      </c>
      <c r="K42" s="1325"/>
      <c r="L42" s="1320">
        <v>394151</v>
      </c>
      <c r="M42" s="1327"/>
      <c r="N42" s="1325">
        <v>384116</v>
      </c>
      <c r="O42" s="1325"/>
      <c r="P42" s="1325">
        <v>208610</v>
      </c>
      <c r="Q42" s="1325"/>
      <c r="R42" s="1325">
        <v>208610</v>
      </c>
      <c r="S42" s="1325"/>
      <c r="T42" s="1325">
        <f t="shared" si="2"/>
        <v>678612</v>
      </c>
      <c r="U42" s="1325"/>
      <c r="V42" s="1325"/>
      <c r="W42" s="1325"/>
      <c r="X42" s="1325"/>
      <c r="Y42" s="1325"/>
      <c r="Z42" s="1325">
        <v>5129354</v>
      </c>
    </row>
    <row r="43" spans="1:28" ht="15.75">
      <c r="A43" s="509" t="s">
        <v>491</v>
      </c>
      <c r="B43" s="1869">
        <f>ROUND(SUM(B36:B42),0)</f>
        <v>1877844</v>
      </c>
      <c r="C43" s="1323"/>
      <c r="D43" s="1869">
        <f>ROUND(SUM(D36:D42),0)</f>
        <v>487522</v>
      </c>
      <c r="E43" s="1320"/>
      <c r="F43" s="1869">
        <f>ROUND(SUM(F36:F42),0)</f>
        <v>1180912</v>
      </c>
      <c r="G43" s="1320"/>
      <c r="H43" s="1869">
        <f>ROUND(SUM(H36:H42),0)</f>
        <v>601328</v>
      </c>
      <c r="I43" s="1325"/>
      <c r="J43" s="1774">
        <f>ROUND(SUM(J36:J42),0)</f>
        <v>2671298</v>
      </c>
      <c r="K43" s="1325"/>
      <c r="L43" s="1774">
        <f>ROUND(SUM(L36:L42),0)</f>
        <v>3267282</v>
      </c>
      <c r="M43" s="1327"/>
      <c r="N43" s="1774">
        <f>ROUND(SUM(N36:N42),0)</f>
        <v>7484599</v>
      </c>
      <c r="O43" s="1325"/>
      <c r="P43" s="1774">
        <f>ROUND(SUM(P36:P42),0)</f>
        <v>208611</v>
      </c>
      <c r="Q43" s="1325"/>
      <c r="R43" s="1774">
        <f>ROUND(SUM(R36:R42),0)</f>
        <v>340610</v>
      </c>
      <c r="S43" s="1325"/>
      <c r="T43" s="1774">
        <f>ROUND(SUM(T36:T42),0)</f>
        <v>680219</v>
      </c>
      <c r="U43" s="1325"/>
      <c r="V43" s="1774">
        <f>ROUND(SUM(V36:V42),0)</f>
        <v>0</v>
      </c>
      <c r="W43" s="1325"/>
      <c r="X43" s="1774">
        <f>ROUND(SUM(X36:X42),0)</f>
        <v>0</v>
      </c>
      <c r="Y43" s="1325"/>
      <c r="Z43" s="1775">
        <f>ROUND(SUM(Z36:Z42),0)</f>
        <v>18800225</v>
      </c>
    </row>
    <row r="44" spans="1:28">
      <c r="B44" s="1870"/>
      <c r="C44" s="1323"/>
      <c r="D44" s="1870"/>
      <c r="E44" s="1320"/>
      <c r="F44" s="1871"/>
      <c r="G44" s="1320"/>
      <c r="H44" s="1870"/>
      <c r="I44" s="1325"/>
      <c r="J44" s="1776"/>
      <c r="K44" s="1325"/>
      <c r="L44" s="1776"/>
      <c r="M44" s="1327"/>
      <c r="N44" s="1776"/>
      <c r="O44" s="1325"/>
      <c r="P44" s="1776"/>
      <c r="Q44" s="1325"/>
      <c r="R44" s="1776"/>
      <c r="S44" s="1325"/>
      <c r="T44" s="1776"/>
      <c r="U44" s="1325"/>
      <c r="V44" s="1776"/>
      <c r="W44" s="1325"/>
      <c r="X44" s="1776"/>
      <c r="Y44" s="1325"/>
      <c r="Z44" s="1777"/>
    </row>
    <row r="45" spans="1:28" s="1765" customFormat="1" ht="15.75">
      <c r="A45" s="509" t="s">
        <v>492</v>
      </c>
      <c r="B45" s="1334">
        <f>ROUND(B33+B43,0)</f>
        <v>470077169</v>
      </c>
      <c r="C45" s="505"/>
      <c r="D45" s="1334">
        <f>ROUND(D33+D43,0)</f>
        <v>463807731</v>
      </c>
      <c r="E45" s="506"/>
      <c r="F45" s="1334">
        <f>ROUND(F33+F43,0)</f>
        <v>106680062</v>
      </c>
      <c r="G45" s="506"/>
      <c r="H45" s="1334">
        <f>ROUND(H33+H43,0)</f>
        <v>761744017</v>
      </c>
      <c r="I45" s="1770"/>
      <c r="J45" s="1778">
        <f>ROUND(J33+J43,0)</f>
        <v>422523024</v>
      </c>
      <c r="K45" s="508"/>
      <c r="L45" s="1778">
        <f>ROUND(L33+L43,0)</f>
        <v>654262646</v>
      </c>
      <c r="M45" s="511"/>
      <c r="N45" s="1778">
        <f>ROUND(N33+N43,0)</f>
        <v>418282418</v>
      </c>
      <c r="O45" s="1770"/>
      <c r="P45" s="1778">
        <f>ROUND(P33+P43,0)</f>
        <v>447205233</v>
      </c>
      <c r="Q45" s="1770"/>
      <c r="R45" s="1778">
        <f>ROUND(R33+R43,0)</f>
        <v>516832950</v>
      </c>
      <c r="S45" s="1770"/>
      <c r="T45" s="1778">
        <f>ROUND(T33+T43,0)</f>
        <v>505818523</v>
      </c>
      <c r="U45" s="1770"/>
      <c r="V45" s="1778">
        <f>ROUND(V33+V43,0)</f>
        <v>0</v>
      </c>
      <c r="W45" s="1770"/>
      <c r="X45" s="1778">
        <f>ROUND(X33+X43,0)</f>
        <v>0</v>
      </c>
      <c r="Y45" s="1770"/>
      <c r="Z45" s="1778">
        <f>ROUND(Z33+Z43,0)</f>
        <v>4767233773</v>
      </c>
      <c r="AA45" s="3449"/>
      <c r="AB45" s="1771"/>
    </row>
    <row r="46" spans="1:28">
      <c r="A46" s="1766"/>
      <c r="B46" s="1318"/>
      <c r="C46" s="1318"/>
      <c r="D46" s="1318"/>
      <c r="E46" s="1317"/>
      <c r="F46" s="1318"/>
      <c r="G46" s="1317"/>
      <c r="H46" s="1318"/>
      <c r="I46" s="1327"/>
      <c r="J46" s="1767"/>
      <c r="K46" s="1767"/>
      <c r="L46" s="1767"/>
      <c r="M46" s="1327"/>
      <c r="N46" s="1767"/>
      <c r="O46" s="1327"/>
      <c r="P46" s="1767"/>
      <c r="Q46" s="1327"/>
      <c r="R46" s="1767"/>
      <c r="S46" s="1327"/>
      <c r="T46" s="1767"/>
      <c r="U46" s="1327"/>
      <c r="V46" s="1767"/>
      <c r="W46" s="1327"/>
      <c r="X46" s="1767"/>
      <c r="Y46" s="1327"/>
      <c r="Z46" s="1779"/>
    </row>
    <row r="47" spans="1:28" s="1765" customFormat="1" ht="16.5" thickBot="1">
      <c r="A47" s="510" t="s">
        <v>493</v>
      </c>
      <c r="B47" s="1565">
        <f>ROUND(B12+B25-B45,0)</f>
        <v>95764658</v>
      </c>
      <c r="C47" s="500"/>
      <c r="D47" s="1565">
        <f>ROUND(D12+D25-D45,0)</f>
        <v>80082746</v>
      </c>
      <c r="E47" s="1315"/>
      <c r="F47" s="1565">
        <f>ROUND(F12+F25-F45,0)</f>
        <v>490512199</v>
      </c>
      <c r="G47" s="1315"/>
      <c r="H47" s="1565">
        <f>ROUND(H12+H25-H45,0)</f>
        <v>186132186</v>
      </c>
      <c r="I47" s="1764"/>
      <c r="J47" s="1780">
        <f>ROUND(J12+J25-J45,0)</f>
        <v>217721195</v>
      </c>
      <c r="K47" s="501"/>
      <c r="L47" s="1780">
        <f>ROUND(L12+L25-L45,0)</f>
        <v>104334501</v>
      </c>
      <c r="M47" s="511"/>
      <c r="N47" s="1780">
        <f>ROUND(N12+N25-N45,0)</f>
        <v>181581146</v>
      </c>
      <c r="O47" s="512"/>
      <c r="P47" s="1780">
        <f>ROUND(P12+P25-P45,0)</f>
        <v>200742306</v>
      </c>
      <c r="Q47" s="512"/>
      <c r="R47" s="1780">
        <f>ROUND(R12+R25-R45,0)</f>
        <v>204855179</v>
      </c>
      <c r="S47" s="512"/>
      <c r="T47" s="1780">
        <f>ROUND(T12+T25-T45,0)</f>
        <v>143146845</v>
      </c>
      <c r="U47" s="512"/>
      <c r="V47" s="1780">
        <f>ROUND(V12+V25-V45,0)</f>
        <v>0</v>
      </c>
      <c r="W47" s="512"/>
      <c r="X47" s="1780">
        <f>ROUND(X12+X25-X45,0)</f>
        <v>0</v>
      </c>
      <c r="Y47" s="512"/>
      <c r="Z47" s="3010">
        <f>ROUND(Z12+Z25-Z45,0)</f>
        <v>143146845</v>
      </c>
      <c r="AA47" s="3449"/>
    </row>
    <row r="48" spans="1:28" ht="15.75" thickTop="1">
      <c r="A48" s="1766"/>
      <c r="B48" s="1313"/>
      <c r="C48" s="1313"/>
      <c r="D48" s="1313"/>
      <c r="E48" s="1336"/>
      <c r="F48" s="1313"/>
      <c r="G48" s="1336"/>
      <c r="H48" s="1313"/>
      <c r="I48" s="1781"/>
      <c r="J48" s="1760"/>
      <c r="K48" s="1760"/>
      <c r="L48" s="1760"/>
      <c r="M48" s="1781"/>
      <c r="N48" s="1760"/>
      <c r="O48" s="1781"/>
      <c r="P48" s="1760"/>
      <c r="Q48" s="1781"/>
      <c r="R48" s="1760"/>
      <c r="S48" s="1781"/>
      <c r="T48" s="1760"/>
      <c r="U48" s="1781"/>
      <c r="V48" s="1760"/>
      <c r="W48" s="1781"/>
      <c r="X48" s="1760"/>
      <c r="Y48" s="1781"/>
      <c r="Z48" s="1779"/>
    </row>
    <row r="49" spans="1:26">
      <c r="A49" s="1782"/>
      <c r="B49" s="1337"/>
      <c r="C49" s="1337"/>
      <c r="D49" s="1337"/>
      <c r="E49" s="1314"/>
      <c r="F49" s="1337"/>
      <c r="G49" s="1314"/>
      <c r="H49" s="1337"/>
      <c r="I49" s="1761"/>
      <c r="J49" s="1783"/>
      <c r="K49" s="1783"/>
      <c r="L49" s="1783"/>
      <c r="M49" s="1761"/>
      <c r="N49" s="1783"/>
      <c r="O49" s="1761"/>
      <c r="P49" s="1783"/>
      <c r="Q49" s="1761"/>
      <c r="R49" s="1783"/>
      <c r="S49" s="1761"/>
      <c r="T49" s="1783"/>
      <c r="U49" s="1761"/>
      <c r="V49" s="1783"/>
      <c r="W49" s="1761"/>
      <c r="X49" s="1783"/>
      <c r="Y49" s="1761"/>
      <c r="Z49" s="1765"/>
    </row>
    <row r="51" spans="1:26" ht="18">
      <c r="A51" s="1784"/>
      <c r="B51" s="1309"/>
      <c r="C51" s="1309"/>
      <c r="D51" s="1309"/>
      <c r="E51" s="481"/>
      <c r="F51" s="1309"/>
      <c r="G51" s="481"/>
      <c r="H51" s="1309"/>
      <c r="I51" s="1739"/>
      <c r="J51" s="1743"/>
      <c r="K51" s="1743"/>
      <c r="L51" s="1743"/>
      <c r="M51" s="1761"/>
      <c r="N51" s="1743"/>
      <c r="O51" s="1739"/>
      <c r="P51" s="1743"/>
      <c r="Q51" s="1739"/>
      <c r="R51" s="1743"/>
      <c r="S51" s="1739"/>
      <c r="T51" s="1743"/>
      <c r="U51" s="1739"/>
      <c r="V51" s="1743"/>
      <c r="W51" s="1739"/>
      <c r="X51" s="1743"/>
      <c r="Y51" s="1739"/>
      <c r="Z51" s="1745"/>
    </row>
    <row r="52" spans="1:26">
      <c r="A52" s="1753"/>
      <c r="B52" s="1337"/>
      <c r="C52" s="1337"/>
      <c r="D52" s="1337"/>
      <c r="E52" s="1314"/>
      <c r="F52" s="1337"/>
      <c r="G52" s="1314"/>
      <c r="H52" s="1337"/>
      <c r="I52" s="1761"/>
      <c r="J52" s="1783"/>
      <c r="K52" s="1783"/>
      <c r="L52" s="1783"/>
      <c r="M52" s="1761"/>
      <c r="N52" s="1783"/>
      <c r="O52" s="1761"/>
      <c r="P52" s="1783"/>
      <c r="Q52" s="1761"/>
      <c r="R52" s="1783"/>
      <c r="S52" s="1761"/>
      <c r="T52" s="1783"/>
      <c r="U52" s="1761"/>
      <c r="V52" s="1783"/>
      <c r="W52" s="1761"/>
      <c r="X52" s="1783"/>
      <c r="Y52" s="1761"/>
      <c r="Z52" s="1768"/>
    </row>
    <row r="53" spans="1:26">
      <c r="A53" s="1753"/>
      <c r="B53" s="1337"/>
      <c r="C53" s="1337"/>
      <c r="D53" s="1337"/>
      <c r="E53" s="1314"/>
      <c r="F53" s="1337"/>
      <c r="G53" s="1314"/>
      <c r="H53" s="1337"/>
      <c r="I53" s="1761"/>
      <c r="J53" s="1783"/>
      <c r="K53" s="1783"/>
      <c r="L53" s="1783"/>
      <c r="M53" s="1761"/>
      <c r="N53" s="1783"/>
      <c r="O53" s="1761"/>
      <c r="P53" s="1783"/>
      <c r="Q53" s="1761"/>
      <c r="R53" s="1783"/>
      <c r="S53" s="1761"/>
      <c r="T53" s="1783"/>
      <c r="U53" s="1761"/>
      <c r="V53" s="1783"/>
      <c r="W53" s="1761"/>
      <c r="X53" s="1783"/>
      <c r="Y53" s="1761"/>
      <c r="Z53" s="1768"/>
    </row>
    <row r="54" spans="1:26">
      <c r="A54" s="1750"/>
      <c r="B54" s="480"/>
      <c r="C54" s="480"/>
      <c r="D54" s="480"/>
      <c r="E54" s="481"/>
      <c r="F54" s="480"/>
      <c r="G54" s="481"/>
      <c r="H54" s="480"/>
      <c r="I54" s="1739"/>
      <c r="J54" s="1738"/>
      <c r="K54" s="1738"/>
      <c r="L54" s="1738"/>
      <c r="M54" s="1739"/>
      <c r="N54" s="1738"/>
      <c r="O54" s="1739"/>
      <c r="P54" s="1738"/>
      <c r="Q54" s="1739"/>
      <c r="R54" s="1738"/>
      <c r="S54" s="1739"/>
      <c r="T54" s="1738"/>
      <c r="U54" s="1739"/>
      <c r="V54" s="1738"/>
      <c r="W54" s="1739"/>
      <c r="X54" s="1738"/>
      <c r="Y54" s="1739"/>
      <c r="Z54" s="1785"/>
    </row>
    <row r="55" spans="1:26">
      <c r="A55" s="1750"/>
      <c r="B55" s="480"/>
      <c r="C55" s="480"/>
      <c r="D55" s="480"/>
      <c r="E55" s="481"/>
      <c r="F55" s="480"/>
      <c r="G55" s="481"/>
      <c r="H55" s="480"/>
      <c r="I55" s="1739"/>
      <c r="J55" s="1738"/>
      <c r="K55" s="1738"/>
      <c r="L55" s="1738"/>
      <c r="M55" s="1739"/>
      <c r="N55" s="1738"/>
      <c r="O55" s="1739"/>
      <c r="P55" s="1738"/>
      <c r="Q55" s="1739"/>
      <c r="R55" s="1738"/>
      <c r="S55" s="1739"/>
      <c r="T55" s="1738"/>
      <c r="U55" s="1739"/>
      <c r="V55" s="1738"/>
      <c r="W55" s="1739"/>
      <c r="X55" s="1738"/>
      <c r="Y55" s="1739"/>
      <c r="Z55" s="1785"/>
    </row>
    <row r="56" spans="1:26">
      <c r="A56" s="1750"/>
      <c r="B56" s="480"/>
      <c r="C56" s="480"/>
      <c r="D56" s="480"/>
      <c r="E56" s="481"/>
      <c r="F56" s="480"/>
      <c r="G56" s="481"/>
      <c r="H56" s="480"/>
      <c r="I56" s="1739"/>
      <c r="J56" s="1738"/>
      <c r="K56" s="1738"/>
      <c r="L56" s="1738"/>
      <c r="M56" s="1739"/>
      <c r="N56" s="1738"/>
      <c r="O56" s="1739"/>
      <c r="P56" s="1738"/>
      <c r="Q56" s="1739"/>
      <c r="R56" s="1738"/>
      <c r="S56" s="1739"/>
      <c r="T56" s="1738"/>
      <c r="U56" s="1739"/>
      <c r="V56" s="1738"/>
      <c r="W56" s="1739"/>
      <c r="X56" s="1738"/>
      <c r="Y56" s="1739"/>
      <c r="Z56" s="1785"/>
    </row>
    <row r="57" spans="1:26">
      <c r="A57" s="1750"/>
      <c r="B57" s="480"/>
      <c r="C57" s="480"/>
      <c r="D57" s="480"/>
      <c r="E57" s="481"/>
      <c r="F57" s="480"/>
      <c r="G57" s="481"/>
      <c r="H57" s="480"/>
      <c r="I57" s="1739"/>
      <c r="J57" s="1738"/>
      <c r="K57" s="1738"/>
      <c r="L57" s="1738"/>
      <c r="M57" s="1739"/>
      <c r="N57" s="1738"/>
      <c r="O57" s="1739"/>
      <c r="P57" s="1738"/>
      <c r="Q57" s="1739"/>
      <c r="R57" s="1738"/>
      <c r="S57" s="1739"/>
      <c r="T57" s="1738"/>
      <c r="U57" s="1739"/>
      <c r="V57" s="1738"/>
      <c r="W57" s="1739"/>
      <c r="X57" s="1738"/>
      <c r="Y57" s="1739"/>
      <c r="Z57" s="1785"/>
    </row>
    <row r="58" spans="1:26">
      <c r="A58" s="1750"/>
      <c r="B58" s="480"/>
      <c r="C58" s="480"/>
      <c r="D58" s="480"/>
      <c r="E58" s="481"/>
      <c r="F58" s="480"/>
      <c r="G58" s="481"/>
      <c r="H58" s="480"/>
      <c r="I58" s="1739"/>
      <c r="J58" s="1738"/>
      <c r="K58" s="1738"/>
      <c r="L58" s="1738"/>
      <c r="M58" s="1739"/>
      <c r="N58" s="1738"/>
      <c r="O58" s="1739"/>
      <c r="P58" s="1738"/>
      <c r="Q58" s="1739"/>
      <c r="R58" s="1738"/>
      <c r="S58" s="1739"/>
      <c r="T58" s="1738"/>
      <c r="U58" s="1739"/>
      <c r="V58" s="1738"/>
      <c r="W58" s="1739"/>
      <c r="X58" s="1738"/>
      <c r="Y58" s="1739"/>
      <c r="Z58" s="1785"/>
    </row>
    <row r="59" spans="1:26">
      <c r="A59" s="1750"/>
      <c r="B59" s="480"/>
      <c r="C59" s="480"/>
      <c r="D59" s="480"/>
      <c r="E59" s="481"/>
      <c r="F59" s="480"/>
      <c r="G59" s="481"/>
      <c r="H59" s="480"/>
      <c r="I59" s="1739"/>
      <c r="J59" s="1738"/>
      <c r="K59" s="1738"/>
      <c r="L59" s="1738"/>
      <c r="M59" s="1739"/>
      <c r="N59" s="1738"/>
      <c r="O59" s="1739"/>
      <c r="P59" s="1738"/>
      <c r="Q59" s="1739"/>
      <c r="R59" s="1738"/>
      <c r="S59" s="1739"/>
      <c r="T59" s="1738"/>
      <c r="U59" s="1739"/>
      <c r="V59" s="1738"/>
      <c r="W59" s="1739"/>
      <c r="X59" s="1738"/>
      <c r="Y59" s="1739"/>
      <c r="Z59" s="1785"/>
    </row>
    <row r="60" spans="1:26">
      <c r="A60" s="1750"/>
      <c r="B60" s="480"/>
      <c r="C60" s="480"/>
      <c r="D60" s="480"/>
      <c r="E60" s="481"/>
      <c r="F60" s="480"/>
      <c r="G60" s="481"/>
      <c r="H60" s="480"/>
      <c r="I60" s="1739"/>
      <c r="J60" s="1738"/>
      <c r="K60" s="1738"/>
      <c r="L60" s="1738"/>
      <c r="M60" s="1739"/>
      <c r="N60" s="1738"/>
      <c r="O60" s="1739"/>
      <c r="P60" s="1738"/>
      <c r="Q60" s="1739"/>
      <c r="R60" s="1738"/>
      <c r="S60" s="1739"/>
      <c r="T60" s="1738"/>
      <c r="U60" s="1739"/>
      <c r="V60" s="1738"/>
      <c r="W60" s="1739"/>
      <c r="X60" s="1738"/>
      <c r="Y60" s="1739"/>
      <c r="Z60" s="1785"/>
    </row>
    <row r="61" spans="1:26">
      <c r="A61" s="1750"/>
      <c r="B61" s="480"/>
      <c r="C61" s="480"/>
      <c r="D61" s="480"/>
      <c r="E61" s="481"/>
      <c r="F61" s="480"/>
      <c r="G61" s="481"/>
      <c r="H61" s="480"/>
      <c r="I61" s="1739"/>
      <c r="J61" s="1738"/>
      <c r="K61" s="1738"/>
      <c r="L61" s="1738"/>
      <c r="M61" s="1739"/>
      <c r="N61" s="1738"/>
      <c r="O61" s="1739"/>
      <c r="P61" s="1738"/>
      <c r="Q61" s="1739"/>
      <c r="R61" s="1738"/>
      <c r="S61" s="1739"/>
      <c r="T61" s="1738"/>
      <c r="U61" s="1739"/>
      <c r="V61" s="1738"/>
      <c r="W61" s="1739"/>
      <c r="X61" s="1738"/>
      <c r="Y61" s="1739"/>
      <c r="Z61" s="1785"/>
    </row>
    <row r="62" spans="1:26">
      <c r="A62" s="1750"/>
      <c r="B62" s="480"/>
      <c r="C62" s="480"/>
      <c r="D62" s="480"/>
      <c r="E62" s="481"/>
      <c r="F62" s="480"/>
      <c r="G62" s="481"/>
      <c r="H62" s="480"/>
      <c r="I62" s="1739"/>
      <c r="J62" s="1738"/>
      <c r="K62" s="1738"/>
      <c r="L62" s="1738"/>
      <c r="M62" s="1739"/>
      <c r="N62" s="1738"/>
      <c r="O62" s="1739"/>
      <c r="P62" s="1738"/>
      <c r="Q62" s="1739"/>
      <c r="R62" s="1738"/>
      <c r="S62" s="1739"/>
      <c r="T62" s="1738"/>
      <c r="U62" s="1739"/>
      <c r="V62" s="1738"/>
      <c r="W62" s="1739"/>
      <c r="X62" s="1738"/>
      <c r="Y62" s="1739"/>
      <c r="Z62" s="1785"/>
    </row>
    <row r="63" spans="1:26">
      <c r="A63" s="1750"/>
      <c r="B63" s="480"/>
      <c r="C63" s="480"/>
      <c r="D63" s="480"/>
      <c r="E63" s="481"/>
      <c r="F63" s="480"/>
      <c r="G63" s="481"/>
      <c r="H63" s="480"/>
      <c r="I63" s="1739"/>
      <c r="J63" s="1738"/>
      <c r="K63" s="1738"/>
      <c r="L63" s="1738"/>
      <c r="M63" s="1739"/>
      <c r="N63" s="1738"/>
      <c r="O63" s="1739"/>
      <c r="P63" s="1738"/>
      <c r="Q63" s="1739"/>
      <c r="R63" s="1738"/>
      <c r="S63" s="1739"/>
      <c r="T63" s="1738"/>
      <c r="U63" s="1739"/>
      <c r="V63" s="1738"/>
      <c r="W63" s="1739"/>
      <c r="X63" s="1738"/>
      <c r="Y63" s="1739"/>
      <c r="Z63" s="1785"/>
    </row>
    <row r="64" spans="1:26">
      <c r="A64" s="1750"/>
      <c r="B64" s="480"/>
      <c r="C64" s="480"/>
      <c r="D64" s="480"/>
      <c r="E64" s="481"/>
      <c r="F64" s="480"/>
      <c r="G64" s="481"/>
      <c r="H64" s="480"/>
      <c r="I64" s="1739"/>
      <c r="J64" s="1738"/>
      <c r="K64" s="1738"/>
      <c r="L64" s="1738"/>
      <c r="M64" s="1739"/>
      <c r="N64" s="1738"/>
      <c r="O64" s="1739"/>
      <c r="P64" s="1738"/>
      <c r="Q64" s="1739"/>
      <c r="R64" s="1738"/>
      <c r="S64" s="1739"/>
      <c r="T64" s="1738"/>
      <c r="U64" s="1739"/>
      <c r="V64" s="1738"/>
      <c r="W64" s="1739"/>
      <c r="X64" s="1738"/>
      <c r="Y64" s="1739"/>
      <c r="Z64" s="1785"/>
    </row>
    <row r="65" spans="1:26">
      <c r="A65" s="1750"/>
      <c r="B65" s="480"/>
      <c r="C65" s="480"/>
      <c r="D65" s="480"/>
      <c r="E65" s="481"/>
      <c r="F65" s="480"/>
      <c r="G65" s="481"/>
      <c r="H65" s="480"/>
      <c r="I65" s="1739"/>
      <c r="J65" s="1738"/>
      <c r="K65" s="1738"/>
      <c r="L65" s="1738"/>
      <c r="M65" s="1739"/>
      <c r="N65" s="1738"/>
      <c r="O65" s="1739"/>
      <c r="P65" s="1738"/>
      <c r="Q65" s="1739"/>
      <c r="R65" s="1738"/>
      <c r="S65" s="1739"/>
      <c r="T65" s="1738"/>
      <c r="U65" s="1739"/>
      <c r="V65" s="1738"/>
      <c r="W65" s="1739"/>
      <c r="X65" s="1738"/>
      <c r="Y65" s="1739"/>
      <c r="Z65" s="1785"/>
    </row>
    <row r="66" spans="1:26">
      <c r="A66" s="1750"/>
      <c r="B66" s="480"/>
      <c r="C66" s="480"/>
      <c r="D66" s="480"/>
      <c r="E66" s="481"/>
      <c r="F66" s="480"/>
      <c r="G66" s="481"/>
      <c r="H66" s="480"/>
      <c r="I66" s="1739"/>
      <c r="J66" s="1738"/>
      <c r="K66" s="1738"/>
      <c r="L66" s="1738"/>
      <c r="M66" s="1739"/>
      <c r="N66" s="1738"/>
      <c r="O66" s="1739"/>
      <c r="P66" s="1738"/>
      <c r="Q66" s="1739"/>
      <c r="R66" s="1738"/>
      <c r="S66" s="1739"/>
      <c r="T66" s="1738"/>
      <c r="U66" s="1739"/>
      <c r="V66" s="1738"/>
      <c r="W66" s="1739"/>
      <c r="X66" s="1738"/>
      <c r="Y66" s="1739"/>
      <c r="Z66" s="1785"/>
    </row>
    <row r="67" spans="1:26">
      <c r="A67" s="1750"/>
      <c r="B67" s="480"/>
      <c r="C67" s="480"/>
      <c r="D67" s="480"/>
      <c r="E67" s="481"/>
      <c r="F67" s="480"/>
      <c r="G67" s="481"/>
      <c r="H67" s="480"/>
      <c r="I67" s="1739"/>
      <c r="J67" s="1738"/>
      <c r="K67" s="1738"/>
      <c r="L67" s="1738"/>
      <c r="M67" s="1739"/>
      <c r="N67" s="1738"/>
      <c r="O67" s="1739"/>
      <c r="P67" s="1738"/>
      <c r="Q67" s="1739"/>
      <c r="R67" s="1738"/>
      <c r="S67" s="1739"/>
      <c r="T67" s="1738"/>
      <c r="U67" s="1739"/>
      <c r="V67" s="1738"/>
      <c r="W67" s="1739"/>
      <c r="X67" s="1738"/>
      <c r="Y67" s="1739"/>
      <c r="Z67" s="1785"/>
    </row>
    <row r="68" spans="1:26">
      <c r="A68" s="1750"/>
      <c r="B68" s="480"/>
      <c r="C68" s="480"/>
      <c r="D68" s="480"/>
      <c r="E68" s="481"/>
      <c r="F68" s="480"/>
      <c r="G68" s="481"/>
      <c r="H68" s="480"/>
      <c r="I68" s="1739"/>
      <c r="J68" s="1738"/>
      <c r="K68" s="1738"/>
      <c r="L68" s="1738"/>
      <c r="M68" s="1739"/>
      <c r="N68" s="1738"/>
      <c r="O68" s="1739"/>
      <c r="P68" s="1738"/>
      <c r="Q68" s="1739"/>
      <c r="R68" s="1738"/>
      <c r="S68" s="1739"/>
      <c r="T68" s="1738"/>
      <c r="U68" s="1739"/>
      <c r="V68" s="1738"/>
      <c r="W68" s="1739"/>
      <c r="X68" s="1738"/>
      <c r="Y68" s="1739"/>
      <c r="Z68" s="1785"/>
    </row>
    <row r="69" spans="1:26">
      <c r="A69" s="1750"/>
      <c r="B69" s="480"/>
      <c r="C69" s="480"/>
      <c r="D69" s="480"/>
      <c r="E69" s="481"/>
      <c r="F69" s="480"/>
      <c r="G69" s="481"/>
      <c r="H69" s="480"/>
      <c r="I69" s="1739"/>
      <c r="J69" s="1738"/>
      <c r="K69" s="1738"/>
      <c r="L69" s="1738"/>
      <c r="M69" s="1739"/>
      <c r="N69" s="1738"/>
      <c r="O69" s="1739"/>
      <c r="P69" s="1738"/>
      <c r="Q69" s="1739"/>
      <c r="R69" s="1738"/>
      <c r="S69" s="1739"/>
      <c r="T69" s="1738"/>
      <c r="U69" s="1739"/>
      <c r="V69" s="1738"/>
      <c r="W69" s="1739"/>
      <c r="X69" s="1738"/>
      <c r="Y69" s="1739"/>
      <c r="Z69" s="1785"/>
    </row>
    <row r="70" spans="1:26">
      <c r="A70" s="1750"/>
      <c r="B70" s="480"/>
      <c r="C70" s="480"/>
      <c r="D70" s="480"/>
      <c r="E70" s="481"/>
      <c r="F70" s="480"/>
      <c r="G70" s="481"/>
      <c r="H70" s="480"/>
      <c r="I70" s="1739"/>
      <c r="J70" s="1738"/>
      <c r="K70" s="1738"/>
      <c r="L70" s="1738"/>
      <c r="M70" s="1739"/>
      <c r="N70" s="1738"/>
      <c r="O70" s="1739"/>
      <c r="P70" s="1738"/>
      <c r="Q70" s="1739"/>
      <c r="R70" s="1738"/>
      <c r="S70" s="1739"/>
      <c r="T70" s="1738"/>
      <c r="U70" s="1739"/>
      <c r="V70" s="1738"/>
      <c r="W70" s="1739"/>
      <c r="X70" s="1738"/>
      <c r="Y70" s="1739"/>
      <c r="Z70" s="1785"/>
    </row>
    <row r="71" spans="1:26">
      <c r="A71" s="1750"/>
      <c r="B71" s="480"/>
      <c r="C71" s="480"/>
      <c r="D71" s="480"/>
      <c r="E71" s="481"/>
      <c r="F71" s="480"/>
      <c r="G71" s="481"/>
      <c r="H71" s="480"/>
      <c r="I71" s="1739"/>
      <c r="J71" s="1738"/>
      <c r="K71" s="1738"/>
      <c r="L71" s="1738"/>
      <c r="M71" s="1739"/>
      <c r="N71" s="1738"/>
      <c r="O71" s="1739"/>
      <c r="P71" s="1738"/>
      <c r="Q71" s="1739"/>
      <c r="R71" s="1738"/>
      <c r="S71" s="1739"/>
      <c r="T71" s="1738"/>
      <c r="U71" s="1739"/>
      <c r="V71" s="1738"/>
      <c r="W71" s="1739"/>
      <c r="X71" s="1738"/>
      <c r="Y71" s="1739"/>
      <c r="Z71" s="1785"/>
    </row>
    <row r="72" spans="1:26">
      <c r="A72" s="1750"/>
      <c r="B72" s="480"/>
      <c r="C72" s="480"/>
      <c r="D72" s="480"/>
      <c r="E72" s="481"/>
      <c r="F72" s="480"/>
      <c r="G72" s="481"/>
      <c r="H72" s="480"/>
      <c r="I72" s="1739"/>
      <c r="J72" s="1738"/>
      <c r="K72" s="1738"/>
      <c r="L72" s="1738"/>
      <c r="M72" s="1739"/>
      <c r="N72" s="1738"/>
      <c r="O72" s="1739"/>
      <c r="P72" s="1738"/>
      <c r="Q72" s="1739"/>
      <c r="R72" s="1738"/>
      <c r="S72" s="1739"/>
      <c r="T72" s="1738"/>
      <c r="U72" s="1739"/>
      <c r="V72" s="1738"/>
      <c r="W72" s="1739"/>
      <c r="X72" s="1738"/>
      <c r="Y72" s="1739"/>
      <c r="Z72" s="1785"/>
    </row>
    <row r="73" spans="1:26">
      <c r="A73" s="1750"/>
      <c r="B73" s="480"/>
      <c r="C73" s="480"/>
      <c r="D73" s="480"/>
      <c r="E73" s="481"/>
      <c r="F73" s="480"/>
      <c r="G73" s="481"/>
      <c r="H73" s="480"/>
      <c r="I73" s="1739"/>
      <c r="J73" s="1738"/>
      <c r="K73" s="1738"/>
      <c r="L73" s="1738"/>
      <c r="M73" s="1739"/>
      <c r="N73" s="1738"/>
      <c r="O73" s="1739"/>
      <c r="P73" s="1738"/>
      <c r="Q73" s="1739"/>
      <c r="R73" s="1738"/>
      <c r="S73" s="1739"/>
      <c r="T73" s="1738"/>
      <c r="U73" s="1739"/>
      <c r="V73" s="1738"/>
      <c r="W73" s="1739"/>
      <c r="X73" s="1738"/>
      <c r="Y73" s="1739"/>
      <c r="Z73" s="1785"/>
    </row>
    <row r="74" spans="1:26">
      <c r="A74" s="1750"/>
      <c r="B74" s="480"/>
      <c r="C74" s="480"/>
      <c r="D74" s="480"/>
      <c r="E74" s="481"/>
      <c r="F74" s="480"/>
      <c r="G74" s="481"/>
      <c r="H74" s="480"/>
      <c r="I74" s="1739"/>
      <c r="J74" s="1738"/>
      <c r="K74" s="1738"/>
      <c r="L74" s="1738"/>
      <c r="M74" s="1739"/>
      <c r="N74" s="1738"/>
      <c r="O74" s="1739"/>
      <c r="P74" s="1738"/>
      <c r="Q74" s="1739"/>
      <c r="R74" s="1738"/>
      <c r="S74" s="1739"/>
      <c r="T74" s="1738"/>
      <c r="U74" s="1739"/>
      <c r="V74" s="1738"/>
      <c r="W74" s="1739"/>
      <c r="X74" s="1738"/>
      <c r="Y74" s="1739"/>
      <c r="Z74" s="1785"/>
    </row>
    <row r="75" spans="1:26">
      <c r="A75" s="1750"/>
      <c r="B75" s="480"/>
      <c r="C75" s="480"/>
      <c r="D75" s="480"/>
      <c r="E75" s="481"/>
      <c r="F75" s="480"/>
      <c r="G75" s="481"/>
      <c r="H75" s="480"/>
      <c r="I75" s="1739"/>
      <c r="J75" s="1738"/>
      <c r="K75" s="1738"/>
      <c r="L75" s="1738"/>
      <c r="M75" s="1739"/>
      <c r="N75" s="1738"/>
      <c r="O75" s="1739"/>
      <c r="P75" s="1738"/>
      <c r="Q75" s="1739"/>
      <c r="R75" s="1738"/>
      <c r="S75" s="1739"/>
      <c r="T75" s="1738"/>
      <c r="U75" s="1739"/>
      <c r="V75" s="1738"/>
      <c r="W75" s="1739"/>
      <c r="X75" s="1738"/>
      <c r="Y75" s="1739"/>
      <c r="Z75" s="1785"/>
    </row>
    <row r="76" spans="1:26">
      <c r="A76" s="1750"/>
      <c r="B76" s="480"/>
      <c r="C76" s="480"/>
      <c r="D76" s="480"/>
      <c r="E76" s="481"/>
      <c r="F76" s="480"/>
      <c r="G76" s="481"/>
      <c r="H76" s="480"/>
      <c r="I76" s="1739"/>
      <c r="J76" s="1738"/>
      <c r="K76" s="1738"/>
      <c r="L76" s="1738"/>
      <c r="M76" s="1739"/>
      <c r="N76" s="1738"/>
      <c r="O76" s="1739"/>
      <c r="P76" s="1738"/>
      <c r="Q76" s="1739"/>
      <c r="R76" s="1738"/>
      <c r="S76" s="1739"/>
      <c r="T76" s="1738"/>
      <c r="U76" s="1739"/>
      <c r="V76" s="1738"/>
      <c r="W76" s="1739"/>
      <c r="X76" s="1738"/>
      <c r="Y76" s="1739"/>
      <c r="Z76" s="1785"/>
    </row>
    <row r="77" spans="1:26">
      <c r="A77" s="1750"/>
      <c r="B77" s="480"/>
      <c r="C77" s="480"/>
      <c r="D77" s="480"/>
      <c r="E77" s="481"/>
      <c r="F77" s="480"/>
      <c r="G77" s="481"/>
      <c r="H77" s="480"/>
      <c r="I77" s="1739"/>
      <c r="J77" s="1738"/>
      <c r="K77" s="1738"/>
      <c r="L77" s="1738"/>
      <c r="M77" s="1739"/>
      <c r="N77" s="1738"/>
      <c r="O77" s="1739"/>
      <c r="P77" s="1738"/>
      <c r="Q77" s="1739"/>
      <c r="R77" s="1738"/>
      <c r="S77" s="1739"/>
      <c r="T77" s="1738"/>
      <c r="U77" s="1739"/>
      <c r="V77" s="1738"/>
      <c r="W77" s="1739"/>
      <c r="X77" s="1738"/>
      <c r="Y77" s="1739"/>
      <c r="Z77" s="1785"/>
    </row>
    <row r="78" spans="1:26">
      <c r="A78" s="1750"/>
      <c r="B78" s="480"/>
      <c r="C78" s="480"/>
      <c r="D78" s="480"/>
      <c r="E78" s="481"/>
      <c r="F78" s="480"/>
      <c r="G78" s="481"/>
      <c r="H78" s="480"/>
      <c r="I78" s="1739"/>
      <c r="J78" s="1738"/>
      <c r="K78" s="1738"/>
      <c r="L78" s="1738"/>
      <c r="M78" s="1739"/>
      <c r="N78" s="1738"/>
      <c r="O78" s="1739"/>
      <c r="P78" s="1738"/>
      <c r="Q78" s="1739"/>
      <c r="R78" s="1738"/>
      <c r="S78" s="1739"/>
      <c r="T78" s="1738"/>
      <c r="U78" s="1739"/>
      <c r="V78" s="1738"/>
      <c r="W78" s="1739"/>
      <c r="X78" s="1738"/>
      <c r="Y78" s="1739"/>
      <c r="Z78" s="1785"/>
    </row>
    <row r="79" spans="1:26">
      <c r="A79" s="1750"/>
      <c r="B79" s="480"/>
      <c r="C79" s="480"/>
      <c r="D79" s="480"/>
      <c r="E79" s="481"/>
      <c r="F79" s="480"/>
      <c r="G79" s="481"/>
      <c r="H79" s="480"/>
      <c r="I79" s="1739"/>
      <c r="J79" s="1738"/>
      <c r="K79" s="1738"/>
      <c r="L79" s="1738"/>
      <c r="M79" s="1739"/>
      <c r="N79" s="1738"/>
      <c r="O79" s="1739"/>
      <c r="P79" s="1738"/>
      <c r="Q79" s="1739"/>
      <c r="R79" s="1738"/>
      <c r="S79" s="1739"/>
      <c r="T79" s="1738"/>
      <c r="U79" s="1739"/>
      <c r="V79" s="1738"/>
      <c r="W79" s="1739"/>
      <c r="X79" s="1738"/>
      <c r="Y79" s="1739"/>
      <c r="Z79" s="1785"/>
    </row>
    <row r="80" spans="1:26">
      <c r="A80" s="1750"/>
      <c r="B80" s="480"/>
      <c r="C80" s="480"/>
      <c r="D80" s="480"/>
      <c r="E80" s="481"/>
      <c r="F80" s="480"/>
      <c r="G80" s="481"/>
      <c r="H80" s="480"/>
      <c r="I80" s="1739"/>
      <c r="J80" s="1738"/>
      <c r="K80" s="1738"/>
      <c r="L80" s="1738"/>
      <c r="M80" s="1739"/>
      <c r="N80" s="1738"/>
      <c r="O80" s="1739"/>
      <c r="P80" s="1738"/>
      <c r="Q80" s="1739"/>
      <c r="R80" s="1738"/>
      <c r="S80" s="1739"/>
      <c r="T80" s="1738"/>
      <c r="U80" s="1739"/>
      <c r="V80" s="1738"/>
      <c r="W80" s="1739"/>
      <c r="X80" s="1738"/>
      <c r="Y80" s="1739"/>
      <c r="Z80" s="1785"/>
    </row>
    <row r="81" spans="1:26">
      <c r="A81" s="1750"/>
      <c r="B81" s="480"/>
      <c r="C81" s="480"/>
      <c r="D81" s="480"/>
      <c r="E81" s="481"/>
      <c r="F81" s="480"/>
      <c r="G81" s="481"/>
      <c r="H81" s="480"/>
      <c r="I81" s="1739"/>
      <c r="J81" s="1738"/>
      <c r="K81" s="1738"/>
      <c r="L81" s="1738"/>
      <c r="M81" s="1739"/>
      <c r="N81" s="1738"/>
      <c r="O81" s="1739"/>
      <c r="P81" s="1738"/>
      <c r="Q81" s="1739"/>
      <c r="R81" s="1738"/>
      <c r="S81" s="1739"/>
      <c r="T81" s="1738"/>
      <c r="U81" s="1739"/>
      <c r="V81" s="1738"/>
      <c r="W81" s="1739"/>
      <c r="X81" s="1738"/>
      <c r="Y81" s="1739"/>
      <c r="Z81" s="1785"/>
    </row>
    <row r="82" spans="1:26">
      <c r="A82" s="1750"/>
      <c r="B82" s="480"/>
      <c r="C82" s="480"/>
      <c r="D82" s="480"/>
      <c r="E82" s="481"/>
      <c r="F82" s="480"/>
      <c r="G82" s="481"/>
      <c r="H82" s="480"/>
      <c r="I82" s="1739"/>
      <c r="J82" s="1738"/>
      <c r="K82" s="1738"/>
      <c r="L82" s="1738"/>
      <c r="M82" s="1739"/>
      <c r="N82" s="1738"/>
      <c r="O82" s="1739"/>
      <c r="P82" s="1738"/>
      <c r="Q82" s="1739"/>
      <c r="R82" s="1738"/>
      <c r="S82" s="1739"/>
      <c r="T82" s="1738"/>
      <c r="U82" s="1739"/>
      <c r="V82" s="1738"/>
      <c r="W82" s="1739"/>
      <c r="X82" s="1738"/>
      <c r="Y82" s="1739"/>
      <c r="Z82" s="1785"/>
    </row>
    <row r="83" spans="1:26">
      <c r="A83" s="1750"/>
      <c r="B83" s="480"/>
      <c r="C83" s="480"/>
      <c r="D83" s="480"/>
      <c r="E83" s="481"/>
      <c r="F83" s="480"/>
      <c r="G83" s="481"/>
      <c r="H83" s="480"/>
      <c r="I83" s="1739"/>
      <c r="J83" s="1738"/>
      <c r="K83" s="1738"/>
      <c r="L83" s="1738"/>
      <c r="M83" s="1739"/>
      <c r="N83" s="1738"/>
      <c r="O83" s="1739"/>
      <c r="P83" s="1738"/>
      <c r="Q83" s="1739"/>
      <c r="R83" s="1738"/>
      <c r="S83" s="1739"/>
      <c r="T83" s="1738"/>
      <c r="U83" s="1739"/>
      <c r="V83" s="1738"/>
      <c r="W83" s="1739"/>
      <c r="X83" s="1738"/>
      <c r="Y83" s="1739"/>
      <c r="Z83" s="1785"/>
    </row>
    <row r="84" spans="1:26">
      <c r="A84" s="1750"/>
      <c r="B84" s="480"/>
      <c r="C84" s="480"/>
      <c r="D84" s="480"/>
      <c r="E84" s="481"/>
      <c r="F84" s="480"/>
      <c r="G84" s="481"/>
      <c r="H84" s="480"/>
      <c r="I84" s="1739"/>
      <c r="J84" s="1738"/>
      <c r="K84" s="1738"/>
      <c r="L84" s="1738"/>
      <c r="M84" s="1739"/>
      <c r="N84" s="1738"/>
      <c r="O84" s="1739"/>
      <c r="P84" s="1738"/>
      <c r="Q84" s="1739"/>
      <c r="R84" s="1738"/>
      <c r="S84" s="1739"/>
      <c r="T84" s="1738"/>
      <c r="U84" s="1739"/>
      <c r="V84" s="1738"/>
      <c r="W84" s="1739"/>
      <c r="X84" s="1738"/>
      <c r="Y84" s="1739"/>
      <c r="Z84" s="1785"/>
    </row>
    <row r="85" spans="1:26">
      <c r="A85" s="1750"/>
      <c r="B85" s="480"/>
      <c r="C85" s="480"/>
      <c r="D85" s="480"/>
      <c r="E85" s="481"/>
      <c r="F85" s="480"/>
      <c r="G85" s="481"/>
      <c r="H85" s="480"/>
      <c r="I85" s="1739"/>
      <c r="J85" s="1738"/>
      <c r="K85" s="1738"/>
      <c r="L85" s="1738"/>
      <c r="M85" s="1739"/>
      <c r="N85" s="1738"/>
      <c r="O85" s="1739"/>
      <c r="P85" s="1738"/>
      <c r="Q85" s="1739"/>
      <c r="R85" s="1738"/>
      <c r="S85" s="1739"/>
      <c r="T85" s="1738"/>
      <c r="U85" s="1739"/>
      <c r="V85" s="1738"/>
      <c r="W85" s="1739"/>
      <c r="X85" s="1738"/>
      <c r="Y85" s="1739"/>
      <c r="Z85" s="1785"/>
    </row>
    <row r="86" spans="1:26">
      <c r="A86" s="1750"/>
      <c r="B86" s="480"/>
      <c r="C86" s="480"/>
      <c r="D86" s="480"/>
      <c r="E86" s="481"/>
      <c r="F86" s="480"/>
      <c r="G86" s="481"/>
      <c r="H86" s="480"/>
      <c r="I86" s="1739"/>
      <c r="J86" s="1738"/>
      <c r="K86" s="1738"/>
      <c r="L86" s="1738"/>
      <c r="M86" s="1739"/>
      <c r="N86" s="1738"/>
      <c r="O86" s="1739"/>
      <c r="P86" s="1738"/>
      <c r="Q86" s="1739"/>
      <c r="R86" s="1738"/>
      <c r="S86" s="1739"/>
      <c r="T86" s="1738"/>
      <c r="U86" s="1739"/>
      <c r="V86" s="1738"/>
      <c r="W86" s="1739"/>
      <c r="X86" s="1738"/>
      <c r="Y86" s="1739"/>
      <c r="Z86" s="1785"/>
    </row>
    <row r="87" spans="1:26">
      <c r="A87" s="1750"/>
      <c r="B87" s="480"/>
      <c r="C87" s="480"/>
      <c r="D87" s="480"/>
      <c r="E87" s="481"/>
      <c r="F87" s="480"/>
      <c r="G87" s="481"/>
      <c r="H87" s="480"/>
      <c r="I87" s="1739"/>
      <c r="J87" s="1738"/>
      <c r="K87" s="1738"/>
      <c r="L87" s="1738"/>
      <c r="M87" s="1739"/>
      <c r="N87" s="1738"/>
      <c r="O87" s="1739"/>
      <c r="P87" s="1738"/>
      <c r="Q87" s="1739"/>
      <c r="R87" s="1738"/>
      <c r="S87" s="1739"/>
      <c r="T87" s="1738"/>
      <c r="U87" s="1739"/>
      <c r="V87" s="1738"/>
      <c r="W87" s="1739"/>
      <c r="X87" s="1738"/>
      <c r="Y87" s="1739"/>
      <c r="Z87" s="1785"/>
    </row>
    <row r="88" spans="1:26">
      <c r="A88" s="1750"/>
      <c r="B88" s="480"/>
      <c r="C88" s="480"/>
      <c r="D88" s="480"/>
      <c r="E88" s="481"/>
      <c r="F88" s="480"/>
      <c r="G88" s="481"/>
      <c r="H88" s="480"/>
      <c r="I88" s="1739"/>
      <c r="J88" s="1738"/>
      <c r="K88" s="1738"/>
      <c r="L88" s="1738"/>
      <c r="M88" s="1739"/>
      <c r="N88" s="1738"/>
      <c r="O88" s="1739"/>
      <c r="P88" s="1738"/>
      <c r="Q88" s="1739"/>
      <c r="R88" s="1738"/>
      <c r="S88" s="1739"/>
      <c r="T88" s="1738"/>
      <c r="U88" s="1739"/>
      <c r="V88" s="1738"/>
      <c r="W88" s="1739"/>
      <c r="X88" s="1738"/>
      <c r="Y88" s="1739"/>
      <c r="Z88" s="1785"/>
    </row>
    <row r="89" spans="1:26">
      <c r="A89" s="1750"/>
      <c r="B89" s="480"/>
      <c r="C89" s="480"/>
      <c r="D89" s="480"/>
      <c r="E89" s="481"/>
      <c r="F89" s="480"/>
      <c r="G89" s="481"/>
      <c r="H89" s="480"/>
      <c r="I89" s="1739"/>
      <c r="J89" s="1738"/>
      <c r="K89" s="1738"/>
      <c r="L89" s="1738"/>
      <c r="M89" s="1739"/>
      <c r="N89" s="1738"/>
      <c r="O89" s="1739"/>
      <c r="P89" s="1738"/>
      <c r="Q89" s="1739"/>
      <c r="R89" s="1738"/>
      <c r="S89" s="1739"/>
      <c r="T89" s="1738"/>
      <c r="U89" s="1739"/>
      <c r="V89" s="1738"/>
      <c r="W89" s="1739"/>
      <c r="X89" s="1738"/>
      <c r="Y89" s="1739"/>
      <c r="Z89" s="1785"/>
    </row>
    <row r="90" spans="1:26">
      <c r="A90" s="1750"/>
      <c r="B90" s="480"/>
      <c r="C90" s="480"/>
      <c r="D90" s="480"/>
      <c r="E90" s="481"/>
      <c r="F90" s="480"/>
      <c r="G90" s="481"/>
      <c r="H90" s="480"/>
      <c r="I90" s="1739"/>
      <c r="J90" s="1738"/>
      <c r="K90" s="1738"/>
      <c r="L90" s="1738"/>
      <c r="M90" s="1739"/>
      <c r="N90" s="1738"/>
      <c r="O90" s="1739"/>
      <c r="P90" s="1738"/>
      <c r="Q90" s="1739"/>
      <c r="R90" s="1738"/>
      <c r="S90" s="1739"/>
      <c r="T90" s="1738"/>
      <c r="U90" s="1739"/>
      <c r="V90" s="1738"/>
      <c r="W90" s="1739"/>
      <c r="X90" s="1738"/>
      <c r="Y90" s="1739"/>
      <c r="Z90" s="1785"/>
    </row>
    <row r="91" spans="1:26">
      <c r="A91" s="1750"/>
      <c r="B91" s="480"/>
      <c r="C91" s="480"/>
      <c r="D91" s="480"/>
      <c r="E91" s="481"/>
      <c r="F91" s="480"/>
      <c r="G91" s="481"/>
      <c r="H91" s="480"/>
      <c r="I91" s="1739"/>
      <c r="J91" s="1738"/>
      <c r="K91" s="1738"/>
      <c r="L91" s="1738"/>
      <c r="M91" s="1739"/>
      <c r="N91" s="1738"/>
      <c r="O91" s="1739"/>
      <c r="P91" s="1738"/>
      <c r="Q91" s="1739"/>
      <c r="R91" s="1738"/>
      <c r="S91" s="1739"/>
      <c r="T91" s="1738"/>
      <c r="U91" s="1739"/>
      <c r="V91" s="1738"/>
      <c r="W91" s="1739"/>
      <c r="X91" s="1738"/>
      <c r="Y91" s="1739"/>
      <c r="Z91" s="1785"/>
    </row>
    <row r="92" spans="1:26">
      <c r="A92" s="1750"/>
      <c r="B92" s="480"/>
      <c r="C92" s="480"/>
      <c r="D92" s="480"/>
      <c r="E92" s="481"/>
      <c r="F92" s="480"/>
      <c r="G92" s="481"/>
      <c r="H92" s="480"/>
      <c r="I92" s="1739"/>
      <c r="J92" s="1738"/>
      <c r="K92" s="1738"/>
      <c r="L92" s="1738"/>
      <c r="M92" s="1739"/>
      <c r="N92" s="1738"/>
      <c r="O92" s="1739"/>
      <c r="P92" s="1738"/>
      <c r="Q92" s="1739"/>
      <c r="R92" s="1738"/>
      <c r="S92" s="1739"/>
      <c r="T92" s="1738"/>
      <c r="U92" s="1739"/>
      <c r="V92" s="1738"/>
      <c r="W92" s="1739"/>
      <c r="X92" s="1738"/>
      <c r="Y92" s="1739"/>
      <c r="Z92" s="1785"/>
    </row>
    <row r="93" spans="1:26">
      <c r="A93" s="1750"/>
      <c r="B93" s="480"/>
      <c r="C93" s="480"/>
      <c r="D93" s="480"/>
      <c r="E93" s="481"/>
      <c r="F93" s="480"/>
      <c r="G93" s="481"/>
      <c r="H93" s="480"/>
      <c r="I93" s="1739"/>
      <c r="J93" s="1738"/>
      <c r="K93" s="1738"/>
      <c r="L93" s="1738"/>
      <c r="M93" s="1739"/>
      <c r="N93" s="1738"/>
      <c r="O93" s="1739"/>
      <c r="P93" s="1738"/>
      <c r="Q93" s="1739"/>
      <c r="R93" s="1738"/>
      <c r="S93" s="1739"/>
      <c r="T93" s="1738"/>
      <c r="U93" s="1739"/>
      <c r="V93" s="1738"/>
      <c r="W93" s="1739"/>
      <c r="X93" s="1738"/>
      <c r="Y93" s="1739"/>
      <c r="Z93" s="1785"/>
    </row>
    <row r="94" spans="1:26">
      <c r="A94" s="1750"/>
      <c r="B94" s="480"/>
      <c r="C94" s="480"/>
      <c r="D94" s="480"/>
      <c r="E94" s="481"/>
      <c r="F94" s="480"/>
      <c r="G94" s="481"/>
      <c r="H94" s="480"/>
      <c r="I94" s="1739"/>
      <c r="J94" s="1738"/>
      <c r="K94" s="1738"/>
      <c r="L94" s="1738"/>
      <c r="M94" s="1739"/>
      <c r="N94" s="1738"/>
      <c r="O94" s="1739"/>
      <c r="P94" s="1738"/>
      <c r="Q94" s="1739"/>
      <c r="R94" s="1738"/>
      <c r="S94" s="1739"/>
      <c r="T94" s="1738"/>
      <c r="U94" s="1739"/>
      <c r="V94" s="1738"/>
      <c r="W94" s="1739"/>
      <c r="X94" s="1738"/>
      <c r="Y94" s="1739"/>
      <c r="Z94" s="1785"/>
    </row>
    <row r="95" spans="1:26">
      <c r="A95" s="1750"/>
      <c r="B95" s="480"/>
      <c r="C95" s="480"/>
      <c r="D95" s="480"/>
      <c r="E95" s="481"/>
      <c r="F95" s="480"/>
      <c r="G95" s="481"/>
      <c r="H95" s="480"/>
      <c r="I95" s="1739"/>
      <c r="J95" s="1738"/>
      <c r="K95" s="1738"/>
      <c r="L95" s="1738"/>
      <c r="M95" s="1739"/>
      <c r="N95" s="1738"/>
      <c r="O95" s="1739"/>
      <c r="P95" s="1738"/>
      <c r="Q95" s="1739"/>
      <c r="R95" s="1738"/>
      <c r="S95" s="1739"/>
      <c r="T95" s="1738"/>
      <c r="U95" s="1739"/>
      <c r="V95" s="1738"/>
      <c r="W95" s="1739"/>
      <c r="X95" s="1738"/>
      <c r="Y95" s="1739"/>
      <c r="Z95" s="1785"/>
    </row>
    <row r="96" spans="1:26">
      <c r="A96" s="1750"/>
      <c r="B96" s="480"/>
      <c r="C96" s="480"/>
      <c r="D96" s="480"/>
      <c r="E96" s="481"/>
      <c r="F96" s="480"/>
      <c r="G96" s="481"/>
      <c r="H96" s="480"/>
      <c r="I96" s="1739"/>
      <c r="J96" s="1738"/>
      <c r="K96" s="1738"/>
      <c r="L96" s="1738"/>
      <c r="M96" s="1739"/>
      <c r="N96" s="1738"/>
      <c r="O96" s="1739"/>
      <c r="P96" s="1738"/>
      <c r="Q96" s="1739"/>
      <c r="R96" s="1738"/>
      <c r="S96" s="1739"/>
      <c r="T96" s="1738"/>
      <c r="U96" s="1739"/>
      <c r="V96" s="1738"/>
      <c r="W96" s="1739"/>
      <c r="X96" s="1738"/>
      <c r="Y96" s="1739"/>
      <c r="Z96" s="1785"/>
    </row>
  </sheetData>
  <pageMargins left="0.25" right="0.25" top="0.5" bottom="0.25" header="0" footer="0.25"/>
  <pageSetup scale="40" firstPageNumber="4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autoPageBreaks="0"/>
  </sheetPr>
  <dimension ref="A1:G81"/>
  <sheetViews>
    <sheetView showGridLines="0" zoomScaleNormal="80" workbookViewId="0"/>
  </sheetViews>
  <sheetFormatPr defaultColWidth="8.6640625" defaultRowHeight="12.75"/>
  <cols>
    <col min="1" max="1" width="54.6640625" style="911" customWidth="1"/>
    <col min="2" max="2" width="22.109375" style="911" customWidth="1"/>
    <col min="3" max="3" width="24.6640625" style="911" customWidth="1"/>
    <col min="4" max="4" width="30.6640625" style="911" customWidth="1"/>
    <col min="5" max="5" width="2" style="913" customWidth="1"/>
    <col min="6" max="6" width="13" style="1947" bestFit="1" customWidth="1"/>
    <col min="7" max="7" width="8.6640625" style="913"/>
    <col min="8" max="16384" width="8.6640625" style="911"/>
  </cols>
  <sheetData>
    <row r="1" spans="1:7">
      <c r="A1" s="3068" t="s">
        <v>963</v>
      </c>
      <c r="B1" s="1583"/>
      <c r="C1" s="1583"/>
      <c r="D1" s="1583"/>
      <c r="E1" s="912"/>
    </row>
    <row r="2" spans="1:7">
      <c r="A2" s="3069"/>
      <c r="B2" s="1583"/>
      <c r="C2" s="1583"/>
      <c r="D2" s="1498"/>
      <c r="E2" s="912"/>
    </row>
    <row r="3" spans="1:7" s="918" customFormat="1" ht="15">
      <c r="A3" s="1544" t="s">
        <v>494</v>
      </c>
      <c r="B3" s="1583"/>
      <c r="C3" s="1583"/>
      <c r="D3" s="3417" t="s">
        <v>495</v>
      </c>
      <c r="E3" s="3034"/>
      <c r="F3" s="1948"/>
      <c r="G3" s="625"/>
    </row>
    <row r="4" spans="1:7" s="918" customFormat="1" ht="15">
      <c r="A4" s="1544" t="s">
        <v>496</v>
      </c>
      <c r="B4" s="1583"/>
      <c r="C4" s="1583"/>
      <c r="D4" s="1583"/>
      <c r="E4" s="3034"/>
      <c r="F4" s="1948"/>
      <c r="G4" s="625"/>
    </row>
    <row r="5" spans="1:7" s="918" customFormat="1" ht="15">
      <c r="A5" s="1544" t="s">
        <v>497</v>
      </c>
      <c r="B5" s="1583"/>
      <c r="C5" s="1583"/>
      <c r="D5" s="1583"/>
      <c r="E5" s="3034"/>
      <c r="F5" s="1948"/>
      <c r="G5" s="625"/>
    </row>
    <row r="6" spans="1:7" s="918" customFormat="1" ht="15">
      <c r="A6" s="1545" t="s">
        <v>1468</v>
      </c>
      <c r="B6" s="1583"/>
      <c r="C6" s="1583"/>
      <c r="D6" s="1583"/>
      <c r="E6" s="3034"/>
      <c r="F6" s="1948"/>
      <c r="G6" s="625"/>
    </row>
    <row r="7" spans="1:7">
      <c r="A7" s="1545"/>
      <c r="B7" s="1583"/>
      <c r="C7" s="1583"/>
      <c r="D7" s="1583"/>
      <c r="E7" s="912"/>
    </row>
    <row r="8" spans="1:7" ht="27" customHeight="1">
      <c r="A8" s="3565" t="s">
        <v>498</v>
      </c>
      <c r="B8" s="3565" t="s">
        <v>1311</v>
      </c>
      <c r="C8" s="3565" t="s">
        <v>1567</v>
      </c>
      <c r="D8" s="3566" t="s">
        <v>1588</v>
      </c>
      <c r="E8" s="3035"/>
    </row>
    <row r="9" spans="1:7" s="918" customFormat="1">
      <c r="A9" s="3613" t="s">
        <v>499</v>
      </c>
      <c r="B9" s="3653">
        <v>8752000</v>
      </c>
      <c r="C9" s="3653">
        <v>207592.67</v>
      </c>
      <c r="D9" s="3653">
        <v>2212758.09</v>
      </c>
      <c r="E9" s="1645"/>
      <c r="F9" s="1948"/>
      <c r="G9" s="625"/>
    </row>
    <row r="10" spans="1:7" s="918" customFormat="1" ht="15">
      <c r="A10" s="3573" t="s">
        <v>1312</v>
      </c>
      <c r="B10" s="3574">
        <v>8752000</v>
      </c>
      <c r="C10" s="3574">
        <v>207592.67</v>
      </c>
      <c r="D10" s="3574">
        <v>2212758.09</v>
      </c>
      <c r="E10" s="3036"/>
      <c r="F10" s="1948"/>
      <c r="G10" s="625"/>
    </row>
    <row r="11" spans="1:7" s="918" customFormat="1">
      <c r="A11" s="3613" t="s">
        <v>500</v>
      </c>
      <c r="B11" s="3614">
        <v>2134768000</v>
      </c>
      <c r="C11" s="3614">
        <v>58543431.600000001</v>
      </c>
      <c r="D11" s="3614">
        <v>456311646.06999999</v>
      </c>
      <c r="E11" s="1645"/>
      <c r="F11" s="1948"/>
      <c r="G11" s="625"/>
    </row>
    <row r="12" spans="1:7" s="918" customFormat="1">
      <c r="A12" s="3573" t="s">
        <v>1313</v>
      </c>
      <c r="B12" s="3574">
        <v>2134768000</v>
      </c>
      <c r="C12" s="3574">
        <v>58543431.600000001</v>
      </c>
      <c r="D12" s="3574">
        <v>456311646.06999999</v>
      </c>
      <c r="E12" s="1645"/>
      <c r="F12" s="1948"/>
      <c r="G12" s="625"/>
    </row>
    <row r="13" spans="1:7" s="918" customFormat="1">
      <c r="A13" s="3613" t="s">
        <v>501</v>
      </c>
      <c r="B13" s="3614">
        <v>120000</v>
      </c>
      <c r="C13" s="3614">
        <v>0</v>
      </c>
      <c r="D13" s="3614">
        <v>0</v>
      </c>
      <c r="E13" s="1645"/>
      <c r="F13" s="1948"/>
      <c r="G13" s="625"/>
    </row>
    <row r="14" spans="1:7" s="918" customFormat="1">
      <c r="A14" s="3573" t="s">
        <v>1314</v>
      </c>
      <c r="B14" s="3574">
        <v>120000</v>
      </c>
      <c r="C14" s="3574">
        <v>0</v>
      </c>
      <c r="D14" s="3574">
        <v>0</v>
      </c>
      <c r="E14" s="1645"/>
      <c r="F14" s="1948"/>
      <c r="G14" s="625"/>
    </row>
    <row r="15" spans="1:7" s="918" customFormat="1">
      <c r="A15" s="3613" t="s">
        <v>1206</v>
      </c>
      <c r="B15" s="3614">
        <v>384850000</v>
      </c>
      <c r="C15" s="3614">
        <v>9354126.7100000009</v>
      </c>
      <c r="D15" s="3614">
        <v>87168145.379999995</v>
      </c>
      <c r="E15" s="1645"/>
      <c r="F15" s="1948"/>
      <c r="G15" s="625"/>
    </row>
    <row r="16" spans="1:7" s="918" customFormat="1">
      <c r="A16" s="3573" t="s">
        <v>1315</v>
      </c>
      <c r="B16" s="3574">
        <v>384850000</v>
      </c>
      <c r="C16" s="3574">
        <v>9354126.7100000009</v>
      </c>
      <c r="D16" s="3574">
        <v>87168145.379999995</v>
      </c>
      <c r="E16" s="1645"/>
      <c r="F16" s="1948"/>
      <c r="G16" s="625"/>
    </row>
    <row r="17" spans="1:7" s="918" customFormat="1">
      <c r="A17" s="3613" t="s">
        <v>502</v>
      </c>
      <c r="B17" s="3614">
        <v>1490325059.03</v>
      </c>
      <c r="C17" s="3614">
        <v>45962295.939999998</v>
      </c>
      <c r="D17" s="3614">
        <v>188543520.22999999</v>
      </c>
      <c r="E17" s="1645"/>
      <c r="F17" s="1948"/>
      <c r="G17" s="625"/>
    </row>
    <row r="18" spans="1:7" s="918" customFormat="1">
      <c r="A18" s="3573" t="s">
        <v>1316</v>
      </c>
      <c r="B18" s="3574">
        <v>123150000</v>
      </c>
      <c r="C18" s="3574">
        <v>20000000</v>
      </c>
      <c r="D18" s="3574">
        <v>20000000</v>
      </c>
      <c r="E18" s="1645"/>
      <c r="F18" s="1948"/>
      <c r="G18" s="625"/>
    </row>
    <row r="19" spans="1:7" s="918" customFormat="1">
      <c r="A19" s="3573" t="s">
        <v>1317</v>
      </c>
      <c r="B19" s="3574">
        <v>3537000</v>
      </c>
      <c r="C19" s="3574">
        <v>0</v>
      </c>
      <c r="D19" s="3574">
        <v>448825.76999999996</v>
      </c>
      <c r="E19" s="1645"/>
      <c r="F19" s="1948"/>
      <c r="G19" s="625"/>
    </row>
    <row r="20" spans="1:7" s="918" customFormat="1">
      <c r="A20" s="3573" t="s">
        <v>1318</v>
      </c>
      <c r="B20" s="3574">
        <v>3387000</v>
      </c>
      <c r="C20" s="3574">
        <v>0</v>
      </c>
      <c r="D20" s="3574">
        <v>583185.43999999994</v>
      </c>
      <c r="E20" s="1645"/>
      <c r="F20" s="1948"/>
      <c r="G20" s="625"/>
    </row>
    <row r="21" spans="1:7" s="918" customFormat="1">
      <c r="A21" s="3573" t="s">
        <v>1319</v>
      </c>
      <c r="B21" s="3574">
        <v>24700000</v>
      </c>
      <c r="C21" s="3574">
        <v>0</v>
      </c>
      <c r="D21" s="3574">
        <v>-0.01</v>
      </c>
      <c r="E21" s="1645"/>
      <c r="F21" s="1948"/>
      <c r="G21" s="625"/>
    </row>
    <row r="22" spans="1:7" s="918" customFormat="1">
      <c r="A22" s="3573" t="s">
        <v>1320</v>
      </c>
      <c r="B22" s="3574">
        <v>163200000</v>
      </c>
      <c r="C22" s="3574">
        <v>0</v>
      </c>
      <c r="D22" s="3574">
        <v>0</v>
      </c>
      <c r="E22" s="1645"/>
      <c r="F22" s="1948"/>
      <c r="G22" s="625"/>
    </row>
    <row r="23" spans="1:7" s="918" customFormat="1">
      <c r="A23" s="3573" t="s">
        <v>1321</v>
      </c>
      <c r="B23" s="3574">
        <v>4732000</v>
      </c>
      <c r="C23" s="3574">
        <v>0</v>
      </c>
      <c r="D23" s="3574">
        <v>0</v>
      </c>
      <c r="E23" s="1645"/>
      <c r="F23" s="1948"/>
      <c r="G23" s="625"/>
    </row>
    <row r="24" spans="1:7" s="918" customFormat="1">
      <c r="A24" s="3573" t="s">
        <v>1322</v>
      </c>
      <c r="B24" s="3574">
        <v>10335000</v>
      </c>
      <c r="C24" s="3574">
        <v>0</v>
      </c>
      <c r="D24" s="3574">
        <v>2400000</v>
      </c>
      <c r="E24" s="1645"/>
      <c r="F24" s="1948"/>
      <c r="G24" s="625"/>
    </row>
    <row r="25" spans="1:7" s="918" customFormat="1">
      <c r="A25" s="3573" t="s">
        <v>1323</v>
      </c>
      <c r="B25" s="3574">
        <v>9440000</v>
      </c>
      <c r="C25" s="3574">
        <v>343000</v>
      </c>
      <c r="D25" s="3574">
        <v>1986213.15</v>
      </c>
      <c r="E25" s="1645"/>
      <c r="F25" s="1948"/>
      <c r="G25" s="625"/>
    </row>
    <row r="26" spans="1:7" s="918" customFormat="1">
      <c r="A26" s="3573" t="s">
        <v>1324</v>
      </c>
      <c r="B26" s="3574">
        <v>39200000</v>
      </c>
      <c r="C26" s="3574">
        <v>15680000</v>
      </c>
      <c r="D26" s="3574">
        <v>15680000</v>
      </c>
      <c r="E26" s="1645"/>
      <c r="F26" s="1948"/>
      <c r="G26" s="625"/>
    </row>
    <row r="27" spans="1:7" s="918" customFormat="1">
      <c r="A27" s="3573" t="s">
        <v>1325</v>
      </c>
      <c r="B27" s="3574">
        <v>18320000</v>
      </c>
      <c r="C27" s="3574">
        <v>2419.75</v>
      </c>
      <c r="D27" s="3574">
        <v>3967272.23</v>
      </c>
      <c r="E27" s="912"/>
      <c r="F27" s="1948"/>
      <c r="G27" s="625"/>
    </row>
    <row r="28" spans="1:7" s="918" customFormat="1">
      <c r="A28" s="3573" t="s">
        <v>1326</v>
      </c>
      <c r="B28" s="3574">
        <v>5733000</v>
      </c>
      <c r="C28" s="3574">
        <v>67350.31</v>
      </c>
      <c r="D28" s="3574">
        <v>370720.57</v>
      </c>
      <c r="E28" s="912"/>
      <c r="F28" s="1948"/>
      <c r="G28" s="625"/>
    </row>
    <row r="29" spans="1:7">
      <c r="A29" s="3573" t="s">
        <v>1327</v>
      </c>
      <c r="B29" s="3574">
        <v>52000000</v>
      </c>
      <c r="C29" s="3574">
        <v>0</v>
      </c>
      <c r="D29" s="3574">
        <v>0</v>
      </c>
      <c r="E29" s="912"/>
    </row>
    <row r="30" spans="1:7">
      <c r="A30" s="3573" t="s">
        <v>1328</v>
      </c>
      <c r="B30" s="3574">
        <v>2200000</v>
      </c>
      <c r="C30" s="3574">
        <v>0</v>
      </c>
      <c r="D30" s="3574">
        <v>0</v>
      </c>
      <c r="E30" s="912"/>
    </row>
    <row r="31" spans="1:7">
      <c r="A31" s="3573" t="s">
        <v>1329</v>
      </c>
      <c r="B31" s="3574">
        <v>359900000</v>
      </c>
      <c r="C31" s="3574">
        <v>0</v>
      </c>
      <c r="D31" s="3574">
        <v>102100000</v>
      </c>
      <c r="E31" s="912"/>
    </row>
    <row r="32" spans="1:7">
      <c r="A32" s="3573" t="s">
        <v>1330</v>
      </c>
      <c r="B32" s="3574">
        <v>27195000</v>
      </c>
      <c r="C32" s="3574">
        <v>1426891.73</v>
      </c>
      <c r="D32" s="3574">
        <v>2943655.98</v>
      </c>
      <c r="E32" s="912"/>
    </row>
    <row r="33" spans="1:5">
      <c r="A33" s="3573" t="s">
        <v>1331</v>
      </c>
      <c r="B33" s="3574">
        <v>974000</v>
      </c>
      <c r="C33" s="3574">
        <v>0</v>
      </c>
      <c r="D33" s="3574">
        <v>240000</v>
      </c>
      <c r="E33" s="3037"/>
    </row>
    <row r="34" spans="1:5">
      <c r="A34" s="3573" t="s">
        <v>1332</v>
      </c>
      <c r="B34" s="3574">
        <v>6320000</v>
      </c>
      <c r="C34" s="3574">
        <v>-163279.32999999999</v>
      </c>
      <c r="D34" s="3574">
        <v>1756720.67</v>
      </c>
      <c r="E34" s="912"/>
    </row>
    <row r="35" spans="1:5">
      <c r="A35" s="3573" t="s">
        <v>1333</v>
      </c>
      <c r="B35" s="3574">
        <v>5300000</v>
      </c>
      <c r="C35" s="3574">
        <v>0</v>
      </c>
      <c r="D35" s="3574">
        <v>966827.13</v>
      </c>
      <c r="E35" s="912"/>
    </row>
    <row r="36" spans="1:5">
      <c r="A36" s="3573" t="s">
        <v>1334</v>
      </c>
      <c r="B36" s="3574">
        <v>89266000</v>
      </c>
      <c r="C36" s="3574">
        <v>7592600</v>
      </c>
      <c r="D36" s="3574">
        <v>30370400</v>
      </c>
      <c r="E36" s="912"/>
    </row>
    <row r="37" spans="1:5">
      <c r="A37" s="3573" t="s">
        <v>1375</v>
      </c>
      <c r="B37" s="3574">
        <v>50000</v>
      </c>
      <c r="C37" s="3574">
        <v>0</v>
      </c>
      <c r="D37" s="3574">
        <v>0</v>
      </c>
      <c r="E37" s="912"/>
    </row>
    <row r="38" spans="1:5">
      <c r="A38" s="3573" t="s">
        <v>1335</v>
      </c>
      <c r="B38" s="3574">
        <v>17050000</v>
      </c>
      <c r="C38" s="3574">
        <v>0</v>
      </c>
      <c r="D38" s="3574">
        <v>397985.62</v>
      </c>
      <c r="E38" s="912"/>
    </row>
    <row r="39" spans="1:5">
      <c r="A39" s="3573" t="s">
        <v>1473</v>
      </c>
      <c r="B39" s="3574">
        <v>9410000</v>
      </c>
      <c r="C39" s="3574">
        <v>1013313.48</v>
      </c>
      <c r="D39" s="3574">
        <v>3051858.08</v>
      </c>
      <c r="E39" s="912"/>
    </row>
    <row r="40" spans="1:5">
      <c r="A40" s="3573" t="s">
        <v>1483</v>
      </c>
      <c r="B40" s="3574">
        <v>1100000</v>
      </c>
      <c r="C40" s="3574">
        <v>0</v>
      </c>
      <c r="D40" s="3574">
        <v>0</v>
      </c>
      <c r="E40" s="912"/>
    </row>
    <row r="41" spans="1:5">
      <c r="A41" s="3573" t="s">
        <v>1336</v>
      </c>
      <c r="B41" s="3574">
        <v>11610000</v>
      </c>
      <c r="C41" s="3574">
        <v>0</v>
      </c>
      <c r="D41" s="3574">
        <v>1279855.6000000001</v>
      </c>
      <c r="E41" s="912"/>
    </row>
    <row r="42" spans="1:5">
      <c r="A42" s="3573" t="s">
        <v>1337</v>
      </c>
      <c r="B42" s="3574">
        <v>4230000</v>
      </c>
      <c r="C42" s="3574">
        <v>0</v>
      </c>
      <c r="D42" s="3574">
        <v>0</v>
      </c>
      <c r="E42" s="912"/>
    </row>
    <row r="43" spans="1:5">
      <c r="A43" s="3573" t="s">
        <v>1338</v>
      </c>
      <c r="B43" s="3574">
        <v>8460000</v>
      </c>
      <c r="C43" s="3574">
        <v>0</v>
      </c>
      <c r="D43" s="3574">
        <v>0</v>
      </c>
      <c r="E43" s="912"/>
    </row>
    <row r="44" spans="1:5">
      <c r="A44" s="3573" t="s">
        <v>1339</v>
      </c>
      <c r="B44" s="3574">
        <v>489526059.02999997</v>
      </c>
      <c r="C44" s="3574">
        <v>0</v>
      </c>
      <c r="D44" s="3574">
        <v>0</v>
      </c>
      <c r="E44" s="912"/>
    </row>
    <row r="45" spans="1:5">
      <c r="A45" s="3613" t="s">
        <v>503</v>
      </c>
      <c r="B45" s="3614">
        <v>28631301000</v>
      </c>
      <c r="C45" s="3614">
        <v>387900449.84000003</v>
      </c>
      <c r="D45" s="3614">
        <v>3986039712.4700003</v>
      </c>
      <c r="E45" s="912"/>
    </row>
    <row r="46" spans="1:5">
      <c r="A46" s="3573" t="s">
        <v>1340</v>
      </c>
      <c r="B46" s="3574">
        <v>300000000</v>
      </c>
      <c r="C46" s="3574">
        <v>0</v>
      </c>
      <c r="D46" s="3574">
        <v>0</v>
      </c>
      <c r="E46" s="912"/>
    </row>
    <row r="47" spans="1:5">
      <c r="A47" s="3573" t="s">
        <v>1341</v>
      </c>
      <c r="B47" s="3574">
        <v>4999000000</v>
      </c>
      <c r="C47" s="3574">
        <v>37900449.840000004</v>
      </c>
      <c r="D47" s="3574">
        <v>621039712.47000003</v>
      </c>
      <c r="E47" s="912"/>
    </row>
    <row r="48" spans="1:5">
      <c r="A48" s="3573" t="s">
        <v>1342</v>
      </c>
      <c r="B48" s="3574">
        <v>22349101000</v>
      </c>
      <c r="C48" s="3574">
        <v>350000000</v>
      </c>
      <c r="D48" s="3574">
        <v>3365000000</v>
      </c>
      <c r="E48" s="912"/>
    </row>
    <row r="49" spans="1:5">
      <c r="A49" s="3573" t="s">
        <v>1343</v>
      </c>
      <c r="B49" s="3574">
        <v>916000000</v>
      </c>
      <c r="C49" s="3574">
        <v>0</v>
      </c>
      <c r="D49" s="3574">
        <v>0</v>
      </c>
      <c r="E49" s="912"/>
    </row>
    <row r="50" spans="1:5">
      <c r="A50" s="3573" t="s">
        <v>1344</v>
      </c>
      <c r="B50" s="3574">
        <v>67200000</v>
      </c>
      <c r="C50" s="3574">
        <v>0</v>
      </c>
      <c r="D50" s="3574">
        <v>0</v>
      </c>
      <c r="E50" s="912"/>
    </row>
    <row r="51" spans="1:5">
      <c r="A51" s="3613" t="s">
        <v>1361</v>
      </c>
      <c r="B51" s="3614">
        <v>102431000</v>
      </c>
      <c r="C51" s="3614">
        <v>1714827.2999999998</v>
      </c>
      <c r="D51" s="3614">
        <v>22578266.09</v>
      </c>
      <c r="E51" s="912"/>
    </row>
    <row r="52" spans="1:5">
      <c r="A52" s="3573" t="s">
        <v>1362</v>
      </c>
      <c r="B52" s="3574">
        <v>102431000</v>
      </c>
      <c r="C52" s="3574">
        <v>1714827.2999999998</v>
      </c>
      <c r="D52" s="3574">
        <v>22578266.09</v>
      </c>
      <c r="E52" s="912"/>
    </row>
    <row r="53" spans="1:5">
      <c r="A53" s="3613" t="s">
        <v>504</v>
      </c>
      <c r="B53" s="3614">
        <v>1834000</v>
      </c>
      <c r="C53" s="3614">
        <v>0</v>
      </c>
      <c r="D53" s="3614">
        <v>0</v>
      </c>
      <c r="E53" s="912"/>
    </row>
    <row r="54" spans="1:5">
      <c r="A54" s="3573" t="s">
        <v>1345</v>
      </c>
      <c r="B54" s="3574">
        <v>1834000</v>
      </c>
      <c r="C54" s="3574">
        <v>0</v>
      </c>
      <c r="D54" s="3574">
        <v>0</v>
      </c>
      <c r="E54" s="912"/>
    </row>
    <row r="55" spans="1:5">
      <c r="A55" s="3613" t="s">
        <v>505</v>
      </c>
      <c r="B55" s="3614">
        <v>68317000</v>
      </c>
      <c r="C55" s="3614">
        <v>1131253.4500000002</v>
      </c>
      <c r="D55" s="3614">
        <v>7031853.46</v>
      </c>
      <c r="E55" s="912"/>
    </row>
    <row r="56" spans="1:5">
      <c r="A56" s="3573" t="s">
        <v>1346</v>
      </c>
      <c r="B56" s="3574">
        <v>68317000</v>
      </c>
      <c r="C56" s="3574">
        <v>1131253.4500000002</v>
      </c>
      <c r="D56" s="3574">
        <v>7031853.46</v>
      </c>
      <c r="E56" s="912"/>
    </row>
    <row r="57" spans="1:5">
      <c r="A57" s="3613" t="s">
        <v>506</v>
      </c>
      <c r="B57" s="3614">
        <v>2477800</v>
      </c>
      <c r="C57" s="3614">
        <v>0</v>
      </c>
      <c r="D57" s="3614">
        <v>0</v>
      </c>
      <c r="E57" s="912"/>
    </row>
    <row r="58" spans="1:5">
      <c r="A58" s="3573" t="s">
        <v>1347</v>
      </c>
      <c r="B58" s="3574">
        <v>2477800</v>
      </c>
      <c r="C58" s="3574">
        <v>0</v>
      </c>
      <c r="D58" s="3574">
        <v>0</v>
      </c>
      <c r="E58" s="912"/>
    </row>
    <row r="59" spans="1:5">
      <c r="A59" s="3613" t="s">
        <v>1246</v>
      </c>
      <c r="B59" s="3614">
        <v>8190000</v>
      </c>
      <c r="C59" s="3614">
        <v>1002707.48</v>
      </c>
      <c r="D59" s="3614">
        <v>3677000.55</v>
      </c>
      <c r="E59" s="912"/>
    </row>
    <row r="60" spans="1:5">
      <c r="A60" s="3573" t="s">
        <v>1246</v>
      </c>
      <c r="B60" s="3574">
        <v>8190000</v>
      </c>
      <c r="C60" s="3574">
        <v>1002707.48</v>
      </c>
      <c r="D60" s="3574">
        <v>3677000.55</v>
      </c>
      <c r="E60" s="912"/>
    </row>
    <row r="61" spans="1:5">
      <c r="A61" s="3775" t="s">
        <v>547</v>
      </c>
      <c r="B61" s="3777">
        <v>32833365859.029999</v>
      </c>
      <c r="C61" s="3777">
        <v>505816684.99000007</v>
      </c>
      <c r="D61" s="3777">
        <v>4753562902.3399982</v>
      </c>
      <c r="E61" s="912"/>
    </row>
    <row r="62" spans="1:5" ht="15" customHeight="1">
      <c r="A62" s="3584" t="s">
        <v>507</v>
      </c>
      <c r="B62" s="3776"/>
      <c r="C62" s="3585">
        <v>240488.95</v>
      </c>
      <c r="D62" s="3585">
        <v>-4210253.8</v>
      </c>
      <c r="E62" s="912"/>
    </row>
    <row r="63" spans="1:5" ht="15.6" customHeight="1">
      <c r="A63" s="3584" t="s">
        <v>1296</v>
      </c>
      <c r="B63" s="3776"/>
      <c r="C63" s="3585">
        <v>-919100</v>
      </c>
      <c r="D63" s="3585">
        <v>-919100</v>
      </c>
      <c r="E63" s="912"/>
    </row>
    <row r="64" spans="1:5" ht="12.75" customHeight="1">
      <c r="A64" s="3584" t="s">
        <v>1297</v>
      </c>
      <c r="B64" s="3585"/>
      <c r="C64" s="3585">
        <v>0</v>
      </c>
      <c r="D64" s="3585">
        <v>0</v>
      </c>
      <c r="E64" s="3038"/>
    </row>
    <row r="65" spans="1:5">
      <c r="A65" s="3584" t="s">
        <v>508</v>
      </c>
      <c r="B65" s="3585"/>
      <c r="C65" s="3585">
        <v>230.84</v>
      </c>
      <c r="D65" s="3585">
        <v>0</v>
      </c>
      <c r="E65" s="912"/>
    </row>
    <row r="66" spans="1:5" ht="13.5" thickBot="1">
      <c r="A66" s="3568" t="s">
        <v>1348</v>
      </c>
      <c r="B66" s="3602">
        <v>32833365859.029999</v>
      </c>
      <c r="C66" s="3602">
        <f>SUM(C61:C65)</f>
        <v>505138304.78000003</v>
      </c>
      <c r="D66" s="3602">
        <f>SUM(D61:D65)</f>
        <v>4748433548.5399981</v>
      </c>
      <c r="E66" s="912"/>
    </row>
    <row r="67" spans="1:5" ht="13.5" thickTop="1">
      <c r="A67" s="1583"/>
      <c r="B67" s="3567"/>
      <c r="C67" s="3567"/>
      <c r="D67" s="3567"/>
      <c r="E67" s="912"/>
    </row>
    <row r="68" spans="1:5">
      <c r="A68" s="3569" t="s">
        <v>1474</v>
      </c>
      <c r="B68" s="1583"/>
      <c r="C68" s="1583"/>
      <c r="D68" s="1583"/>
      <c r="E68" s="912"/>
    </row>
    <row r="69" spans="1:5">
      <c r="A69" s="3569" t="s">
        <v>962</v>
      </c>
      <c r="B69" s="1583"/>
      <c r="C69" s="1583"/>
      <c r="D69" s="1583"/>
      <c r="E69" s="912"/>
    </row>
    <row r="70" spans="1:5" ht="13.35" customHeight="1">
      <c r="A70" s="3570" t="s">
        <v>932</v>
      </c>
      <c r="B70" s="1583"/>
      <c r="C70" s="1583"/>
      <c r="D70" s="1583"/>
    </row>
    <row r="71" spans="1:5" ht="12.75" customHeight="1">
      <c r="A71" s="3571" t="s">
        <v>933</v>
      </c>
      <c r="B71" s="1583"/>
      <c r="C71" s="1583"/>
      <c r="D71" s="3572"/>
    </row>
    <row r="72" spans="1:5">
      <c r="A72" s="3571" t="s">
        <v>934</v>
      </c>
      <c r="B72" s="1583"/>
      <c r="C72" s="1583"/>
      <c r="D72" s="3567"/>
    </row>
    <row r="73" spans="1:5">
      <c r="B73" s="919"/>
      <c r="C73" s="1587"/>
      <c r="D73" s="916"/>
    </row>
    <row r="74" spans="1:5">
      <c r="A74" s="914"/>
      <c r="B74" s="915"/>
      <c r="C74" s="3900"/>
      <c r="D74" s="3900"/>
    </row>
    <row r="75" spans="1:5">
      <c r="A75" s="914"/>
      <c r="B75" s="915"/>
      <c r="C75" s="3900"/>
      <c r="D75" s="3900"/>
    </row>
    <row r="76" spans="1:5">
      <c r="C76" s="3567"/>
      <c r="D76" s="3567"/>
    </row>
    <row r="77" spans="1:5">
      <c r="A77" s="915"/>
      <c r="B77" s="917"/>
      <c r="C77" s="3901"/>
      <c r="D77" s="3901"/>
    </row>
    <row r="78" spans="1:5" ht="12.75" customHeight="1">
      <c r="A78" s="915"/>
      <c r="B78" s="917"/>
      <c r="C78" s="3781"/>
      <c r="D78" s="3781"/>
    </row>
    <row r="79" spans="1:5" ht="12.75" customHeight="1">
      <c r="A79" s="915"/>
      <c r="B79" s="917"/>
      <c r="C79" s="3781" t="s">
        <v>15</v>
      </c>
      <c r="D79" s="917"/>
    </row>
    <row r="80" spans="1:5" ht="12.75" customHeight="1">
      <c r="A80" s="915"/>
      <c r="B80" s="917"/>
      <c r="C80" s="917"/>
      <c r="D80" s="917"/>
    </row>
    <row r="81" spans="1:3">
      <c r="A81" s="915"/>
      <c r="B81" s="917"/>
      <c r="C81" s="917"/>
    </row>
  </sheetData>
  <printOptions horizontalCentered="1"/>
  <pageMargins left="0.5" right="0.25" top="0.5" bottom="0.25" header="0.5" footer="0.25"/>
  <pageSetup scale="55" firstPageNumber="48" fitToHeight="2" orientation="landscape" useFirstPageNumber="1" r:id="rId1"/>
  <headerFooter scaleWithDoc="0" alignWithMargins="0">
    <oddFooter>&amp;C&amp;8&amp;P</oddFooter>
  </headerFooter>
  <ignoredErrors>
    <ignoredError sqref="C66:D66" formulaRange="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S55"/>
  <sheetViews>
    <sheetView showGridLines="0" zoomScale="90" zoomScaleNormal="70" workbookViewId="0"/>
  </sheetViews>
  <sheetFormatPr defaultColWidth="8.6640625" defaultRowHeight="15" customHeight="1"/>
  <cols>
    <col min="1" max="1" width="55.109375" style="1271" customWidth="1"/>
    <col min="2" max="2" width="4.6640625" style="1271" customWidth="1"/>
    <col min="3" max="3" width="20.6640625" style="1272" customWidth="1"/>
    <col min="4" max="4" width="1.6640625" style="1271" customWidth="1"/>
    <col min="5" max="5" width="20.6640625" style="1272" customWidth="1"/>
    <col min="6" max="6" width="1.6640625" style="1271" customWidth="1"/>
    <col min="7" max="7" width="20.6640625" style="1272" customWidth="1"/>
    <col min="8" max="8" width="1.6640625" style="1271" customWidth="1"/>
    <col min="9" max="9" width="20.6640625" style="1272" customWidth="1"/>
    <col min="10" max="10" width="2.109375" style="1271" customWidth="1"/>
    <col min="11" max="11" width="1.6640625" style="1273" customWidth="1"/>
    <col min="12" max="12" width="20.109375" style="1273" customWidth="1"/>
    <col min="13" max="14" width="8.6640625" style="1272"/>
    <col min="15" max="16384" width="8.6640625" style="1271"/>
  </cols>
  <sheetData>
    <row r="1" spans="1:14" ht="15" customHeight="1">
      <c r="A1" s="644" t="s">
        <v>963</v>
      </c>
    </row>
    <row r="2" spans="1:14" ht="15" customHeight="1">
      <c r="A2" s="1274"/>
    </row>
    <row r="3" spans="1:14" ht="15" customHeight="1">
      <c r="L3" s="1352" t="s">
        <v>509</v>
      </c>
    </row>
    <row r="4" spans="1:14" ht="18" customHeight="1">
      <c r="A4" s="1952" t="s">
        <v>494</v>
      </c>
      <c r="B4" s="1275"/>
      <c r="C4" s="1275"/>
      <c r="D4" s="1275"/>
      <c r="E4" s="1275"/>
      <c r="F4" s="1275"/>
      <c r="G4" s="1275"/>
      <c r="H4" s="1275"/>
      <c r="I4" s="1275"/>
      <c r="J4" s="1275"/>
      <c r="K4" s="1354"/>
      <c r="L4" s="1354"/>
    </row>
    <row r="5" spans="1:14" ht="18" customHeight="1">
      <c r="A5" s="1952" t="s">
        <v>876</v>
      </c>
      <c r="B5" s="1952"/>
      <c r="C5" s="1952"/>
      <c r="D5" s="1952"/>
      <c r="E5" s="1952"/>
      <c r="F5" s="1952"/>
      <c r="G5" s="1952"/>
      <c r="H5" s="1952"/>
      <c r="I5" s="1952"/>
      <c r="J5" s="1952"/>
      <c r="K5" s="1353"/>
      <c r="L5" s="1952"/>
    </row>
    <row r="6" spans="1:14" ht="18" customHeight="1">
      <c r="A6" s="1952" t="s">
        <v>1468</v>
      </c>
      <c r="B6" s="1953"/>
      <c r="C6" s="1953"/>
      <c r="D6" s="1953"/>
      <c r="E6" s="1953"/>
      <c r="F6" s="1953"/>
      <c r="G6" s="1953"/>
      <c r="H6" s="1953"/>
      <c r="I6" s="1953"/>
      <c r="J6" s="1953"/>
      <c r="K6" s="1353"/>
      <c r="L6" s="1952"/>
    </row>
    <row r="7" spans="1:14" ht="15" customHeight="1">
      <c r="A7" s="1954"/>
      <c r="B7" s="1954"/>
      <c r="C7" s="1954"/>
      <c r="D7" s="1954"/>
      <c r="E7" s="1954"/>
      <c r="F7" s="1954"/>
      <c r="G7" s="1954"/>
      <c r="H7" s="1954"/>
      <c r="I7" s="1954"/>
      <c r="J7" s="1954"/>
      <c r="K7" s="1355"/>
      <c r="L7" s="1355"/>
    </row>
    <row r="8" spans="1:14" ht="15" customHeight="1">
      <c r="A8" s="1277"/>
      <c r="B8" s="1278"/>
      <c r="C8" s="1279"/>
      <c r="D8" s="1278"/>
      <c r="E8" s="1279"/>
      <c r="F8" s="1278"/>
      <c r="G8" s="1279"/>
      <c r="H8" s="1278"/>
      <c r="I8" s="1279"/>
      <c r="J8" s="1278"/>
      <c r="K8" s="1356"/>
      <c r="L8" s="1280"/>
    </row>
    <row r="9" spans="1:14" s="1283" customFormat="1" ht="15" customHeight="1">
      <c r="A9" s="1281"/>
      <c r="B9" s="1281"/>
      <c r="C9" s="1635" t="s">
        <v>1501</v>
      </c>
      <c r="D9" s="1281"/>
      <c r="E9" s="1635" t="s">
        <v>1530</v>
      </c>
      <c r="F9" s="1281"/>
      <c r="G9" s="1635" t="s">
        <v>1569</v>
      </c>
      <c r="H9" s="1281"/>
      <c r="I9" s="1635">
        <v>2021</v>
      </c>
      <c r="J9" s="1281"/>
      <c r="K9" s="1282"/>
      <c r="L9" s="1282"/>
      <c r="M9" s="1270"/>
      <c r="N9" s="1270"/>
    </row>
    <row r="10" spans="1:14" ht="15" customHeight="1">
      <c r="A10" s="1284"/>
      <c r="B10" s="1284"/>
      <c r="C10" s="2230" t="s">
        <v>1502</v>
      </c>
      <c r="D10" s="1284"/>
      <c r="E10" s="2230" t="s">
        <v>1531</v>
      </c>
      <c r="F10" s="1284"/>
      <c r="G10" s="2230" t="s">
        <v>1568</v>
      </c>
      <c r="H10" s="1284"/>
      <c r="I10" s="2230" t="s">
        <v>133</v>
      </c>
      <c r="J10" s="1284"/>
      <c r="K10" s="1276"/>
      <c r="L10" s="1285" t="s">
        <v>1469</v>
      </c>
    </row>
    <row r="11" spans="1:14" ht="15" customHeight="1">
      <c r="A11" s="1284"/>
      <c r="B11" s="1284"/>
      <c r="C11" s="1276"/>
      <c r="D11" s="1284"/>
      <c r="E11" s="1276"/>
      <c r="F11" s="1284"/>
      <c r="G11" s="1276"/>
      <c r="H11" s="1284"/>
      <c r="I11" s="1276"/>
      <c r="J11" s="1284"/>
      <c r="K11" s="1276"/>
      <c r="L11" s="1893"/>
    </row>
    <row r="12" spans="1:14" s="1283" customFormat="1" ht="15" customHeight="1">
      <c r="A12" s="1287" t="s">
        <v>471</v>
      </c>
      <c r="B12" s="1287"/>
      <c r="C12" s="1288">
        <v>350947309.06</v>
      </c>
      <c r="D12" s="1287"/>
      <c r="E12" s="1288">
        <f>C52</f>
        <v>126897506.61</v>
      </c>
      <c r="F12" s="1287"/>
      <c r="G12" s="1288">
        <f>E52</f>
        <v>318804091.75999999</v>
      </c>
      <c r="H12" s="1287"/>
      <c r="I12" s="1288">
        <f>G52</f>
        <v>299674693.95999998</v>
      </c>
      <c r="J12" s="1287"/>
      <c r="K12" s="1289"/>
      <c r="L12" s="1357">
        <f>C12</f>
        <v>350947309.06</v>
      </c>
      <c r="M12" s="1270"/>
      <c r="N12" s="1270"/>
    </row>
    <row r="13" spans="1:14" ht="15" customHeight="1">
      <c r="A13" s="1287"/>
      <c r="B13" s="1284"/>
      <c r="C13" s="1286"/>
      <c r="D13" s="1284"/>
      <c r="E13" s="1286"/>
      <c r="F13" s="1284"/>
      <c r="G13" s="1286"/>
      <c r="H13" s="1284"/>
      <c r="I13" s="1286"/>
      <c r="J13" s="1284"/>
      <c r="K13" s="1290"/>
      <c r="L13" s="1293"/>
    </row>
    <row r="14" spans="1:14" ht="15" customHeight="1">
      <c r="A14" s="1287" t="s">
        <v>14</v>
      </c>
      <c r="B14" s="1284"/>
      <c r="C14" s="1291"/>
      <c r="D14" s="1284"/>
      <c r="E14" s="1291"/>
      <c r="F14" s="1284"/>
      <c r="G14" s="1291"/>
      <c r="H14" s="1284"/>
      <c r="I14" s="1291"/>
      <c r="J14" s="1284"/>
      <c r="K14" s="1292"/>
      <c r="L14" s="1293"/>
    </row>
    <row r="15" spans="1:14" ht="15" customHeight="1">
      <c r="A15" s="1284" t="s">
        <v>511</v>
      </c>
      <c r="B15" s="1284"/>
      <c r="C15" s="1259">
        <v>722415689.44000006</v>
      </c>
      <c r="D15" s="1284"/>
      <c r="E15" s="1259">
        <v>975374899.18000007</v>
      </c>
      <c r="F15" s="1284"/>
      <c r="G15" s="3789">
        <v>859864830.97000003</v>
      </c>
      <c r="H15" s="1284"/>
      <c r="I15" s="3789">
        <v>175709345.38999999</v>
      </c>
      <c r="J15" s="1284"/>
      <c r="K15" s="1292"/>
      <c r="L15" s="1293">
        <f t="shared" ref="L15:L21" si="0">SUM(C15:K15)</f>
        <v>2733364764.98</v>
      </c>
    </row>
    <row r="16" spans="1:14" ht="15" customHeight="1">
      <c r="A16" s="1284" t="s">
        <v>512</v>
      </c>
      <c r="B16" s="1284"/>
      <c r="C16" s="1259">
        <v>224564997.99000001</v>
      </c>
      <c r="D16" s="1284"/>
      <c r="E16" s="1259">
        <v>294913084.03000003</v>
      </c>
      <c r="F16" s="1284"/>
      <c r="G16" s="3789">
        <v>252919950.64000002</v>
      </c>
      <c r="H16" s="1284"/>
      <c r="I16" s="3789">
        <v>43950805.009999998</v>
      </c>
      <c r="J16" s="1284"/>
      <c r="K16" s="1292"/>
      <c r="L16" s="1293">
        <f t="shared" si="0"/>
        <v>816348837.67000008</v>
      </c>
    </row>
    <row r="17" spans="1:19" ht="15" customHeight="1">
      <c r="A17" s="1284" t="s">
        <v>513</v>
      </c>
      <c r="B17" s="1284"/>
      <c r="C17" s="1259">
        <v>19621242.870000001</v>
      </c>
      <c r="D17" s="1284"/>
      <c r="E17" s="1259">
        <v>22021897.799999997</v>
      </c>
      <c r="F17" s="1284"/>
      <c r="G17" s="3789">
        <v>24084713.159999996</v>
      </c>
      <c r="H17" s="1284"/>
      <c r="I17" s="3789">
        <v>4939880.3899999997</v>
      </c>
      <c r="J17" s="1284"/>
      <c r="K17" s="1292"/>
      <c r="L17" s="1293">
        <f t="shared" si="0"/>
        <v>70667734.219999999</v>
      </c>
    </row>
    <row r="18" spans="1:19" ht="15" customHeight="1">
      <c r="A18" s="1284" t="s">
        <v>514</v>
      </c>
      <c r="B18" s="1284"/>
      <c r="C18" s="1259">
        <v>103739180</v>
      </c>
      <c r="D18" s="1284"/>
      <c r="E18" s="1259">
        <v>107280064</v>
      </c>
      <c r="F18" s="1284"/>
      <c r="G18" s="3789">
        <v>105841411.19</v>
      </c>
      <c r="H18" s="1284"/>
      <c r="I18" s="3789">
        <v>29576999</v>
      </c>
      <c r="J18" s="1284"/>
      <c r="K18" s="1292"/>
      <c r="L18" s="1293">
        <f t="shared" si="0"/>
        <v>346437654.19</v>
      </c>
    </row>
    <row r="19" spans="1:19" s="1481" customFormat="1" ht="18" customHeight="1">
      <c r="A19" s="1482" t="s">
        <v>515</v>
      </c>
      <c r="B19" s="1284"/>
      <c r="C19" s="790">
        <v>0</v>
      </c>
      <c r="D19" s="1284"/>
      <c r="E19" s="790">
        <v>0</v>
      </c>
      <c r="F19" s="1284"/>
      <c r="G19" s="3795">
        <v>0</v>
      </c>
      <c r="H19" s="1284"/>
      <c r="I19" s="3795">
        <v>0</v>
      </c>
      <c r="J19" s="1284"/>
      <c r="K19" s="1292"/>
      <c r="L19" s="1293">
        <f t="shared" si="0"/>
        <v>0</v>
      </c>
      <c r="M19" s="1286"/>
      <c r="N19" s="1286"/>
    </row>
    <row r="20" spans="1:19" ht="15" customHeight="1">
      <c r="A20" s="1284" t="s">
        <v>516</v>
      </c>
      <c r="B20" s="1284"/>
      <c r="C20" s="1259">
        <v>13893.949999999999</v>
      </c>
      <c r="D20" s="1284"/>
      <c r="E20" s="1259">
        <v>16145.630000000001</v>
      </c>
      <c r="F20" s="1284"/>
      <c r="G20" s="3789">
        <v>8568.77</v>
      </c>
      <c r="H20" s="1284"/>
      <c r="I20" s="3789">
        <v>3593.43</v>
      </c>
      <c r="J20" s="1284"/>
      <c r="K20" s="1292"/>
      <c r="L20" s="1293">
        <f t="shared" si="0"/>
        <v>42201.780000000006</v>
      </c>
    </row>
    <row r="21" spans="1:19" ht="15" customHeight="1">
      <c r="A21" s="1284" t="s">
        <v>517</v>
      </c>
      <c r="B21" s="1284"/>
      <c r="C21" s="1959">
        <v>-1563049.3199999845</v>
      </c>
      <c r="D21" s="1284"/>
      <c r="E21" s="1959">
        <v>-978886.85000000102</v>
      </c>
      <c r="F21" s="1284"/>
      <c r="G21" s="3791">
        <v>6783770.5700000003</v>
      </c>
      <c r="H21" s="1284"/>
      <c r="I21" s="3791">
        <v>-5637858.6299999999</v>
      </c>
      <c r="J21" s="1284"/>
      <c r="K21" s="1294"/>
      <c r="L21" s="1293">
        <f t="shared" si="0"/>
        <v>-1396024.2299999846</v>
      </c>
      <c r="M21" s="1273"/>
    </row>
    <row r="22" spans="1:19" s="1283" customFormat="1" ht="15.75">
      <c r="A22" s="1287" t="s">
        <v>150</v>
      </c>
      <c r="B22" s="1287"/>
      <c r="C22" s="1960">
        <f>ROUND(SUM(C15:C21),2)</f>
        <v>1068791954.9299999</v>
      </c>
      <c r="D22" s="1287"/>
      <c r="E22" s="1960">
        <f>ROUND(SUM(E15:E21),2)</f>
        <v>1398627203.79</v>
      </c>
      <c r="F22" s="1287"/>
      <c r="G22" s="1960">
        <f>ROUND(SUM(G15:G21),2)</f>
        <v>1249503245.3</v>
      </c>
      <c r="H22" s="1287"/>
      <c r="I22" s="1960">
        <f>ROUND(SUM(I15:I21),2)</f>
        <v>248542764.59</v>
      </c>
      <c r="J22" s="1287"/>
      <c r="K22" s="1295"/>
      <c r="L22" s="1894">
        <f>ROUND(SUM(L15:L21),2)</f>
        <v>3965465168.6100001</v>
      </c>
      <c r="M22" s="1297"/>
      <c r="N22" s="1270"/>
    </row>
    <row r="23" spans="1:19" ht="15" customHeight="1">
      <c r="A23" s="1284"/>
      <c r="B23" s="1284"/>
      <c r="C23" s="1291"/>
      <c r="D23" s="1284"/>
      <c r="E23" s="1291"/>
      <c r="F23" s="1284"/>
      <c r="G23" s="1291"/>
      <c r="H23" s="1284"/>
      <c r="I23" s="1291"/>
      <c r="J23" s="1284"/>
      <c r="K23" s="1292"/>
      <c r="L23" s="1293"/>
    </row>
    <row r="24" spans="1:19" ht="15" customHeight="1">
      <c r="A24" s="1287" t="s">
        <v>928</v>
      </c>
      <c r="B24" s="1284"/>
      <c r="C24" s="1298"/>
      <c r="D24" s="1284"/>
      <c r="E24" s="1298"/>
      <c r="F24" s="1284"/>
      <c r="G24" s="1298"/>
      <c r="H24" s="1284"/>
      <c r="I24" s="1298"/>
      <c r="J24" s="1284"/>
      <c r="K24" s="1292"/>
      <c r="L24" s="1293"/>
    </row>
    <row r="25" spans="1:19" ht="15" customHeight="1">
      <c r="A25" s="1299" t="s">
        <v>518</v>
      </c>
      <c r="B25" s="1284"/>
      <c r="C25" s="1291">
        <v>0</v>
      </c>
      <c r="D25" s="1284"/>
      <c r="E25" s="1291">
        <v>0</v>
      </c>
      <c r="F25" s="1284"/>
      <c r="G25" s="1291">
        <v>-1920000</v>
      </c>
      <c r="H25" s="1284"/>
      <c r="I25" s="1291">
        <v>-480000</v>
      </c>
      <c r="J25" s="1284"/>
      <c r="K25" s="1292"/>
      <c r="L25" s="1293">
        <f>SUM(C25:K25)</f>
        <v>-2400000</v>
      </c>
    </row>
    <row r="26" spans="1:19" ht="15" customHeight="1">
      <c r="A26" s="1299" t="s">
        <v>519</v>
      </c>
      <c r="B26" s="1284"/>
      <c r="C26" s="1291">
        <v>0</v>
      </c>
      <c r="D26" s="1284"/>
      <c r="E26" s="1291">
        <v>0</v>
      </c>
      <c r="F26" s="1284"/>
      <c r="G26" s="1291">
        <v>0</v>
      </c>
      <c r="H26" s="1284"/>
      <c r="I26" s="1291">
        <v>0</v>
      </c>
      <c r="J26" s="1284"/>
      <c r="K26" s="1292"/>
      <c r="L26" s="1293">
        <f>SUM(C26:K26)</f>
        <v>0</v>
      </c>
    </row>
    <row r="27" spans="1:19" ht="15" customHeight="1">
      <c r="A27" s="1299" t="s">
        <v>520</v>
      </c>
      <c r="B27" s="1284"/>
      <c r="C27" s="1291">
        <v>0</v>
      </c>
      <c r="D27" s="1284"/>
      <c r="E27" s="1291">
        <v>0</v>
      </c>
      <c r="F27" s="1284"/>
      <c r="G27" s="1291">
        <v>-2400000</v>
      </c>
      <c r="H27" s="1284"/>
      <c r="I27" s="1291">
        <v>0</v>
      </c>
      <c r="J27" s="1284"/>
      <c r="K27" s="1294"/>
      <c r="L27" s="1293">
        <f>SUM(C27:K27)</f>
        <v>-2400000</v>
      </c>
    </row>
    <row r="28" spans="1:19" ht="15.75">
      <c r="A28" s="1275" t="s">
        <v>968</v>
      </c>
      <c r="B28" s="1287"/>
      <c r="C28" s="1894">
        <f>ROUND(SUM(C25:C27),2)</f>
        <v>0</v>
      </c>
      <c r="D28" s="1287"/>
      <c r="E28" s="1894">
        <f>ROUND(SUM(E25:E27),2)</f>
        <v>0</v>
      </c>
      <c r="F28" s="1287"/>
      <c r="G28" s="1894">
        <f>ROUND(SUM(G25:G27),2)</f>
        <v>-4320000</v>
      </c>
      <c r="H28" s="1287"/>
      <c r="I28" s="1894">
        <f>ROUND(SUM(I25:I27),2)</f>
        <v>-480000</v>
      </c>
      <c r="J28" s="1287"/>
      <c r="K28" s="1295"/>
      <c r="L28" s="1894">
        <f>ROUND(SUM(L25:L27),2)</f>
        <v>-4800000</v>
      </c>
    </row>
    <row r="29" spans="1:19" ht="15" customHeight="1">
      <c r="A29" s="1284"/>
      <c r="B29" s="1284"/>
      <c r="C29" s="1291"/>
      <c r="D29" s="1284"/>
      <c r="E29" s="1291"/>
      <c r="F29" s="1284"/>
      <c r="G29" s="1291"/>
      <c r="H29" s="1284"/>
      <c r="I29" s="1291"/>
      <c r="J29" s="1284"/>
      <c r="K29" s="1292"/>
      <c r="L29" s="1293"/>
    </row>
    <row r="30" spans="1:19" ht="15" customHeight="1">
      <c r="A30" s="1287" t="s">
        <v>521</v>
      </c>
      <c r="B30" s="1287"/>
      <c r="C30" s="2232">
        <f>ROUND(+C22+C28,2)</f>
        <v>1068791954.9299999</v>
      </c>
      <c r="D30" s="1287"/>
      <c r="E30" s="2232">
        <f>ROUND(+E22+E28,2)</f>
        <v>1398627203.79</v>
      </c>
      <c r="F30" s="1287"/>
      <c r="G30" s="2232">
        <f>ROUND(+G22+G28,2)</f>
        <v>1245183245.3</v>
      </c>
      <c r="H30" s="1287"/>
      <c r="I30" s="2232">
        <f>ROUND(+I22+I28,2)</f>
        <v>248062764.59</v>
      </c>
      <c r="J30" s="1287"/>
      <c r="K30" s="1300"/>
      <c r="L30" s="1296">
        <f>ROUND(+L22+L28,2)</f>
        <v>3960665168.6100001</v>
      </c>
    </row>
    <row r="31" spans="1:19" ht="15" customHeight="1">
      <c r="A31" s="1284"/>
      <c r="B31" s="1284"/>
      <c r="C31" s="1293"/>
      <c r="D31" s="1284"/>
      <c r="E31" s="1293"/>
      <c r="F31" s="1284"/>
      <c r="G31" s="1293"/>
      <c r="H31" s="1284"/>
      <c r="I31" s="1293"/>
      <c r="J31" s="1284"/>
      <c r="K31" s="1292"/>
      <c r="L31" s="1895"/>
      <c r="M31" s="1273"/>
      <c r="N31" s="1273"/>
      <c r="O31" s="1301"/>
      <c r="P31" s="1301"/>
      <c r="Q31" s="1301"/>
      <c r="R31" s="1301"/>
      <c r="S31" s="1301"/>
    </row>
    <row r="32" spans="1:19" ht="15" customHeight="1">
      <c r="A32" s="1287" t="s">
        <v>46</v>
      </c>
      <c r="B32" s="1284"/>
      <c r="C32" s="1293"/>
      <c r="D32" s="1284"/>
      <c r="E32" s="1293"/>
      <c r="F32" s="1284"/>
      <c r="G32" s="1293"/>
      <c r="H32" s="1284"/>
      <c r="I32" s="1293"/>
      <c r="J32" s="1284"/>
      <c r="K32" s="1292"/>
      <c r="L32" s="1293"/>
      <c r="M32" s="1273"/>
      <c r="N32" s="1273"/>
      <c r="O32" s="1301"/>
      <c r="P32" s="1301"/>
      <c r="Q32" s="1301"/>
      <c r="R32" s="1301"/>
      <c r="S32" s="1301"/>
    </row>
    <row r="33" spans="1:19" ht="15" customHeight="1">
      <c r="A33" s="1287" t="s">
        <v>877</v>
      </c>
      <c r="B33" s="1284"/>
      <c r="C33" s="1293"/>
      <c r="D33" s="1284"/>
      <c r="E33" s="1293"/>
      <c r="F33" s="1284"/>
      <c r="G33" s="1293"/>
      <c r="H33" s="1284"/>
      <c r="I33" s="1293"/>
      <c r="J33" s="1284"/>
      <c r="K33" s="1292"/>
      <c r="L33" s="1293"/>
      <c r="M33" s="1273"/>
      <c r="N33" s="1273"/>
      <c r="O33" s="1301"/>
      <c r="P33" s="1301"/>
      <c r="Q33" s="1301"/>
      <c r="R33" s="1301"/>
      <c r="S33" s="1301"/>
    </row>
    <row r="34" spans="1:19" ht="15" customHeight="1">
      <c r="A34" s="1284" t="s">
        <v>522</v>
      </c>
      <c r="B34" s="1284"/>
      <c r="C34" s="1259">
        <v>0</v>
      </c>
      <c r="D34" s="1284"/>
      <c r="E34" s="1259">
        <v>0</v>
      </c>
      <c r="F34" s="1284"/>
      <c r="G34" s="1259">
        <v>0</v>
      </c>
      <c r="H34" s="1284"/>
      <c r="I34" s="1259">
        <v>0</v>
      </c>
      <c r="J34" s="1284"/>
      <c r="K34" s="1292"/>
      <c r="L34" s="1293">
        <f>SUM(C34:K34)</f>
        <v>0</v>
      </c>
      <c r="M34" s="1273"/>
      <c r="N34" s="1273"/>
      <c r="O34" s="1301"/>
      <c r="P34" s="1301"/>
      <c r="Q34" s="1301"/>
      <c r="R34" s="1301"/>
      <c r="S34" s="1301"/>
    </row>
    <row r="35" spans="1:19" ht="15" customHeight="1">
      <c r="A35" s="1299" t="s">
        <v>523</v>
      </c>
      <c r="B35" s="1284"/>
      <c r="C35" s="1259">
        <v>13334232</v>
      </c>
      <c r="D35" s="1284"/>
      <c r="E35" s="1259">
        <v>13201960</v>
      </c>
      <c r="F35" s="1284"/>
      <c r="G35" s="1259">
        <v>12615514</v>
      </c>
      <c r="H35" s="1284"/>
      <c r="I35" s="1259">
        <v>4274213</v>
      </c>
      <c r="J35" s="1284"/>
      <c r="K35" s="1292"/>
      <c r="L35" s="1293">
        <f>SUM(C35:K35)</f>
        <v>43425919</v>
      </c>
      <c r="M35" s="1273"/>
      <c r="N35" s="1273"/>
      <c r="O35" s="1301"/>
      <c r="P35" s="1301"/>
      <c r="Q35" s="1301"/>
      <c r="R35" s="1301"/>
      <c r="S35" s="1301"/>
    </row>
    <row r="36" spans="1:19" ht="15" customHeight="1">
      <c r="A36" s="1287" t="s">
        <v>524</v>
      </c>
      <c r="B36" s="1284"/>
      <c r="C36" s="1293"/>
      <c r="D36" s="1284"/>
      <c r="E36" s="1293"/>
      <c r="F36" s="1284"/>
      <c r="G36" s="1293"/>
      <c r="H36" s="1284"/>
      <c r="I36" s="1293"/>
      <c r="J36" s="1284"/>
      <c r="K36" s="1292"/>
      <c r="L36" s="1293"/>
      <c r="M36" s="1273"/>
      <c r="N36" s="1273"/>
      <c r="O36" s="1301"/>
      <c r="P36" s="1301"/>
      <c r="Q36" s="1301"/>
      <c r="R36" s="1301"/>
      <c r="S36" s="1301"/>
    </row>
    <row r="37" spans="1:19" ht="15" customHeight="1">
      <c r="A37" s="1251" t="s">
        <v>525</v>
      </c>
      <c r="B37" s="1284"/>
      <c r="C37" s="1302">
        <v>0</v>
      </c>
      <c r="D37" s="1284"/>
      <c r="E37" s="1302">
        <v>0</v>
      </c>
      <c r="F37" s="1284"/>
      <c r="G37" s="1302">
        <v>4320000</v>
      </c>
      <c r="H37" s="1284"/>
      <c r="I37" s="1302">
        <v>480000</v>
      </c>
      <c r="J37" s="1284"/>
      <c r="K37" s="1292"/>
      <c r="L37" s="1293">
        <f>SUM(C37:K37)</f>
        <v>4800000</v>
      </c>
      <c r="M37" s="1273"/>
      <c r="N37" s="1273"/>
      <c r="O37" s="1301"/>
      <c r="P37" s="1301"/>
      <c r="Q37" s="1301"/>
      <c r="R37" s="1301"/>
      <c r="S37" s="1301"/>
    </row>
    <row r="38" spans="1:19" s="1283" customFormat="1" ht="15.75">
      <c r="A38" s="1287" t="s">
        <v>526</v>
      </c>
      <c r="B38" s="1287"/>
      <c r="C38" s="1894">
        <f>ROUND(SUM(C34:C37),2)</f>
        <v>13334232</v>
      </c>
      <c r="D38" s="1287"/>
      <c r="E38" s="1894">
        <f>ROUND(SUM(E34:E37),2)</f>
        <v>13201960</v>
      </c>
      <c r="F38" s="1287"/>
      <c r="G38" s="1894">
        <f>ROUND(SUM(G34:G37),2)</f>
        <v>16935514</v>
      </c>
      <c r="H38" s="1287"/>
      <c r="I38" s="1894">
        <f>ROUND(SUM(I34:I37),2)</f>
        <v>4754213</v>
      </c>
      <c r="J38" s="1287"/>
      <c r="K38" s="1295"/>
      <c r="L38" s="1894">
        <f>ROUND(SUM(L34:L37),2)</f>
        <v>48225919</v>
      </c>
      <c r="M38" s="1297"/>
      <c r="N38" s="1297"/>
      <c r="O38" s="1303"/>
      <c r="P38" s="1303"/>
      <c r="Q38" s="1303"/>
      <c r="R38" s="1303"/>
      <c r="S38" s="1303"/>
    </row>
    <row r="39" spans="1:19" ht="15" customHeight="1">
      <c r="A39" s="1284"/>
      <c r="B39" s="1284"/>
      <c r="C39" s="1291"/>
      <c r="D39" s="1284"/>
      <c r="E39" s="1291"/>
      <c r="F39" s="1284"/>
      <c r="G39" s="1291"/>
      <c r="H39" s="1284"/>
      <c r="I39" s="1291"/>
      <c r="J39" s="1284"/>
      <c r="K39" s="1292"/>
      <c r="L39" s="1293"/>
      <c r="M39" s="1273"/>
      <c r="N39" s="1273"/>
      <c r="O39" s="1301"/>
      <c r="P39" s="1301"/>
      <c r="Q39" s="1301"/>
      <c r="R39" s="1301"/>
      <c r="S39" s="1301"/>
    </row>
    <row r="40" spans="1:19" ht="15" customHeight="1">
      <c r="A40" s="1287" t="s">
        <v>929</v>
      </c>
      <c r="B40" s="1284"/>
      <c r="C40" s="1291"/>
      <c r="D40" s="1284"/>
      <c r="E40" s="1291"/>
      <c r="F40" s="1284"/>
      <c r="G40" s="1291"/>
      <c r="H40" s="1284"/>
      <c r="I40" s="1291"/>
      <c r="J40" s="1284"/>
      <c r="K40" s="1292"/>
      <c r="L40" s="1293"/>
      <c r="M40" s="1273"/>
      <c r="N40" s="1273"/>
      <c r="O40" s="1301"/>
      <c r="P40" s="1301"/>
      <c r="Q40" s="1301"/>
      <c r="R40" s="1301"/>
      <c r="S40" s="1301"/>
    </row>
    <row r="41" spans="1:19" ht="15" customHeight="1">
      <c r="A41" s="1284" t="s">
        <v>522</v>
      </c>
      <c r="B41" s="1284"/>
      <c r="C41" s="1252">
        <v>0</v>
      </c>
      <c r="D41" s="1284"/>
      <c r="E41" s="1252">
        <v>0</v>
      </c>
      <c r="F41" s="1284"/>
      <c r="G41" s="1252">
        <v>0</v>
      </c>
      <c r="H41" s="1284"/>
      <c r="I41" s="1252">
        <v>0</v>
      </c>
      <c r="J41" s="1284"/>
      <c r="K41" s="1292"/>
      <c r="L41" s="1293">
        <f>SUM(C41:K41)</f>
        <v>0</v>
      </c>
      <c r="M41" s="1273"/>
      <c r="N41" s="1273"/>
      <c r="O41" s="1301"/>
      <c r="P41" s="1301"/>
      <c r="Q41" s="1301"/>
      <c r="R41" s="1301"/>
      <c r="S41" s="1301"/>
    </row>
    <row r="42" spans="1:19" ht="15" customHeight="1">
      <c r="A42" s="1284" t="s">
        <v>527</v>
      </c>
      <c r="B42" s="1284"/>
      <c r="C42" s="1291">
        <v>0</v>
      </c>
      <c r="D42" s="1284"/>
      <c r="E42" s="1291">
        <v>0</v>
      </c>
      <c r="F42" s="1284"/>
      <c r="G42" s="1291">
        <v>0</v>
      </c>
      <c r="H42" s="1284"/>
      <c r="I42" s="1291">
        <v>0</v>
      </c>
      <c r="J42" s="1284"/>
      <c r="K42" s="1292"/>
      <c r="L42" s="1293">
        <f>SUM(C42:K42)</f>
        <v>0</v>
      </c>
      <c r="M42" s="1273"/>
      <c r="N42" s="1273"/>
      <c r="O42" s="1301"/>
      <c r="P42" s="1301"/>
      <c r="Q42" s="1301"/>
      <c r="R42" s="1301"/>
      <c r="S42" s="1301"/>
    </row>
    <row r="43" spans="1:19" ht="15" customHeight="1">
      <c r="A43" s="1287" t="s">
        <v>930</v>
      </c>
      <c r="B43" s="1284"/>
      <c r="C43" s="1291"/>
      <c r="D43" s="1284"/>
      <c r="E43" s="1291"/>
      <c r="F43" s="1284"/>
      <c r="G43" s="1291"/>
      <c r="H43" s="1284"/>
      <c r="I43" s="1291"/>
      <c r="J43" s="1284"/>
      <c r="K43" s="1292"/>
      <c r="L43" s="1293"/>
      <c r="M43" s="1273"/>
      <c r="N43" s="1273"/>
      <c r="O43" s="1301"/>
      <c r="P43" s="1301"/>
      <c r="Q43" s="1301"/>
      <c r="R43" s="1301"/>
      <c r="S43" s="1301"/>
    </row>
    <row r="44" spans="1:19" ht="15" customHeight="1">
      <c r="A44" s="1299" t="s">
        <v>525</v>
      </c>
      <c r="B44" s="1284"/>
      <c r="C44" s="1259">
        <v>-1306175989.3799999</v>
      </c>
      <c r="D44" s="1284"/>
      <c r="E44" s="1259">
        <v>-1219922578.6400001</v>
      </c>
      <c r="F44" s="1284"/>
      <c r="G44" s="3790">
        <v>-1281248157.0999999</v>
      </c>
      <c r="H44" s="1284"/>
      <c r="I44" s="3790">
        <v>-376478714.82999998</v>
      </c>
      <c r="J44" s="1284"/>
      <c r="K44" s="1292"/>
      <c r="L44" s="1293">
        <f t="shared" ref="L44:L46" si="1">SUM(C44:K44)</f>
        <v>-4183825439.9499998</v>
      </c>
      <c r="M44" s="1273"/>
      <c r="N44" s="1273"/>
      <c r="O44" s="1301"/>
      <c r="P44" s="1301"/>
      <c r="Q44" s="1301"/>
      <c r="R44" s="1301"/>
      <c r="S44" s="1301"/>
    </row>
    <row r="45" spans="1:19" ht="15" customHeight="1">
      <c r="A45" s="1284" t="s">
        <v>1286</v>
      </c>
      <c r="B45" s="1284"/>
      <c r="C45" s="1259">
        <v>0</v>
      </c>
      <c r="D45" s="1284"/>
      <c r="E45" s="1259">
        <v>0</v>
      </c>
      <c r="F45" s="1284"/>
      <c r="G45" s="1259">
        <v>0</v>
      </c>
      <c r="H45" s="1284"/>
      <c r="I45" s="1259">
        <v>0</v>
      </c>
      <c r="J45" s="1284"/>
      <c r="K45" s="1292"/>
      <c r="L45" s="1293">
        <f t="shared" si="1"/>
        <v>0</v>
      </c>
      <c r="M45" s="1273"/>
      <c r="N45" s="1273"/>
      <c r="O45" s="1301"/>
      <c r="P45" s="1301"/>
      <c r="Q45" s="1301"/>
      <c r="R45" s="1301"/>
      <c r="S45" s="1301"/>
    </row>
    <row r="46" spans="1:19" ht="15" customHeight="1">
      <c r="A46" s="1284" t="s">
        <v>1287</v>
      </c>
      <c r="B46" s="1284"/>
      <c r="C46" s="1961">
        <v>0</v>
      </c>
      <c r="D46" s="1284"/>
      <c r="E46" s="1961">
        <v>0</v>
      </c>
      <c r="F46" s="1284"/>
      <c r="G46" s="1961">
        <v>0</v>
      </c>
      <c r="H46" s="1284"/>
      <c r="I46" s="1961">
        <v>0</v>
      </c>
      <c r="J46" s="1284"/>
      <c r="K46" s="1292"/>
      <c r="L46" s="1293">
        <f t="shared" si="1"/>
        <v>0</v>
      </c>
      <c r="M46" s="1273"/>
      <c r="N46" s="1273"/>
      <c r="O46" s="1301"/>
      <c r="P46" s="1301"/>
      <c r="Q46" s="1301"/>
      <c r="R46" s="1301"/>
      <c r="S46" s="1301"/>
    </row>
    <row r="47" spans="1:19" ht="15.75">
      <c r="A47" s="1287" t="s">
        <v>528</v>
      </c>
      <c r="B47" s="1287"/>
      <c r="C47" s="1894">
        <f>ROUND(SUM(C41:C46),2)</f>
        <v>-1306175989.3800001</v>
      </c>
      <c r="D47" s="1287"/>
      <c r="E47" s="1894">
        <f>ROUND(SUM(E41:E46),2)</f>
        <v>-1219922578.6400001</v>
      </c>
      <c r="F47" s="1287"/>
      <c r="G47" s="1894">
        <f>ROUND(SUM(G41:G46),2)</f>
        <v>-1281248157.0999999</v>
      </c>
      <c r="H47" s="1287"/>
      <c r="I47" s="1894">
        <f>ROUND(SUM(I41:I46),2)</f>
        <v>-376478714.82999998</v>
      </c>
      <c r="J47" s="1287"/>
      <c r="K47" s="1295"/>
      <c r="L47" s="1894">
        <f>ROUND(SUM(L41:L46),2)</f>
        <v>-4183825439.9499998</v>
      </c>
      <c r="M47" s="1273"/>
      <c r="N47" s="1273"/>
      <c r="O47" s="1301"/>
      <c r="P47" s="1301"/>
      <c r="Q47" s="1301"/>
      <c r="R47" s="1301"/>
      <c r="S47" s="1301"/>
    </row>
    <row r="48" spans="1:19" ht="15" customHeight="1">
      <c r="A48" s="1284"/>
      <c r="B48" s="1284"/>
      <c r="C48" s="1291"/>
      <c r="D48" s="1284"/>
      <c r="E48" s="1291"/>
      <c r="F48" s="1284"/>
      <c r="G48" s="1291"/>
      <c r="H48" s="1284"/>
      <c r="I48" s="1291"/>
      <c r="J48" s="1284"/>
      <c r="K48" s="1292"/>
      <c r="L48" s="1293"/>
      <c r="M48" s="1273"/>
      <c r="N48" s="1273"/>
      <c r="O48" s="1301"/>
      <c r="P48" s="1301"/>
      <c r="Q48" s="1301"/>
      <c r="R48" s="1301"/>
      <c r="S48" s="1301"/>
    </row>
    <row r="49" spans="1:19" ht="15" customHeight="1">
      <c r="A49" s="1287" t="s">
        <v>529</v>
      </c>
      <c r="B49" s="1284"/>
      <c r="C49" s="1291"/>
      <c r="D49" s="1284"/>
      <c r="E49" s="1291"/>
      <c r="F49" s="1284"/>
      <c r="G49" s="1291"/>
      <c r="H49" s="1284"/>
      <c r="I49" s="1291"/>
      <c r="J49" s="1284"/>
      <c r="K49" s="1292"/>
      <c r="L49" s="1293"/>
      <c r="M49" s="1273"/>
      <c r="N49" s="1273"/>
      <c r="O49" s="1301"/>
      <c r="P49" s="1301"/>
      <c r="Q49" s="1301"/>
      <c r="R49" s="1301"/>
      <c r="S49" s="1301"/>
    </row>
    <row r="50" spans="1:19" ht="15" customHeight="1">
      <c r="A50" s="1287" t="s">
        <v>530</v>
      </c>
      <c r="B50" s="1284"/>
      <c r="C50" s="1960">
        <f>ROUND(+C30+C38+C47,2)</f>
        <v>-224049802.44999999</v>
      </c>
      <c r="D50" s="1284"/>
      <c r="E50" s="1960">
        <f>ROUND(+E30+E38+E47,2)</f>
        <v>191906585.15000001</v>
      </c>
      <c r="F50" s="1284"/>
      <c r="G50" s="1960">
        <f>ROUND(+G30+G38+G47,2)</f>
        <v>-19129397.800000001</v>
      </c>
      <c r="H50" s="1284"/>
      <c r="I50" s="1960">
        <f>ROUND(+I30+I38+I47,2)</f>
        <v>-123661737.23999999</v>
      </c>
      <c r="J50" s="1284"/>
      <c r="K50" s="1300"/>
      <c r="L50" s="1960">
        <f>ROUND(+L30+L38+L47,2)</f>
        <v>-174934352.34</v>
      </c>
      <c r="M50" s="1273"/>
      <c r="N50" s="1273"/>
      <c r="O50" s="1301"/>
      <c r="P50" s="1301"/>
      <c r="Q50" s="1301"/>
      <c r="R50" s="1301"/>
      <c r="S50" s="1301"/>
    </row>
    <row r="51" spans="1:19" ht="15" customHeight="1">
      <c r="A51" s="1284"/>
      <c r="B51" s="1284"/>
      <c r="C51" s="1286"/>
      <c r="D51" s="1284"/>
      <c r="E51" s="1286"/>
      <c r="F51" s="1284"/>
      <c r="G51" s="1286"/>
      <c r="H51" s="1284"/>
      <c r="I51" s="1286"/>
      <c r="J51" s="1284"/>
      <c r="K51" s="1304"/>
      <c r="L51" s="1293"/>
      <c r="M51" s="1273"/>
      <c r="N51" s="1273"/>
      <c r="O51" s="1301"/>
      <c r="P51" s="1301"/>
      <c r="Q51" s="1301"/>
      <c r="R51" s="1301"/>
      <c r="S51" s="1301"/>
    </row>
    <row r="52" spans="1:19" s="1283" customFormat="1" ht="21" customHeight="1" thickBot="1">
      <c r="A52" s="1287" t="s">
        <v>531</v>
      </c>
      <c r="B52" s="1287"/>
      <c r="C52" s="2231">
        <f>ROUND(C12+C50,2)</f>
        <v>126897506.61</v>
      </c>
      <c r="D52" s="1287"/>
      <c r="E52" s="2231">
        <f>ROUND(E12+E50,2)</f>
        <v>318804091.75999999</v>
      </c>
      <c r="F52" s="1287"/>
      <c r="G52" s="2231">
        <f>ROUND(G12+G50,2)</f>
        <v>299674693.95999998</v>
      </c>
      <c r="H52" s="1287"/>
      <c r="I52" s="2231">
        <f>ROUND(I12+I50,2)</f>
        <v>176012956.72</v>
      </c>
      <c r="J52" s="1287"/>
      <c r="K52" s="1305"/>
      <c r="L52" s="1357">
        <f>ROUND(L12+L50,2)</f>
        <v>176012956.72</v>
      </c>
      <c r="M52" s="1270"/>
      <c r="N52" s="1270"/>
    </row>
    <row r="53" spans="1:19" ht="15" customHeight="1" thickTop="1">
      <c r="A53" s="1284" t="s">
        <v>15</v>
      </c>
      <c r="B53" s="1284"/>
      <c r="C53" s="1276"/>
      <c r="D53" s="1284"/>
      <c r="E53" s="1276"/>
      <c r="F53" s="1284"/>
      <c r="G53" s="1276"/>
      <c r="H53" s="1284"/>
      <c r="I53" s="1276"/>
      <c r="J53" s="1284"/>
      <c r="K53" s="1276"/>
      <c r="L53" s="1306"/>
    </row>
    <row r="54" spans="1:19" ht="15" customHeight="1">
      <c r="A54" s="1267" t="s">
        <v>532</v>
      </c>
    </row>
    <row r="55" spans="1:19" ht="15" customHeight="1">
      <c r="A55" s="1307"/>
    </row>
  </sheetData>
  <printOptions horizontalCentered="1"/>
  <pageMargins left="0.24" right="0.24" top="0.5" bottom="0.5" header="0.18" footer="0.25"/>
  <pageSetup scale="60" firstPageNumber="49" orientation="landscape" useFirstPageNumber="1" r:id="rId1"/>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U151"/>
  <sheetViews>
    <sheetView showGridLines="0" zoomScale="90" zoomScaleNormal="90" workbookViewId="0"/>
  </sheetViews>
  <sheetFormatPr defaultColWidth="8.6640625" defaultRowHeight="15.75"/>
  <cols>
    <col min="1" max="1" width="3.5546875" style="1494" customWidth="1"/>
    <col min="2" max="2" width="8.44140625" style="1495" customWidth="1"/>
    <col min="3" max="3" width="12.109375" style="1495" customWidth="1"/>
    <col min="4" max="4" width="15" style="1496" customWidth="1"/>
    <col min="5" max="5" width="15.109375" style="1493" customWidth="1"/>
    <col min="6" max="6" width="10.44140625" style="1494" customWidth="1"/>
    <col min="7" max="7" width="10.109375" style="1494" customWidth="1"/>
    <col min="8" max="8" width="9.109375" style="1554" customWidth="1"/>
    <col min="9" max="9" width="5.5546875" style="1492" customWidth="1"/>
    <col min="10" max="10" width="9.109375" style="1492" customWidth="1"/>
    <col min="11" max="11" width="8.109375" style="1493" customWidth="1"/>
    <col min="12" max="12" width="16" style="1493" customWidth="1"/>
    <col min="13" max="13" width="12.109375" style="1493" customWidth="1"/>
    <col min="14" max="14" width="5.44140625" style="1493" customWidth="1"/>
    <col min="15" max="15" width="18.6640625" style="1556" customWidth="1"/>
    <col min="16" max="16" width="4.6640625" style="1556" customWidth="1"/>
    <col min="17" max="17" width="8" style="1556" customWidth="1"/>
    <col min="18" max="18" width="3.6640625" style="1556" customWidth="1"/>
    <col min="19" max="19" width="13.109375" style="1556" customWidth="1"/>
    <col min="20" max="21" width="12.109375" style="1556" customWidth="1"/>
    <col min="22" max="16384" width="8.6640625" style="1556"/>
  </cols>
  <sheetData>
    <row r="1" spans="1:20">
      <c r="A1" s="644" t="s">
        <v>963</v>
      </c>
    </row>
    <row r="2" spans="1:20">
      <c r="A2" s="547" t="s">
        <v>783</v>
      </c>
      <c r="B2" s="548"/>
      <c r="C2" s="549"/>
      <c r="D2" s="550"/>
      <c r="E2" s="1554"/>
      <c r="F2" s="1554"/>
      <c r="G2" s="1554"/>
      <c r="I2" s="551"/>
      <c r="J2" s="551"/>
      <c r="K2" s="1554"/>
      <c r="L2" s="1554"/>
      <c r="M2" s="1554"/>
      <c r="N2" s="552"/>
      <c r="O2" s="884" t="s">
        <v>959</v>
      </c>
      <c r="Q2" s="554"/>
      <c r="R2" s="554"/>
      <c r="S2" s="555"/>
      <c r="T2" s="556"/>
    </row>
    <row r="3" spans="1:20" ht="12.75" customHeight="1">
      <c r="A3" s="548"/>
      <c r="B3" s="548"/>
      <c r="C3" s="549"/>
      <c r="D3" s="550"/>
      <c r="E3" s="1554"/>
      <c r="F3" s="1554"/>
      <c r="G3" s="1554"/>
      <c r="I3" s="1495"/>
      <c r="J3" s="1495"/>
      <c r="K3" s="1496"/>
      <c r="M3" s="1494"/>
      <c r="N3" s="1494"/>
      <c r="O3" s="885" t="s">
        <v>1556</v>
      </c>
      <c r="T3" s="556"/>
    </row>
    <row r="4" spans="1:20" ht="9" customHeight="1">
      <c r="B4" s="1624"/>
      <c r="C4" s="1624"/>
      <c r="D4" s="1619"/>
      <c r="E4" s="1620"/>
      <c r="F4" s="1621"/>
      <c r="G4" s="1621"/>
      <c r="H4" s="564"/>
      <c r="I4" s="667"/>
      <c r="J4" s="667"/>
      <c r="K4" s="1620"/>
      <c r="L4" s="1620"/>
      <c r="M4" s="1620"/>
      <c r="N4" s="1620"/>
      <c r="O4" s="1626"/>
      <c r="P4" s="1626"/>
      <c r="T4" s="556"/>
    </row>
    <row r="5" spans="1:20" ht="13.5" customHeight="1">
      <c r="T5" s="556"/>
    </row>
    <row r="6" spans="1:20" ht="13.5" customHeight="1">
      <c r="A6" s="557" t="s">
        <v>784</v>
      </c>
      <c r="B6" s="1555" t="s">
        <v>785</v>
      </c>
      <c r="C6" s="1555"/>
      <c r="D6" s="1555"/>
      <c r="E6" s="564"/>
      <c r="F6" s="564"/>
      <c r="G6" s="564"/>
      <c r="H6" s="559"/>
      <c r="I6" s="1648" t="s">
        <v>1586</v>
      </c>
      <c r="J6" s="551"/>
      <c r="K6" s="550"/>
      <c r="L6" s="1554"/>
      <c r="M6" s="1623"/>
      <c r="N6" s="1494"/>
    </row>
    <row r="7" spans="1:20" ht="13.5" customHeight="1">
      <c r="A7" s="557"/>
      <c r="B7" s="1555" t="s">
        <v>786</v>
      </c>
      <c r="C7" s="1555"/>
      <c r="D7" s="1555"/>
      <c r="E7" s="564"/>
      <c r="F7" s="564"/>
      <c r="G7" s="564"/>
      <c r="H7" s="1494"/>
      <c r="I7" s="1555" t="s">
        <v>1578</v>
      </c>
      <c r="J7" s="551"/>
      <c r="K7" s="550"/>
      <c r="L7" s="1554"/>
      <c r="M7" s="1623"/>
      <c r="N7" s="1494"/>
    </row>
    <row r="8" spans="1:20" ht="13.35" customHeight="1">
      <c r="A8" s="557"/>
      <c r="B8" s="1555" t="s">
        <v>787</v>
      </c>
      <c r="C8" s="1555"/>
      <c r="D8" s="1555"/>
      <c r="E8" s="564"/>
      <c r="F8" s="564"/>
      <c r="G8" s="564"/>
      <c r="H8" s="1494"/>
      <c r="I8" s="1555" t="s">
        <v>1513</v>
      </c>
      <c r="J8" s="551"/>
      <c r="K8" s="1496"/>
      <c r="M8" s="1623"/>
    </row>
    <row r="9" spans="1:20" ht="12.75" customHeight="1">
      <c r="A9" s="557"/>
      <c r="B9" s="1555" t="s">
        <v>788</v>
      </c>
      <c r="C9" s="1555"/>
      <c r="D9" s="1555"/>
      <c r="E9" s="564"/>
      <c r="F9" s="564"/>
      <c r="G9" s="564"/>
      <c r="H9" s="1631"/>
      <c r="I9" s="1555" t="s">
        <v>1523</v>
      </c>
    </row>
    <row r="10" spans="1:20" ht="12.75" customHeight="1">
      <c r="B10" s="1624"/>
      <c r="C10" s="1624"/>
      <c r="D10" s="1619"/>
      <c r="E10" s="1620"/>
      <c r="F10" s="1628"/>
      <c r="G10" s="1621"/>
      <c r="H10" s="564"/>
      <c r="I10" s="2113" t="s">
        <v>1579</v>
      </c>
      <c r="J10" s="1627"/>
      <c r="K10" s="1622"/>
      <c r="L10" s="564"/>
      <c r="M10" s="1623"/>
    </row>
    <row r="11" spans="1:20" ht="12.75" customHeight="1">
      <c r="A11" s="1554"/>
      <c r="B11" s="1555"/>
      <c r="C11" s="1627" t="s">
        <v>834</v>
      </c>
      <c r="D11" s="1622"/>
      <c r="E11" s="564"/>
      <c r="F11" s="1622">
        <v>215</v>
      </c>
      <c r="G11" s="564" t="s">
        <v>789</v>
      </c>
      <c r="H11" s="1633"/>
      <c r="I11" s="3779"/>
      <c r="J11" s="1627"/>
      <c r="K11" s="1622"/>
      <c r="L11" s="564"/>
      <c r="M11" s="1623"/>
    </row>
    <row r="12" spans="1:20" ht="12.75" customHeight="1">
      <c r="A12" s="1554"/>
      <c r="B12" s="1627"/>
      <c r="C12" s="1627" t="s">
        <v>988</v>
      </c>
      <c r="D12" s="1629"/>
      <c r="E12" s="564"/>
      <c r="F12" s="3915">
        <v>13</v>
      </c>
      <c r="G12" s="564"/>
      <c r="H12" s="564"/>
    </row>
    <row r="13" spans="1:20" ht="12.75" customHeight="1">
      <c r="A13" s="1554"/>
      <c r="B13" s="1627"/>
      <c r="C13" s="1627" t="s">
        <v>790</v>
      </c>
      <c r="D13" s="1629"/>
      <c r="E13" s="564"/>
      <c r="F13" s="3916">
        <v>270.10000000000002</v>
      </c>
      <c r="G13" s="564"/>
      <c r="H13" s="1626"/>
      <c r="I13" s="2113" t="s">
        <v>1497</v>
      </c>
      <c r="T13" s="1554"/>
    </row>
    <row r="14" spans="1:20" ht="12.75" customHeight="1">
      <c r="A14" s="1554"/>
      <c r="B14" s="1627"/>
      <c r="C14" s="1627" t="s">
        <v>791</v>
      </c>
      <c r="D14" s="1629"/>
      <c r="E14" s="564"/>
      <c r="F14" s="3916">
        <v>12.9</v>
      </c>
      <c r="G14" s="1621"/>
      <c r="H14" s="1494"/>
      <c r="T14" s="558"/>
    </row>
    <row r="15" spans="1:20" ht="12.75" customHeight="1">
      <c r="A15" s="1554"/>
      <c r="B15" s="1627"/>
      <c r="C15" s="1627" t="s">
        <v>989</v>
      </c>
      <c r="D15" s="1629"/>
      <c r="E15" s="564"/>
      <c r="F15" s="3916">
        <v>470.1</v>
      </c>
      <c r="G15" s="564"/>
      <c r="H15" s="1631"/>
      <c r="J15" s="3760" t="s">
        <v>1540</v>
      </c>
      <c r="M15" s="3589">
        <v>3</v>
      </c>
      <c r="N15" s="1554" t="s">
        <v>789</v>
      </c>
      <c r="T15" s="558"/>
    </row>
    <row r="16" spans="1:20" ht="12.75" customHeight="1">
      <c r="A16" s="1554"/>
      <c r="B16" s="1627"/>
      <c r="C16" s="1627" t="s">
        <v>835</v>
      </c>
      <c r="D16" s="1629"/>
      <c r="E16" s="564"/>
      <c r="F16" s="3915">
        <v>433.3</v>
      </c>
      <c r="G16" s="564"/>
      <c r="J16" s="3760" t="s">
        <v>1545</v>
      </c>
      <c r="M16" s="1625">
        <v>2.1</v>
      </c>
      <c r="R16" s="1554"/>
    </row>
    <row r="17" spans="1:16" ht="12.75" customHeight="1">
      <c r="A17" s="1554"/>
      <c r="B17" s="1627"/>
      <c r="C17" s="1627" t="s">
        <v>792</v>
      </c>
      <c r="D17" s="1630"/>
      <c r="E17" s="564"/>
      <c r="F17" s="3915">
        <v>339.2</v>
      </c>
      <c r="G17" s="564"/>
      <c r="J17" s="3760" t="s">
        <v>1544</v>
      </c>
      <c r="M17" s="1625">
        <v>4.7</v>
      </c>
    </row>
    <row r="18" spans="1:16" ht="12.75" customHeight="1">
      <c r="A18" s="1554"/>
      <c r="B18" s="1627"/>
      <c r="C18" s="1627" t="s">
        <v>1247</v>
      </c>
      <c r="D18" s="1630"/>
      <c r="E18" s="564"/>
      <c r="F18" s="3916">
        <v>203</v>
      </c>
      <c r="G18" s="564"/>
      <c r="H18" s="564"/>
      <c r="J18" s="3760" t="s">
        <v>1499</v>
      </c>
      <c r="K18" s="3760"/>
      <c r="M18" s="1625">
        <v>57.7</v>
      </c>
      <c r="N18" s="3761"/>
    </row>
    <row r="19" spans="1:16" ht="12.75" customHeight="1">
      <c r="A19" s="1621"/>
      <c r="B19" s="1624"/>
      <c r="C19" s="1624"/>
      <c r="D19" s="1619"/>
      <c r="E19" s="1620"/>
      <c r="F19" s="1621"/>
      <c r="G19" s="1621"/>
      <c r="J19" s="3760" t="s">
        <v>1547</v>
      </c>
      <c r="M19" s="1625">
        <v>1</v>
      </c>
    </row>
    <row r="20" spans="1:16" ht="13.35" customHeight="1">
      <c r="A20" s="1633" t="s">
        <v>793</v>
      </c>
      <c r="B20" s="1555" t="s">
        <v>970</v>
      </c>
      <c r="C20" s="1555"/>
      <c r="D20" s="1555"/>
      <c r="E20" s="564"/>
      <c r="F20" s="564"/>
      <c r="G20" s="564"/>
      <c r="H20" s="1633"/>
      <c r="J20" s="3760" t="s">
        <v>1517</v>
      </c>
      <c r="K20" s="3760"/>
      <c r="M20" s="1625">
        <v>5.3</v>
      </c>
    </row>
    <row r="21" spans="1:16" ht="12.75" customHeight="1">
      <c r="A21" s="1633"/>
      <c r="B21" s="1555" t="s">
        <v>1372</v>
      </c>
      <c r="C21" s="1555"/>
      <c r="D21" s="1555"/>
      <c r="E21" s="564"/>
      <c r="F21" s="564"/>
      <c r="G21" s="564"/>
      <c r="J21" s="3760" t="s">
        <v>1518</v>
      </c>
      <c r="M21" s="1625">
        <v>8.6999999999999993</v>
      </c>
    </row>
    <row r="22" spans="1:16" ht="14.1" customHeight="1">
      <c r="A22" s="1633"/>
      <c r="B22" s="1555"/>
      <c r="C22" s="1555"/>
      <c r="D22" s="1555"/>
      <c r="E22" s="564"/>
      <c r="F22" s="564"/>
      <c r="G22" s="564"/>
      <c r="J22" s="3760" t="s">
        <v>1539</v>
      </c>
      <c r="M22" s="1625">
        <v>5.3</v>
      </c>
    </row>
    <row r="23" spans="1:16" ht="12.75" customHeight="1">
      <c r="A23" s="564"/>
      <c r="B23" s="1632" t="s">
        <v>1587</v>
      </c>
      <c r="C23" s="1632"/>
      <c r="D23" s="1555"/>
      <c r="E23" s="564"/>
      <c r="F23" s="564"/>
      <c r="G23" s="564"/>
      <c r="J23" s="3760" t="s">
        <v>1485</v>
      </c>
      <c r="M23" s="1625">
        <v>1.3</v>
      </c>
    </row>
    <row r="24" spans="1:16" ht="12.75" customHeight="1">
      <c r="A24" s="1621"/>
      <c r="B24" s="1624"/>
      <c r="C24" s="1624"/>
      <c r="D24" s="1619"/>
      <c r="E24" s="1620"/>
      <c r="F24" s="1621"/>
      <c r="G24" s="564"/>
      <c r="J24" s="3760" t="s">
        <v>1549</v>
      </c>
      <c r="M24" s="1625">
        <v>2</v>
      </c>
    </row>
    <row r="25" spans="1:16" ht="13.35" customHeight="1">
      <c r="A25" s="1621"/>
      <c r="B25" s="1624"/>
      <c r="C25" s="1627" t="s">
        <v>1219</v>
      </c>
      <c r="D25" s="1619"/>
      <c r="E25" s="1620"/>
      <c r="F25" s="1649">
        <v>2232.6999999999998</v>
      </c>
      <c r="G25" s="564" t="s">
        <v>789</v>
      </c>
      <c r="H25" s="564"/>
      <c r="J25" s="3760" t="s">
        <v>1542</v>
      </c>
      <c r="M25" s="1625">
        <v>1.6</v>
      </c>
    </row>
    <row r="26" spans="1:16" ht="12.75" customHeight="1">
      <c r="A26" s="1621"/>
      <c r="B26" s="1624"/>
      <c r="C26" s="1627" t="s">
        <v>794</v>
      </c>
      <c r="D26" s="1622"/>
      <c r="E26" s="564"/>
      <c r="F26" s="1623">
        <v>339.2</v>
      </c>
      <c r="G26" s="1626"/>
      <c r="J26" s="3760" t="s">
        <v>1541</v>
      </c>
      <c r="M26" s="1625">
        <v>3.6</v>
      </c>
      <c r="P26" s="564"/>
    </row>
    <row r="27" spans="1:16" ht="12.75" customHeight="1">
      <c r="A27" s="1621"/>
      <c r="B27" s="1624"/>
      <c r="C27" s="1627" t="s">
        <v>1200</v>
      </c>
      <c r="D27" s="1622"/>
      <c r="E27" s="564"/>
      <c r="F27" s="1623">
        <v>26.6</v>
      </c>
      <c r="G27" s="564"/>
      <c r="J27" s="3760" t="s">
        <v>1546</v>
      </c>
      <c r="M27" s="1625">
        <v>4.5999999999999996</v>
      </c>
    </row>
    <row r="28" spans="1:16" ht="12.75" customHeight="1">
      <c r="C28" s="3760" t="s">
        <v>1488</v>
      </c>
      <c r="D28" s="3762"/>
      <c r="E28" s="1554"/>
      <c r="F28" s="1625">
        <v>8</v>
      </c>
      <c r="J28" s="3760" t="s">
        <v>1590</v>
      </c>
      <c r="M28" s="1625">
        <v>37.5</v>
      </c>
    </row>
    <row r="29" spans="1:16" ht="13.35" customHeight="1">
      <c r="C29" s="3760" t="s">
        <v>1489</v>
      </c>
      <c r="D29" s="3762"/>
      <c r="E29" s="1554"/>
      <c r="F29" s="1625">
        <v>26.9</v>
      </c>
      <c r="H29" s="1494"/>
      <c r="J29" s="3760" t="s">
        <v>1498</v>
      </c>
      <c r="M29" s="1625">
        <v>22.4</v>
      </c>
    </row>
    <row r="30" spans="1:16" ht="12.75" customHeight="1">
      <c r="C30" s="3760" t="s">
        <v>1490</v>
      </c>
      <c r="D30" s="3762"/>
      <c r="E30" s="1554"/>
      <c r="F30" s="1625">
        <v>11.5</v>
      </c>
      <c r="J30" s="3760" t="s">
        <v>1543</v>
      </c>
      <c r="M30" s="1625">
        <v>2.6</v>
      </c>
    </row>
    <row r="31" spans="1:16" ht="12.75" customHeight="1">
      <c r="C31" s="1627" t="s">
        <v>1369</v>
      </c>
      <c r="D31" s="1622"/>
      <c r="E31" s="564"/>
      <c r="F31" s="1623">
        <v>90.6</v>
      </c>
      <c r="H31" s="1633"/>
      <c r="J31" s="3760" t="s">
        <v>1519</v>
      </c>
      <c r="M31" s="1625">
        <v>16.2</v>
      </c>
    </row>
    <row r="32" spans="1:16" ht="12.75" customHeight="1">
      <c r="C32" s="3760" t="s">
        <v>1491</v>
      </c>
      <c r="D32" s="3762"/>
      <c r="E32" s="1554"/>
      <c r="F32" s="1625">
        <v>49.5</v>
      </c>
      <c r="J32" s="3760" t="s">
        <v>1524</v>
      </c>
      <c r="M32" s="1625">
        <v>11.4</v>
      </c>
    </row>
    <row r="33" spans="1:20" ht="12.75" customHeight="1">
      <c r="C33" s="3778" t="s">
        <v>1503</v>
      </c>
      <c r="F33" s="1625">
        <v>363</v>
      </c>
      <c r="J33" s="3760" t="s">
        <v>1591</v>
      </c>
      <c r="M33" s="1625">
        <v>7.3</v>
      </c>
    </row>
    <row r="34" spans="1:20" ht="13.35" customHeight="1">
      <c r="C34" s="3760" t="s">
        <v>1526</v>
      </c>
      <c r="D34" s="3762"/>
      <c r="E34" s="1554"/>
      <c r="F34" s="1625">
        <v>6.6</v>
      </c>
    </row>
    <row r="35" spans="1:20" ht="12.75" customHeight="1">
      <c r="C35" s="3760" t="s">
        <v>1527</v>
      </c>
      <c r="D35" s="3762"/>
      <c r="E35" s="1554"/>
      <c r="F35" s="1625">
        <v>36.700000000000003</v>
      </c>
      <c r="G35" s="1621"/>
      <c r="I35" s="1648" t="s">
        <v>1585</v>
      </c>
      <c r="J35" s="1648"/>
      <c r="K35" s="564"/>
      <c r="L35" s="564"/>
      <c r="M35" s="564"/>
    </row>
    <row r="36" spans="1:20" ht="12.75" customHeight="1">
      <c r="C36" s="3760" t="s">
        <v>1528</v>
      </c>
      <c r="D36" s="3762"/>
      <c r="E36" s="1554"/>
      <c r="F36" s="1625">
        <v>3.8</v>
      </c>
      <c r="I36" s="667"/>
      <c r="J36" s="667"/>
      <c r="K36" s="1620"/>
      <c r="L36" s="1620"/>
      <c r="M36" s="1620"/>
      <c r="N36" s="1494"/>
      <c r="R36" s="1554"/>
    </row>
    <row r="37" spans="1:20" ht="12.75" customHeight="1">
      <c r="C37" s="3760" t="s">
        <v>1589</v>
      </c>
      <c r="F37" s="1625">
        <v>1.5</v>
      </c>
      <c r="I37" s="1627"/>
      <c r="J37" s="1627" t="s">
        <v>795</v>
      </c>
      <c r="K37" s="1622"/>
      <c r="L37" s="564"/>
      <c r="M37" s="1649">
        <v>15595.7</v>
      </c>
      <c r="N37" s="564" t="s">
        <v>789</v>
      </c>
      <c r="R37" s="558"/>
    </row>
    <row r="38" spans="1:20" ht="12.75" customHeight="1">
      <c r="C38" s="3760" t="s">
        <v>1492</v>
      </c>
      <c r="D38" s="3762"/>
      <c r="E38" s="1554"/>
      <c r="F38" s="1625">
        <v>19.8</v>
      </c>
      <c r="I38" s="1627"/>
      <c r="J38" s="1627" t="s">
        <v>796</v>
      </c>
      <c r="K38" s="1622"/>
      <c r="L38" s="564"/>
      <c r="M38" s="1623">
        <v>2755</v>
      </c>
      <c r="N38" s="1620"/>
      <c r="R38" s="558"/>
      <c r="T38" s="662"/>
    </row>
    <row r="39" spans="1:20" ht="12.75" customHeight="1">
      <c r="C39" s="3760" t="s">
        <v>1493</v>
      </c>
      <c r="D39" s="3762"/>
      <c r="E39" s="1554"/>
      <c r="F39" s="1625">
        <v>12</v>
      </c>
      <c r="I39" s="1627"/>
      <c r="J39" s="1627" t="s">
        <v>797</v>
      </c>
      <c r="K39" s="1622"/>
      <c r="L39" s="564"/>
      <c r="M39" s="1623">
        <v>1716.2</v>
      </c>
      <c r="N39" s="564"/>
      <c r="T39" s="662"/>
    </row>
    <row r="40" spans="1:20" ht="13.35" customHeight="1">
      <c r="C40" s="3760" t="s">
        <v>1580</v>
      </c>
      <c r="F40" s="1625">
        <v>1.2</v>
      </c>
      <c r="H40" s="1633"/>
      <c r="I40" s="667"/>
      <c r="J40" s="1627" t="s">
        <v>798</v>
      </c>
      <c r="K40" s="1622"/>
      <c r="L40" s="564"/>
      <c r="M40" s="1623">
        <v>633.20000000000005</v>
      </c>
      <c r="N40" s="1556"/>
      <c r="T40" s="662"/>
    </row>
    <row r="41" spans="1:20" ht="12.75" customHeight="1">
      <c r="C41" s="1627" t="s">
        <v>1485</v>
      </c>
      <c r="D41" s="1622"/>
      <c r="E41" s="564"/>
      <c r="F41" s="1623">
        <v>27.8</v>
      </c>
      <c r="H41" s="1556"/>
      <c r="J41" s="551" t="s">
        <v>1305</v>
      </c>
      <c r="K41" s="2167"/>
      <c r="L41" s="1554"/>
      <c r="M41" s="1625">
        <v>1105.0999999999999</v>
      </c>
      <c r="N41" s="1556"/>
      <c r="T41" s="662"/>
    </row>
    <row r="42" spans="1:20" ht="12.75" customHeight="1">
      <c r="C42" s="3760" t="s">
        <v>1494</v>
      </c>
      <c r="D42" s="3762"/>
      <c r="E42" s="1554"/>
      <c r="F42" s="1625">
        <v>244.3</v>
      </c>
      <c r="I42" s="667"/>
      <c r="J42" s="1627"/>
      <c r="K42" s="1620"/>
      <c r="L42" s="1620"/>
      <c r="M42" s="1620"/>
      <c r="N42" s="1556"/>
      <c r="T42" s="662"/>
    </row>
    <row r="43" spans="1:20" ht="12.75" customHeight="1">
      <c r="C43" s="1627" t="s">
        <v>1484</v>
      </c>
      <c r="D43" s="3762"/>
      <c r="E43" s="1554"/>
      <c r="F43" s="1623">
        <v>125</v>
      </c>
      <c r="I43" s="564" t="s">
        <v>986</v>
      </c>
      <c r="J43" s="1627"/>
      <c r="K43" s="564"/>
      <c r="L43" s="564"/>
      <c r="M43" s="564"/>
      <c r="N43" s="1556"/>
      <c r="T43" s="662"/>
    </row>
    <row r="44" spans="1:20" ht="12.75" customHeight="1">
      <c r="C44" s="1627" t="s">
        <v>1482</v>
      </c>
      <c r="D44" s="1622"/>
      <c r="E44" s="564"/>
      <c r="F44" s="1623">
        <v>2.8</v>
      </c>
      <c r="G44" s="1621"/>
      <c r="I44" s="564" t="s">
        <v>1374</v>
      </c>
      <c r="J44" s="1627"/>
      <c r="K44" s="564"/>
      <c r="L44" s="564"/>
      <c r="M44" s="564"/>
      <c r="N44" s="1620"/>
      <c r="P44" s="1626"/>
      <c r="T44" s="662"/>
    </row>
    <row r="45" spans="1:20" ht="12.75" customHeight="1">
      <c r="C45" s="551" t="s">
        <v>1533</v>
      </c>
      <c r="F45" s="1625">
        <v>2.1</v>
      </c>
      <c r="G45" s="1621"/>
      <c r="I45" s="564" t="s">
        <v>1583</v>
      </c>
      <c r="J45" s="1627"/>
      <c r="K45" s="564"/>
      <c r="L45" s="564"/>
      <c r="M45" s="564"/>
      <c r="N45" s="564"/>
      <c r="P45" s="1626"/>
      <c r="T45" s="662"/>
    </row>
    <row r="46" spans="1:20" ht="13.5" customHeight="1">
      <c r="C46" s="551" t="s">
        <v>1495</v>
      </c>
      <c r="D46" s="3762"/>
      <c r="E46" s="1554"/>
      <c r="F46" s="1625">
        <v>3</v>
      </c>
      <c r="I46" s="1495"/>
      <c r="J46" s="1495"/>
      <c r="K46" s="1496"/>
      <c r="M46" s="1494"/>
      <c r="N46" s="1494"/>
      <c r="O46" s="3589"/>
      <c r="P46" s="564"/>
    </row>
    <row r="47" spans="1:20" ht="12.75" customHeight="1">
      <c r="C47" s="3760" t="s">
        <v>1496</v>
      </c>
      <c r="D47" s="3762"/>
      <c r="E47" s="1554"/>
      <c r="F47" s="1625">
        <v>994.1</v>
      </c>
      <c r="I47" s="1648" t="s">
        <v>1584</v>
      </c>
      <c r="J47" s="2114"/>
      <c r="O47" s="1625"/>
    </row>
    <row r="48" spans="1:20" ht="12.75" customHeight="1">
      <c r="A48" s="564"/>
      <c r="I48" s="1555" t="s">
        <v>1577</v>
      </c>
      <c r="J48" s="2114"/>
      <c r="O48" s="1625"/>
    </row>
    <row r="49" spans="1:21" ht="13.35" customHeight="1">
      <c r="C49" s="1627" t="s">
        <v>799</v>
      </c>
      <c r="J49" s="551"/>
      <c r="O49" s="1625"/>
    </row>
    <row r="50" spans="1:21" ht="12.75" customHeight="1">
      <c r="A50" s="1621"/>
      <c r="C50" s="564" t="s">
        <v>1581</v>
      </c>
      <c r="H50" s="557" t="s">
        <v>1522</v>
      </c>
      <c r="I50" s="550" t="s">
        <v>1520</v>
      </c>
      <c r="J50" s="551"/>
      <c r="O50" s="1625"/>
      <c r="S50" s="549"/>
      <c r="T50" s="662"/>
      <c r="U50" s="662"/>
    </row>
    <row r="51" spans="1:21" ht="12.75" customHeight="1">
      <c r="B51" s="1494"/>
      <c r="C51" s="564" t="s">
        <v>1582</v>
      </c>
      <c r="H51" s="1494"/>
      <c r="I51" s="550" t="s">
        <v>1521</v>
      </c>
      <c r="J51" s="551"/>
      <c r="O51" s="1625"/>
      <c r="S51" s="561"/>
      <c r="T51" s="662"/>
      <c r="U51" s="662"/>
    </row>
    <row r="52" spans="1:21" ht="12.75" customHeight="1">
      <c r="B52" s="1494"/>
      <c r="C52" s="1492"/>
      <c r="G52" s="1623"/>
      <c r="H52" s="1494"/>
      <c r="I52" s="550" t="s">
        <v>1576</v>
      </c>
      <c r="J52" s="551"/>
      <c r="O52" s="1625"/>
      <c r="S52" s="561"/>
      <c r="T52" s="662"/>
      <c r="U52" s="662"/>
    </row>
    <row r="53" spans="1:21" ht="12.75" customHeight="1">
      <c r="B53" s="564"/>
      <c r="C53" s="1555" t="s">
        <v>971</v>
      </c>
      <c r="D53" s="1492"/>
      <c r="E53" s="1622"/>
      <c r="F53" s="564"/>
      <c r="G53" s="1623"/>
      <c r="H53" s="1494"/>
      <c r="I53" s="550" t="s">
        <v>1573</v>
      </c>
      <c r="J53" s="551"/>
      <c r="O53" s="1625"/>
      <c r="P53" s="1493"/>
      <c r="S53" s="562"/>
      <c r="T53" s="662"/>
      <c r="U53" s="662"/>
    </row>
    <row r="54" spans="1:21" ht="12.75" customHeight="1">
      <c r="B54" s="1494"/>
      <c r="C54" s="1555" t="s">
        <v>972</v>
      </c>
      <c r="D54" s="1492"/>
      <c r="E54" s="1622"/>
      <c r="F54" s="564"/>
      <c r="J54" s="551"/>
      <c r="O54" s="1625"/>
      <c r="R54" s="553"/>
    </row>
    <row r="55" spans="1:21" ht="12.75" customHeight="1">
      <c r="B55" s="1494"/>
      <c r="C55" s="1555" t="s">
        <v>1574</v>
      </c>
      <c r="D55" s="1492"/>
      <c r="E55" s="1496"/>
      <c r="F55" s="1493"/>
      <c r="G55" s="1623"/>
      <c r="R55" s="553"/>
    </row>
    <row r="56" spans="1:21" ht="12.75" customHeight="1">
      <c r="B56" s="1494"/>
      <c r="C56" s="1555" t="s">
        <v>1575</v>
      </c>
      <c r="D56" s="1492"/>
      <c r="E56" s="1622"/>
      <c r="F56" s="564"/>
      <c r="G56" s="1623"/>
      <c r="J56" s="551"/>
      <c r="O56" s="1625"/>
      <c r="R56" s="1497"/>
    </row>
    <row r="57" spans="1:21" ht="12.75" customHeight="1">
      <c r="D57" s="3590"/>
      <c r="E57" s="3762" t="s">
        <v>15</v>
      </c>
      <c r="F57" s="3591"/>
      <c r="G57" s="3603"/>
      <c r="R57" s="1497"/>
    </row>
    <row r="58" spans="1:21" ht="12.75" customHeight="1">
      <c r="E58" s="1493" t="s">
        <v>15</v>
      </c>
      <c r="R58" s="1497"/>
    </row>
    <row r="59" spans="1:21" ht="12.75" customHeight="1">
      <c r="E59" s="3882" t="s">
        <v>15</v>
      </c>
      <c r="G59" s="564"/>
      <c r="R59" s="1497"/>
    </row>
    <row r="60" spans="1:21" ht="12.75" customHeight="1">
      <c r="G60" s="564"/>
      <c r="H60" s="1625"/>
      <c r="R60" s="1497"/>
    </row>
    <row r="61" spans="1:21" ht="12.75" customHeight="1">
      <c r="R61" s="1497"/>
    </row>
    <row r="62" spans="1:21" ht="12.75" customHeight="1">
      <c r="P62" s="1554"/>
      <c r="R62" s="1497"/>
    </row>
    <row r="63" spans="1:21" ht="12.75" customHeight="1">
      <c r="P63" s="1554"/>
      <c r="R63" s="1497"/>
    </row>
    <row r="64" spans="1:21" ht="12.75" customHeight="1">
      <c r="P64" s="1554"/>
      <c r="R64" s="1497"/>
    </row>
    <row r="65" spans="2:19" ht="12.75" customHeight="1">
      <c r="P65" s="1554"/>
      <c r="R65" s="1497"/>
    </row>
    <row r="66" spans="2:19" ht="12.75" customHeight="1">
      <c r="I66" s="1495"/>
      <c r="K66" s="1495"/>
      <c r="L66" s="1496"/>
      <c r="N66" s="1494"/>
      <c r="O66" s="1494"/>
      <c r="P66" s="1554"/>
      <c r="R66" s="1497"/>
    </row>
    <row r="67" spans="2:19" ht="12.75" customHeight="1">
      <c r="H67" s="1633"/>
      <c r="I67" s="550"/>
      <c r="K67" s="1495"/>
      <c r="L67" s="1496"/>
      <c r="N67" s="1494"/>
      <c r="O67" s="1494"/>
      <c r="P67" s="1554"/>
      <c r="R67" s="1497"/>
    </row>
    <row r="68" spans="2:19" ht="12.75" customHeight="1">
      <c r="H68" s="1556"/>
      <c r="I68" s="550"/>
      <c r="K68" s="1495"/>
      <c r="L68" s="1496"/>
      <c r="N68" s="1494"/>
      <c r="O68" s="1494"/>
      <c r="P68" s="1554"/>
      <c r="R68" s="1497"/>
    </row>
    <row r="69" spans="2:19" ht="12.75" customHeight="1">
      <c r="H69" s="1556"/>
      <c r="I69" s="550"/>
      <c r="K69" s="1495"/>
      <c r="L69" s="1496"/>
      <c r="N69" s="1494"/>
      <c r="O69" s="1494"/>
      <c r="P69" s="1554"/>
      <c r="R69" s="1497"/>
    </row>
    <row r="70" spans="2:19" ht="12.75" customHeight="1">
      <c r="H70" s="1556"/>
      <c r="I70" s="550"/>
      <c r="K70" s="1495"/>
      <c r="L70" s="1496"/>
      <c r="N70" s="1494"/>
      <c r="O70" s="1494"/>
      <c r="P70" s="1554"/>
      <c r="R70" s="1497"/>
    </row>
    <row r="71" spans="2:19" ht="12.75" customHeight="1">
      <c r="H71" s="1556"/>
      <c r="I71" s="1556"/>
      <c r="J71" s="1554"/>
      <c r="K71" s="1554"/>
      <c r="L71" s="1554"/>
      <c r="M71" s="1554"/>
      <c r="N71" s="1554"/>
      <c r="O71" s="1554"/>
      <c r="R71" s="1497"/>
    </row>
    <row r="72" spans="2:19" s="559" customFormat="1" ht="12.75" customHeight="1">
      <c r="B72" s="667"/>
      <c r="C72" s="667"/>
      <c r="D72" s="1620"/>
      <c r="E72" s="1620"/>
      <c r="F72" s="1620"/>
      <c r="G72" s="1620"/>
      <c r="H72" s="1556"/>
      <c r="I72" s="1556"/>
      <c r="J72" s="1627"/>
      <c r="K72" s="1555"/>
      <c r="L72" s="564"/>
      <c r="M72" s="564"/>
      <c r="N72" s="564"/>
      <c r="O72" s="564"/>
      <c r="P72" s="1556"/>
      <c r="R72" s="1497"/>
    </row>
    <row r="73" spans="2:19" s="559" customFormat="1" ht="12.75" customHeight="1">
      <c r="H73" s="1556"/>
      <c r="I73" s="1556"/>
      <c r="J73" s="1627"/>
      <c r="K73" s="564"/>
      <c r="L73" s="564"/>
      <c r="M73" s="564"/>
      <c r="N73" s="564"/>
      <c r="O73" s="564"/>
      <c r="P73" s="1556"/>
      <c r="R73" s="1497"/>
    </row>
    <row r="74" spans="2:19" ht="12.75" customHeight="1">
      <c r="H74" s="1556"/>
      <c r="I74" s="1556"/>
      <c r="J74" s="1627"/>
      <c r="K74" s="564"/>
      <c r="L74" s="564"/>
      <c r="M74" s="564"/>
      <c r="N74" s="564"/>
      <c r="O74" s="564"/>
      <c r="R74" s="563"/>
    </row>
    <row r="75" spans="2:19" ht="12.75" customHeight="1">
      <c r="I75" s="1554"/>
      <c r="J75" s="1554"/>
      <c r="K75" s="1554"/>
      <c r="L75" s="1554"/>
      <c r="M75" s="1554"/>
      <c r="N75" s="1554"/>
      <c r="O75" s="1554"/>
      <c r="R75" s="1554"/>
      <c r="S75" s="1554"/>
    </row>
    <row r="76" spans="2:19" ht="12.75" customHeight="1">
      <c r="I76" s="1554"/>
      <c r="J76" s="1554"/>
      <c r="K76" s="1554"/>
      <c r="L76" s="1554"/>
      <c r="M76" s="1554"/>
      <c r="N76" s="1554"/>
      <c r="O76" s="1554"/>
      <c r="R76" s="1554"/>
      <c r="S76" s="1554"/>
    </row>
    <row r="77" spans="2:19" ht="12.75" customHeight="1">
      <c r="I77" s="1554"/>
      <c r="J77" s="1554"/>
      <c r="K77" s="1554"/>
      <c r="L77" s="1554"/>
      <c r="M77" s="1554"/>
      <c r="N77" s="1554"/>
      <c r="O77" s="1554"/>
      <c r="R77" s="1554"/>
      <c r="S77" s="1554"/>
    </row>
    <row r="78" spans="2:19" ht="12.75" customHeight="1">
      <c r="I78" s="1554"/>
      <c r="J78" s="1554"/>
      <c r="K78" s="1554"/>
      <c r="L78" s="1554"/>
      <c r="M78" s="1554"/>
      <c r="N78" s="1554"/>
      <c r="O78" s="1554"/>
      <c r="R78" s="1554"/>
      <c r="S78" s="1554"/>
    </row>
    <row r="79" spans="2:19" ht="12.75" customHeight="1">
      <c r="I79" s="1554"/>
      <c r="J79" s="1554"/>
      <c r="K79" s="1554"/>
      <c r="L79" s="1554"/>
      <c r="M79" s="1554"/>
      <c r="N79" s="1554"/>
      <c r="O79" s="1554"/>
      <c r="R79" s="1554"/>
    </row>
    <row r="80" spans="2:19" ht="12.75" customHeight="1">
      <c r="I80" s="1554"/>
      <c r="J80" s="1554"/>
      <c r="K80" s="1554"/>
      <c r="L80" s="1554"/>
      <c r="M80" s="1554"/>
      <c r="N80" s="1554"/>
      <c r="O80" s="1554"/>
      <c r="R80" s="1554"/>
      <c r="S80" s="1554"/>
    </row>
    <row r="81" spans="2:19" ht="12.75" customHeight="1">
      <c r="H81" s="683"/>
      <c r="L81" s="549"/>
      <c r="M81" s="549"/>
      <c r="N81" s="549"/>
      <c r="O81" s="549"/>
      <c r="R81" s="1554"/>
      <c r="S81" s="1554"/>
    </row>
    <row r="82" spans="2:19" ht="12.75" customHeight="1">
      <c r="H82" s="683"/>
      <c r="L82" s="549"/>
      <c r="M82" s="549"/>
      <c r="N82" s="549"/>
      <c r="O82" s="549"/>
      <c r="R82" s="1554"/>
      <c r="S82" s="1554"/>
    </row>
    <row r="83" spans="2:19" ht="12.75" customHeight="1">
      <c r="H83" s="683"/>
      <c r="M83" s="1556"/>
      <c r="N83" s="1556"/>
      <c r="R83" s="1554"/>
      <c r="S83" s="1554"/>
    </row>
    <row r="84" spans="2:19" ht="12.75" customHeight="1">
      <c r="H84" s="683"/>
      <c r="I84" s="551"/>
      <c r="M84" s="565"/>
      <c r="N84" s="566"/>
      <c r="R84" s="1554"/>
      <c r="S84" s="1554"/>
    </row>
    <row r="85" spans="2:19" ht="12.75" customHeight="1">
      <c r="H85" s="683"/>
      <c r="I85" s="551"/>
      <c r="M85" s="565"/>
      <c r="N85" s="566"/>
      <c r="P85" s="566"/>
      <c r="R85" s="1554"/>
      <c r="S85" s="573"/>
    </row>
    <row r="86" spans="2:19" ht="12.75" customHeight="1">
      <c r="H86" s="569"/>
      <c r="I86" s="1556"/>
      <c r="M86" s="565"/>
      <c r="N86" s="566"/>
      <c r="P86" s="554"/>
      <c r="R86" s="573"/>
      <c r="S86" s="573"/>
    </row>
    <row r="87" spans="2:19" ht="12.75" customHeight="1">
      <c r="H87" s="569"/>
      <c r="I87" s="1556"/>
      <c r="M87" s="565"/>
      <c r="N87" s="566"/>
      <c r="P87" s="554"/>
      <c r="R87" s="573"/>
      <c r="S87" s="1554"/>
    </row>
    <row r="88" spans="2:19" ht="12.75" customHeight="1">
      <c r="H88" s="683"/>
      <c r="I88" s="1556"/>
      <c r="M88" s="565"/>
      <c r="N88" s="566"/>
      <c r="P88" s="554"/>
      <c r="R88" s="573"/>
    </row>
    <row r="89" spans="2:19" ht="12.75" customHeight="1">
      <c r="H89" s="559"/>
      <c r="I89" s="1556"/>
      <c r="M89" s="565"/>
      <c r="N89" s="566"/>
      <c r="P89" s="554"/>
      <c r="R89" s="573"/>
    </row>
    <row r="90" spans="2:19" ht="12.75" customHeight="1">
      <c r="H90" s="559"/>
      <c r="I90" s="1556"/>
      <c r="M90" s="565"/>
      <c r="N90" s="566"/>
      <c r="P90" s="554"/>
      <c r="R90" s="573"/>
    </row>
    <row r="91" spans="2:19" ht="12.75" customHeight="1">
      <c r="H91" s="559"/>
      <c r="I91" s="1556"/>
      <c r="M91" s="565"/>
      <c r="N91" s="566"/>
      <c r="P91" s="554"/>
      <c r="R91" s="1554"/>
    </row>
    <row r="92" spans="2:19" ht="12.75" customHeight="1">
      <c r="I92" s="1556"/>
      <c r="M92" s="565"/>
      <c r="N92" s="566"/>
      <c r="P92" s="554"/>
      <c r="R92" s="1554"/>
    </row>
    <row r="93" spans="2:19" ht="12.75" customHeight="1">
      <c r="I93" s="1556"/>
      <c r="M93" s="565"/>
      <c r="N93" s="566"/>
      <c r="P93" s="554"/>
      <c r="R93" s="1554"/>
    </row>
    <row r="94" spans="2:19" ht="12.75" customHeight="1">
      <c r="B94" s="1555"/>
      <c r="C94" s="1555"/>
      <c r="D94" s="1555"/>
      <c r="E94" s="570"/>
      <c r="F94" s="571"/>
      <c r="G94" s="571"/>
      <c r="I94" s="551"/>
      <c r="M94" s="565"/>
      <c r="N94" s="566"/>
      <c r="P94" s="554"/>
    </row>
    <row r="95" spans="2:19" ht="12.75" customHeight="1">
      <c r="E95" s="572"/>
      <c r="F95" s="663"/>
      <c r="G95" s="571"/>
      <c r="I95" s="551"/>
      <c r="M95" s="565"/>
      <c r="N95" s="566"/>
      <c r="P95" s="554"/>
    </row>
    <row r="96" spans="2:19" ht="12.75" customHeight="1">
      <c r="E96" s="572"/>
      <c r="F96" s="663"/>
      <c r="G96" s="564"/>
      <c r="I96" s="551"/>
      <c r="M96" s="565"/>
      <c r="N96" s="566"/>
      <c r="P96" s="554"/>
    </row>
    <row r="97" spans="1:17" ht="12.75" customHeight="1">
      <c r="G97" s="564"/>
      <c r="I97" s="551"/>
      <c r="M97" s="563"/>
      <c r="N97" s="566"/>
      <c r="P97" s="554"/>
    </row>
    <row r="98" spans="1:17" ht="12.75" customHeight="1">
      <c r="I98" s="551"/>
      <c r="J98" s="551"/>
      <c r="K98" s="1554"/>
      <c r="L98" s="560"/>
      <c r="M98" s="567"/>
      <c r="N98" s="567"/>
      <c r="P98" s="554"/>
    </row>
    <row r="99" spans="1:17" ht="12.75" customHeight="1">
      <c r="I99" s="551"/>
      <c r="J99" s="551"/>
      <c r="K99" s="1554"/>
      <c r="L99" s="560"/>
      <c r="M99" s="567"/>
      <c r="N99" s="567"/>
      <c r="P99" s="554"/>
    </row>
    <row r="100" spans="1:17">
      <c r="G100" s="1554"/>
      <c r="I100" s="551"/>
      <c r="J100" s="551"/>
      <c r="K100" s="1554"/>
      <c r="L100" s="560"/>
      <c r="M100" s="567"/>
      <c r="N100" s="567"/>
      <c r="P100" s="554"/>
    </row>
    <row r="101" spans="1:17">
      <c r="C101" s="1492"/>
      <c r="D101" s="550"/>
      <c r="E101" s="1554"/>
      <c r="F101" s="1554"/>
      <c r="G101" s="1554"/>
      <c r="I101" s="551"/>
      <c r="J101" s="551"/>
      <c r="K101" s="1554"/>
      <c r="L101" s="560"/>
      <c r="M101" s="567"/>
      <c r="N101" s="567"/>
      <c r="P101" s="554"/>
    </row>
    <row r="102" spans="1:17">
      <c r="C102" s="667"/>
      <c r="D102" s="550"/>
      <c r="E102" s="1554"/>
      <c r="F102" s="1554"/>
      <c r="G102" s="1554"/>
      <c r="I102" s="551"/>
      <c r="J102" s="551"/>
      <c r="K102" s="1554"/>
      <c r="L102" s="560"/>
      <c r="M102" s="567"/>
      <c r="N102" s="567"/>
      <c r="P102" s="554"/>
    </row>
    <row r="103" spans="1:17">
      <c r="B103" s="574"/>
      <c r="C103" s="550"/>
      <c r="D103" s="550"/>
      <c r="E103" s="1554"/>
      <c r="F103" s="1554"/>
      <c r="G103" s="1554"/>
      <c r="I103" s="551"/>
      <c r="J103" s="551"/>
      <c r="K103" s="1554"/>
      <c r="L103" s="560"/>
      <c r="M103" s="567"/>
      <c r="N103" s="567"/>
      <c r="P103" s="554"/>
    </row>
    <row r="104" spans="1:17">
      <c r="A104" s="557"/>
      <c r="B104" s="574"/>
      <c r="C104" s="550"/>
      <c r="D104" s="550"/>
      <c r="E104" s="1554"/>
      <c r="F104" s="1554"/>
      <c r="G104" s="1554"/>
      <c r="I104" s="551"/>
      <c r="J104" s="551"/>
      <c r="K104" s="1554"/>
      <c r="L104" s="560"/>
      <c r="M104" s="567"/>
      <c r="N104" s="567"/>
    </row>
    <row r="105" spans="1:17">
      <c r="A105" s="1554"/>
      <c r="B105" s="574"/>
      <c r="C105" s="550"/>
      <c r="D105" s="550"/>
      <c r="E105" s="1554"/>
      <c r="F105" s="1554"/>
      <c r="I105" s="551"/>
      <c r="J105" s="551"/>
      <c r="K105" s="1554"/>
      <c r="L105" s="560"/>
      <c r="M105" s="567"/>
      <c r="N105" s="567"/>
    </row>
    <row r="106" spans="1:17">
      <c r="A106" s="1554"/>
      <c r="I106" s="551"/>
      <c r="J106" s="551"/>
      <c r="K106" s="1554"/>
      <c r="L106" s="560"/>
      <c r="M106" s="567"/>
      <c r="N106" s="567"/>
    </row>
    <row r="107" spans="1:17">
      <c r="I107" s="551"/>
      <c r="J107" s="551"/>
      <c r="K107" s="1554"/>
      <c r="L107" s="560"/>
      <c r="M107" s="567"/>
      <c r="N107" s="567"/>
      <c r="Q107" s="1554"/>
    </row>
    <row r="108" spans="1:17">
      <c r="A108" s="1554"/>
      <c r="I108" s="551"/>
      <c r="J108" s="551"/>
      <c r="K108" s="1554"/>
      <c r="L108" s="560"/>
      <c r="M108" s="567"/>
      <c r="N108" s="567"/>
      <c r="Q108" s="1554"/>
    </row>
    <row r="109" spans="1:17">
      <c r="A109" s="1554"/>
      <c r="G109" s="1556"/>
      <c r="I109" s="551"/>
      <c r="J109" s="551"/>
      <c r="K109" s="1554"/>
      <c r="L109" s="560"/>
      <c r="M109" s="567"/>
      <c r="N109" s="567"/>
      <c r="Q109" s="1554"/>
    </row>
    <row r="110" spans="1:17">
      <c r="B110" s="1556"/>
      <c r="C110" s="1556"/>
      <c r="D110" s="1556"/>
      <c r="E110" s="1556"/>
      <c r="F110" s="1556"/>
      <c r="G110" s="1556"/>
      <c r="I110" s="551"/>
      <c r="J110" s="551"/>
      <c r="K110" s="1554"/>
      <c r="L110" s="560"/>
      <c r="M110" s="567"/>
      <c r="N110" s="567"/>
      <c r="Q110" s="1554"/>
    </row>
    <row r="111" spans="1:17">
      <c r="B111" s="1556"/>
      <c r="C111" s="1556"/>
      <c r="D111" s="1556"/>
      <c r="E111" s="1556"/>
      <c r="F111" s="1556"/>
      <c r="G111" s="1556"/>
      <c r="I111" s="551"/>
      <c r="J111" s="551"/>
      <c r="K111" s="1554"/>
      <c r="L111" s="560"/>
      <c r="M111" s="567"/>
      <c r="N111" s="567"/>
      <c r="Q111" s="1554"/>
    </row>
    <row r="112" spans="1:17">
      <c r="B112" s="1556"/>
      <c r="C112" s="1556"/>
      <c r="D112" s="1556"/>
      <c r="E112" s="1556"/>
      <c r="F112" s="1556"/>
      <c r="G112" s="1556"/>
      <c r="I112" s="551"/>
      <c r="J112" s="551"/>
      <c r="K112" s="1554"/>
      <c r="L112" s="560"/>
      <c r="M112" s="567"/>
      <c r="N112" s="567"/>
      <c r="Q112" s="1554"/>
    </row>
    <row r="113" spans="1:17">
      <c r="B113" s="1556"/>
      <c r="C113" s="1556"/>
      <c r="D113" s="1556"/>
      <c r="E113" s="1556"/>
      <c r="F113" s="1556"/>
      <c r="G113" s="1556"/>
      <c r="I113" s="551"/>
      <c r="J113" s="551"/>
      <c r="K113" s="1554"/>
      <c r="L113" s="560"/>
      <c r="M113" s="567"/>
      <c r="N113" s="567"/>
      <c r="Q113" s="1554"/>
    </row>
    <row r="114" spans="1:17">
      <c r="B114" s="1556"/>
      <c r="C114" s="1556"/>
      <c r="D114" s="1556"/>
      <c r="E114" s="1556"/>
      <c r="F114" s="1556"/>
      <c r="G114" s="1556"/>
      <c r="I114" s="551"/>
      <c r="J114" s="551"/>
      <c r="K114" s="1554"/>
      <c r="L114" s="560"/>
      <c r="M114" s="567"/>
      <c r="N114" s="567"/>
      <c r="P114" s="554"/>
      <c r="Q114" s="1554"/>
    </row>
    <row r="115" spans="1:17">
      <c r="B115" s="1556"/>
      <c r="C115" s="1556"/>
      <c r="D115" s="1556"/>
      <c r="E115" s="1556"/>
      <c r="F115" s="1556"/>
      <c r="G115" s="1556"/>
      <c r="I115" s="551"/>
      <c r="J115" s="551"/>
      <c r="K115" s="1554"/>
      <c r="L115" s="560"/>
      <c r="M115" s="567"/>
      <c r="N115" s="567"/>
      <c r="P115" s="554"/>
      <c r="Q115" s="1554"/>
    </row>
    <row r="116" spans="1:17">
      <c r="A116" s="1556"/>
      <c r="B116" s="1556"/>
      <c r="C116" s="1556"/>
      <c r="D116" s="1556"/>
      <c r="E116" s="1556"/>
      <c r="F116" s="1556"/>
      <c r="G116" s="1556"/>
      <c r="I116" s="551"/>
      <c r="J116" s="551"/>
      <c r="K116" s="1554"/>
      <c r="L116" s="560"/>
      <c r="M116" s="567"/>
      <c r="N116" s="567"/>
      <c r="P116" s="554"/>
      <c r="Q116" s="1554"/>
    </row>
    <row r="117" spans="1:17">
      <c r="A117" s="1556"/>
      <c r="B117" s="1556"/>
      <c r="C117" s="1556"/>
      <c r="D117" s="1556"/>
      <c r="E117" s="1556"/>
      <c r="F117" s="1556"/>
      <c r="G117" s="1556"/>
      <c r="J117" s="1495"/>
      <c r="K117" s="1554"/>
      <c r="L117" s="560"/>
      <c r="M117" s="567"/>
      <c r="N117" s="567"/>
      <c r="P117" s="554"/>
      <c r="Q117" s="1554"/>
    </row>
    <row r="118" spans="1:17">
      <c r="A118" s="1556"/>
      <c r="B118" s="1556"/>
      <c r="C118" s="1556"/>
      <c r="D118" s="1556"/>
      <c r="E118" s="1556"/>
      <c r="F118" s="1556"/>
      <c r="G118" s="1556"/>
      <c r="J118" s="1495"/>
      <c r="K118" s="1554"/>
      <c r="L118" s="560"/>
      <c r="M118" s="567"/>
      <c r="N118" s="567"/>
      <c r="P118" s="1554"/>
      <c r="Q118" s="1554"/>
    </row>
    <row r="119" spans="1:17">
      <c r="A119" s="1556"/>
      <c r="B119" s="1556"/>
      <c r="C119" s="1556"/>
      <c r="D119" s="1556"/>
      <c r="E119" s="1556"/>
      <c r="F119" s="1556"/>
      <c r="G119" s="1556"/>
      <c r="H119" s="569"/>
      <c r="P119" s="1554"/>
      <c r="Q119" s="1554"/>
    </row>
    <row r="120" spans="1:17">
      <c r="A120" s="1556"/>
      <c r="B120" s="1556"/>
      <c r="C120" s="1556"/>
      <c r="D120" s="1556"/>
      <c r="E120" s="1556"/>
      <c r="F120" s="1556"/>
      <c r="G120" s="1556"/>
      <c r="H120" s="569"/>
      <c r="P120" s="1554"/>
      <c r="Q120" s="1554"/>
    </row>
    <row r="121" spans="1:17">
      <c r="A121" s="1556"/>
      <c r="B121" s="1556"/>
      <c r="C121" s="1556"/>
      <c r="D121" s="1556"/>
      <c r="E121" s="1556"/>
      <c r="F121" s="1556"/>
      <c r="G121" s="1556"/>
      <c r="H121" s="569"/>
      <c r="P121" s="1554"/>
      <c r="Q121" s="1554"/>
    </row>
    <row r="122" spans="1:17">
      <c r="A122" s="1556"/>
      <c r="B122" s="1556"/>
      <c r="C122" s="1556"/>
      <c r="D122" s="1556"/>
      <c r="E122" s="1556"/>
      <c r="F122" s="1556"/>
      <c r="G122" s="1556"/>
      <c r="H122" s="569"/>
      <c r="P122" s="1554"/>
      <c r="Q122" s="1554"/>
    </row>
    <row r="123" spans="1:17">
      <c r="A123" s="1556"/>
      <c r="B123" s="1556"/>
      <c r="C123" s="1556"/>
      <c r="D123" s="1556"/>
      <c r="E123" s="1556"/>
      <c r="F123" s="1556"/>
      <c r="G123" s="1556"/>
      <c r="I123" s="554"/>
      <c r="J123" s="551"/>
      <c r="K123" s="1554"/>
      <c r="L123" s="1554"/>
      <c r="M123" s="1554"/>
      <c r="N123" s="1554"/>
      <c r="O123" s="1554"/>
      <c r="P123" s="1554"/>
      <c r="Q123" s="1554"/>
    </row>
    <row r="124" spans="1:17">
      <c r="A124" s="1556"/>
      <c r="B124" s="1556"/>
      <c r="C124" s="1556"/>
      <c r="D124" s="1556"/>
      <c r="E124" s="1556"/>
      <c r="F124" s="1556"/>
      <c r="G124" s="1556"/>
      <c r="I124" s="554"/>
      <c r="J124" s="551"/>
      <c r="K124" s="1554"/>
      <c r="L124" s="1554"/>
      <c r="M124" s="1554"/>
      <c r="N124" s="1554"/>
      <c r="O124" s="1554"/>
      <c r="P124" s="1554"/>
      <c r="Q124" s="1554"/>
    </row>
    <row r="125" spans="1:17">
      <c r="A125" s="1556"/>
      <c r="B125" s="1556"/>
      <c r="C125" s="1556"/>
      <c r="D125" s="1556"/>
      <c r="E125" s="1556"/>
      <c r="F125" s="1556"/>
      <c r="I125" s="554"/>
      <c r="J125" s="551"/>
      <c r="K125" s="1554"/>
      <c r="L125" s="1554"/>
      <c r="M125" s="1554"/>
      <c r="N125" s="1554"/>
      <c r="O125" s="1554"/>
      <c r="P125" s="1554"/>
      <c r="Q125" s="1554"/>
    </row>
    <row r="126" spans="1:17">
      <c r="A126" s="1556"/>
      <c r="I126" s="554"/>
      <c r="J126" s="551"/>
      <c r="K126" s="1554"/>
      <c r="L126" s="1554"/>
      <c r="M126" s="1554"/>
      <c r="N126" s="1554"/>
      <c r="O126" s="1554"/>
      <c r="Q126" s="1554"/>
    </row>
    <row r="127" spans="1:17">
      <c r="A127" s="1556"/>
      <c r="I127" s="554"/>
      <c r="J127" s="551"/>
      <c r="K127" s="1554"/>
      <c r="L127" s="1554"/>
      <c r="M127" s="1554"/>
      <c r="N127" s="1554"/>
      <c r="O127" s="1554"/>
      <c r="P127" s="1554"/>
      <c r="Q127" s="1554"/>
    </row>
    <row r="128" spans="1:17">
      <c r="A128" s="1556"/>
      <c r="G128" s="1556"/>
      <c r="I128" s="554"/>
      <c r="J128" s="551"/>
      <c r="K128" s="1554"/>
      <c r="L128" s="1554"/>
      <c r="M128" s="1554"/>
      <c r="N128" s="1554"/>
      <c r="O128" s="1554"/>
      <c r="P128" s="568"/>
      <c r="Q128" s="1554"/>
    </row>
    <row r="129" spans="1:17">
      <c r="B129" s="1556"/>
      <c r="C129" s="1556"/>
      <c r="D129" s="1556"/>
      <c r="E129" s="1556"/>
      <c r="F129" s="1556"/>
      <c r="G129" s="1556"/>
      <c r="I129" s="1556"/>
      <c r="J129" s="551"/>
      <c r="K129" s="1554"/>
      <c r="L129" s="1554"/>
      <c r="M129" s="1554"/>
      <c r="N129" s="1554"/>
      <c r="O129" s="1554"/>
      <c r="P129" s="1554"/>
      <c r="Q129" s="1554"/>
    </row>
    <row r="130" spans="1:17">
      <c r="B130" s="1556"/>
      <c r="C130" s="1556"/>
      <c r="D130" s="1556"/>
      <c r="E130" s="1556"/>
      <c r="F130" s="1556"/>
      <c r="G130" s="1556"/>
      <c r="I130" s="1554"/>
      <c r="J130" s="551"/>
      <c r="K130" s="1554"/>
      <c r="L130" s="1554"/>
      <c r="M130" s="1554"/>
      <c r="N130" s="1554"/>
      <c r="O130" s="1554"/>
      <c r="P130" s="575"/>
      <c r="Q130" s="1554"/>
    </row>
    <row r="131" spans="1:17">
      <c r="A131" s="1556"/>
      <c r="B131" s="1556"/>
      <c r="C131" s="1556"/>
      <c r="D131" s="1556"/>
      <c r="E131" s="1556"/>
      <c r="F131" s="1556"/>
      <c r="G131" s="1556"/>
      <c r="I131" s="551"/>
      <c r="J131" s="551"/>
      <c r="K131" s="1554"/>
      <c r="L131" s="1554"/>
      <c r="M131" s="1554"/>
      <c r="N131" s="1554"/>
      <c r="O131" s="1554"/>
      <c r="P131" s="1554"/>
      <c r="Q131" s="1554"/>
    </row>
    <row r="132" spans="1:17">
      <c r="A132" s="1556"/>
      <c r="B132" s="1556"/>
      <c r="C132" s="1556"/>
      <c r="D132" s="1556"/>
      <c r="E132" s="1556"/>
      <c r="F132" s="1556"/>
      <c r="G132" s="1556"/>
      <c r="I132" s="551"/>
      <c r="J132" s="551"/>
      <c r="K132" s="1554"/>
      <c r="L132" s="1554"/>
      <c r="M132" s="1554"/>
      <c r="N132" s="1554"/>
      <c r="O132" s="1554"/>
      <c r="P132" s="1554"/>
      <c r="Q132" s="1554"/>
    </row>
    <row r="133" spans="1:17">
      <c r="A133" s="1556"/>
      <c r="B133" s="1556"/>
      <c r="C133" s="1556"/>
      <c r="D133" s="1556"/>
      <c r="E133" s="1556"/>
      <c r="F133" s="1556"/>
      <c r="G133" s="1556"/>
      <c r="I133" s="551"/>
      <c r="J133" s="551"/>
      <c r="K133" s="1554"/>
      <c r="L133" s="1554"/>
      <c r="M133" s="1554"/>
      <c r="N133" s="1554"/>
      <c r="O133" s="1554"/>
      <c r="P133" s="1554"/>
    </row>
    <row r="134" spans="1:17">
      <c r="A134" s="1556"/>
      <c r="B134" s="1556"/>
      <c r="C134" s="1556"/>
      <c r="D134" s="1556"/>
      <c r="E134" s="1556"/>
      <c r="F134" s="1556"/>
      <c r="G134" s="1556"/>
      <c r="I134" s="551"/>
      <c r="J134" s="551"/>
      <c r="K134" s="1554"/>
      <c r="L134" s="1554"/>
      <c r="M134" s="1554"/>
      <c r="N134" s="1554"/>
      <c r="O134" s="1554"/>
      <c r="P134" s="1554"/>
      <c r="Q134" s="1554"/>
    </row>
    <row r="135" spans="1:17">
      <c r="A135" s="1556"/>
      <c r="B135" s="1556"/>
      <c r="C135" s="1556"/>
      <c r="D135" s="1556"/>
      <c r="E135" s="1556"/>
      <c r="F135" s="1556"/>
      <c r="G135" s="1556"/>
      <c r="I135" s="551"/>
      <c r="J135" s="551"/>
      <c r="K135" s="1554"/>
      <c r="L135" s="1554"/>
      <c r="M135" s="1554"/>
      <c r="N135" s="1554"/>
      <c r="P135" s="1554"/>
      <c r="Q135" s="568"/>
    </row>
    <row r="136" spans="1:17">
      <c r="A136" s="1556"/>
      <c r="B136" s="1556"/>
      <c r="C136" s="1556"/>
      <c r="D136" s="1556"/>
      <c r="E136" s="1556"/>
      <c r="F136" s="1556"/>
      <c r="G136" s="1556"/>
      <c r="I136" s="551"/>
      <c r="J136" s="551"/>
      <c r="K136" s="1554"/>
      <c r="L136" s="1554"/>
      <c r="M136" s="1554"/>
      <c r="N136" s="1554"/>
      <c r="O136" s="1554"/>
      <c r="P136" s="1554"/>
      <c r="Q136" s="1554"/>
    </row>
    <row r="137" spans="1:17">
      <c r="A137" s="1556"/>
      <c r="B137" s="1556"/>
      <c r="C137" s="1556"/>
      <c r="D137" s="1556"/>
      <c r="E137" s="1556"/>
      <c r="F137" s="1556"/>
      <c r="G137" s="1556"/>
      <c r="I137" s="551"/>
      <c r="J137" s="551"/>
      <c r="K137" s="1554"/>
      <c r="L137" s="1554"/>
      <c r="M137" s="1554"/>
      <c r="N137" s="1554"/>
      <c r="O137" s="1554"/>
      <c r="P137" s="573"/>
      <c r="Q137" s="1554"/>
    </row>
    <row r="138" spans="1:17">
      <c r="A138" s="1556"/>
      <c r="B138" s="1556"/>
      <c r="C138" s="1556"/>
      <c r="D138" s="1556"/>
      <c r="E138" s="1556"/>
      <c r="F138" s="1556"/>
      <c r="G138" s="1556"/>
      <c r="I138" s="551"/>
      <c r="J138" s="551"/>
      <c r="K138" s="1554"/>
      <c r="L138" s="576"/>
      <c r="O138" s="1554"/>
      <c r="Q138" s="1554"/>
    </row>
    <row r="139" spans="1:17">
      <c r="A139" s="1556"/>
      <c r="B139" s="1556"/>
      <c r="C139" s="1556"/>
      <c r="D139" s="1556"/>
      <c r="E139" s="1556"/>
      <c r="F139" s="1556"/>
      <c r="G139" s="1556"/>
      <c r="I139" s="551"/>
      <c r="J139" s="551"/>
      <c r="K139" s="1554"/>
      <c r="L139" s="576"/>
      <c r="M139" s="1554"/>
      <c r="N139" s="560"/>
      <c r="O139" s="1554"/>
    </row>
    <row r="140" spans="1:17">
      <c r="A140" s="1556"/>
      <c r="B140" s="1556"/>
      <c r="C140" s="1556"/>
      <c r="D140" s="1556"/>
      <c r="E140" s="1556"/>
      <c r="F140" s="1556"/>
      <c r="G140" s="1556"/>
      <c r="I140" s="1554"/>
      <c r="J140" s="1554"/>
      <c r="K140" s="576"/>
      <c r="L140" s="1556"/>
      <c r="M140" s="1556"/>
      <c r="N140" s="1556"/>
    </row>
    <row r="141" spans="1:17">
      <c r="A141" s="1556"/>
      <c r="B141" s="1556"/>
      <c r="C141" s="1556"/>
      <c r="D141" s="1556"/>
      <c r="E141" s="1556"/>
      <c r="F141" s="1556"/>
      <c r="I141" s="1554"/>
      <c r="J141" s="1554"/>
      <c r="K141" s="577"/>
      <c r="L141" s="1556"/>
      <c r="M141" s="1556"/>
      <c r="N141" s="1556"/>
    </row>
    <row r="142" spans="1:17">
      <c r="A142" s="1556"/>
      <c r="I142" s="1554"/>
      <c r="J142" s="1554"/>
      <c r="K142" s="1554"/>
      <c r="L142" s="1556"/>
      <c r="M142" s="1556"/>
      <c r="N142" s="1556"/>
    </row>
    <row r="143" spans="1:17">
      <c r="A143" s="1556"/>
      <c r="I143" s="1554"/>
      <c r="J143" s="1554"/>
      <c r="K143" s="1554"/>
      <c r="L143" s="1556"/>
      <c r="M143" s="1556"/>
      <c r="N143" s="1556"/>
    </row>
    <row r="144" spans="1:17">
      <c r="A144" s="1556"/>
      <c r="G144" s="1556"/>
      <c r="I144" s="1554"/>
      <c r="J144" s="1554"/>
      <c r="L144" s="1556"/>
      <c r="M144" s="1556"/>
      <c r="N144" s="1556"/>
    </row>
    <row r="145" spans="1:14">
      <c r="B145" s="1556"/>
      <c r="C145" s="1556"/>
      <c r="D145" s="1556"/>
      <c r="E145" s="1556"/>
      <c r="F145" s="1556"/>
      <c r="G145" s="1556"/>
    </row>
    <row r="146" spans="1:14">
      <c r="B146" s="1556"/>
      <c r="C146" s="1556"/>
      <c r="D146" s="1556"/>
      <c r="E146" s="1556"/>
      <c r="F146" s="1556"/>
      <c r="G146" s="1556"/>
    </row>
    <row r="147" spans="1:14">
      <c r="B147" s="1556"/>
      <c r="C147" s="1556"/>
      <c r="D147" s="1556"/>
      <c r="E147" s="1556"/>
      <c r="F147" s="1556"/>
      <c r="G147" s="1556"/>
    </row>
    <row r="148" spans="1:14">
      <c r="A148" s="1556"/>
      <c r="B148" s="1556"/>
      <c r="C148" s="1556"/>
      <c r="D148" s="1556"/>
      <c r="E148" s="1556"/>
      <c r="F148" s="1556"/>
      <c r="J148" s="1556"/>
      <c r="K148" s="1556"/>
      <c r="L148" s="1556"/>
      <c r="M148" s="1556"/>
      <c r="N148" s="1556"/>
    </row>
    <row r="149" spans="1:14">
      <c r="A149" s="1556"/>
      <c r="J149" s="1556"/>
      <c r="K149" s="1556"/>
      <c r="L149" s="1556"/>
      <c r="M149" s="1556"/>
      <c r="N149" s="1556"/>
    </row>
    <row r="150" spans="1:14">
      <c r="A150" s="1556"/>
      <c r="I150" s="1556"/>
      <c r="J150" s="1556"/>
      <c r="K150" s="1556"/>
      <c r="L150" s="1556"/>
      <c r="M150" s="1556"/>
      <c r="N150" s="1556"/>
    </row>
    <row r="151" spans="1:14">
      <c r="A151" s="1556"/>
      <c r="I151" s="1556"/>
      <c r="J151" s="1556"/>
      <c r="K151" s="1556"/>
      <c r="L151" s="1556"/>
      <c r="M151" s="1556"/>
      <c r="N151" s="1556"/>
    </row>
  </sheetData>
  <pageMargins left="0.6" right="0.25" top="0.6" bottom="0" header="0.5" footer="0.25"/>
  <pageSetup scale="66" firstPageNumber="4" orientation="landscape" useFirstPageNumber="1" r:id="rId1"/>
  <headerFooter scaleWithDoc="0" alignWithMargins="0">
    <oddFooter>&amp;C&amp;8&amp;P</oddFooter>
  </headerFooter>
  <rowBreaks count="1" manualBreakCount="1">
    <brk id="59" max="15" man="1"/>
  </rowBreaks>
  <ignoredErrors>
    <ignoredError sqref="A6:B22 H50"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U62"/>
  <sheetViews>
    <sheetView showGridLines="0" zoomScale="90" workbookViewId="0"/>
  </sheetViews>
  <sheetFormatPr defaultColWidth="8.6640625" defaultRowHeight="15"/>
  <cols>
    <col min="1" max="1" width="1.6640625" style="1227" customWidth="1"/>
    <col min="2" max="2" width="48" style="1227" customWidth="1"/>
    <col min="3" max="3" width="4.5546875" style="1228" customWidth="1"/>
    <col min="4" max="4" width="20.5546875" style="1229" customWidth="1"/>
    <col min="5" max="5" width="2.109375" style="1228" customWidth="1"/>
    <col min="6" max="6" width="20.109375" style="1229" customWidth="1"/>
    <col min="7" max="7" width="1.6640625" style="1228" customWidth="1"/>
    <col min="8" max="8" width="20.109375" style="1229" customWidth="1"/>
    <col min="9" max="9" width="3.6640625" style="1229" customWidth="1"/>
    <col min="10" max="10" width="20.109375" style="1229" customWidth="1"/>
    <col min="11" max="12" width="1.6640625" style="1229" customWidth="1"/>
    <col min="13" max="13" width="19" style="1229" customWidth="1"/>
    <col min="14" max="14" width="8.6640625" style="1228"/>
    <col min="15" max="15" width="24.109375" style="1228" customWidth="1"/>
    <col min="16" max="16" width="8.6640625" style="1228"/>
    <col min="17" max="17" width="1.6640625" style="1228" customWidth="1"/>
    <col min="18" max="16384" width="8.6640625" style="1227"/>
  </cols>
  <sheetData>
    <row r="1" spans="1:42">
      <c r="B1" s="644" t="s">
        <v>963</v>
      </c>
    </row>
    <row r="3" spans="1:42" ht="18">
      <c r="M3" s="1358" t="s">
        <v>510</v>
      </c>
    </row>
    <row r="4" spans="1:42" s="1232" customFormat="1" ht="18" customHeight="1">
      <c r="A4" s="1230"/>
      <c r="B4" s="1955" t="s">
        <v>494</v>
      </c>
      <c r="C4" s="1359"/>
      <c r="D4" s="1359"/>
      <c r="E4" s="1359"/>
      <c r="F4" s="1359"/>
      <c r="G4" s="1359"/>
      <c r="H4" s="1359"/>
      <c r="I4" s="1359"/>
      <c r="J4" s="1359"/>
      <c r="K4" s="1359"/>
      <c r="L4" s="1359"/>
      <c r="M4" s="1359"/>
      <c r="N4" s="1231"/>
      <c r="O4" s="1231"/>
      <c r="P4" s="1231"/>
      <c r="Q4" s="1231"/>
    </row>
    <row r="5" spans="1:42" s="1232" customFormat="1" ht="18" customHeight="1">
      <c r="A5" s="1230"/>
      <c r="B5" s="1955" t="s">
        <v>982</v>
      </c>
      <c r="C5" s="1233"/>
      <c r="D5" s="1233"/>
      <c r="E5" s="1233"/>
      <c r="F5" s="1233"/>
      <c r="G5" s="1233"/>
      <c r="H5" s="1233"/>
      <c r="I5" s="1233"/>
      <c r="J5" s="1233"/>
      <c r="K5" s="1233"/>
      <c r="L5" s="1233"/>
      <c r="M5" s="1251"/>
      <c r="N5" s="1231"/>
      <c r="O5" s="1231"/>
      <c r="P5" s="1231"/>
      <c r="Q5" s="1231"/>
    </row>
    <row r="6" spans="1:42" s="1232" customFormat="1" ht="18" customHeight="1">
      <c r="A6" s="1230"/>
      <c r="B6" s="1955" t="s">
        <v>1468</v>
      </c>
      <c r="C6" s="1956"/>
      <c r="D6" s="1956"/>
      <c r="E6" s="1956"/>
      <c r="F6" s="1956"/>
      <c r="G6" s="1956"/>
      <c r="H6" s="1956"/>
      <c r="I6" s="1956"/>
      <c r="J6" s="1956"/>
      <c r="K6" s="1956"/>
      <c r="L6" s="1956"/>
      <c r="M6" s="1359"/>
      <c r="N6" s="1231"/>
      <c r="O6" s="1231"/>
      <c r="P6" s="1231"/>
      <c r="Q6" s="1231"/>
    </row>
    <row r="7" spans="1:42" s="1232" customFormat="1" ht="18" customHeight="1">
      <c r="A7" s="1230"/>
      <c r="B7" s="1957"/>
      <c r="C7" s="1958"/>
      <c r="D7" s="1958"/>
      <c r="E7" s="1958"/>
      <c r="F7" s="1958"/>
      <c r="G7" s="1958"/>
      <c r="H7" s="1958"/>
      <c r="I7" s="1958"/>
      <c r="J7" s="1958"/>
      <c r="K7" s="1958"/>
      <c r="L7" s="1958"/>
      <c r="M7" s="1360"/>
      <c r="N7" s="1234"/>
      <c r="O7" s="1231"/>
      <c r="P7" s="1231"/>
      <c r="Q7" s="1231"/>
    </row>
    <row r="8" spans="1:42" s="1232" customFormat="1" ht="18" customHeight="1">
      <c r="A8" s="1230"/>
      <c r="B8" s="1957"/>
      <c r="C8" s="1235"/>
      <c r="D8" s="1235"/>
      <c r="E8" s="1235"/>
      <c r="F8" s="1235"/>
      <c r="G8" s="1235"/>
      <c r="H8" s="1235"/>
      <c r="I8" s="1235"/>
      <c r="J8" s="1235"/>
      <c r="K8" s="1235"/>
      <c r="L8" s="1235"/>
      <c r="M8" s="1235"/>
      <c r="N8" s="1234"/>
      <c r="O8" s="1231"/>
      <c r="P8" s="1231"/>
      <c r="Q8" s="1231"/>
    </row>
    <row r="9" spans="1:42" s="1241" customFormat="1" ht="15.75">
      <c r="A9" s="1236"/>
      <c r="B9" s="1236"/>
      <c r="C9" s="1237"/>
      <c r="D9" s="1635" t="s">
        <v>1501</v>
      </c>
      <c r="E9" s="1237"/>
      <c r="F9" s="1635" t="s">
        <v>1530</v>
      </c>
      <c r="G9" s="1237"/>
      <c r="H9" s="1635" t="s">
        <v>1569</v>
      </c>
      <c r="I9" s="3888"/>
      <c r="J9" s="1635">
        <v>2021</v>
      </c>
      <c r="K9" s="1238"/>
      <c r="L9" s="1238"/>
      <c r="M9" s="1239"/>
      <c r="N9" s="1240"/>
      <c r="O9" s="1240"/>
      <c r="P9" s="1240"/>
      <c r="Q9" s="1240"/>
    </row>
    <row r="10" spans="1:42" ht="15.75">
      <c r="A10" s="1242"/>
      <c r="B10" s="1242"/>
      <c r="C10" s="1243"/>
      <c r="D10" s="1962" t="s">
        <v>1502</v>
      </c>
      <c r="E10" s="1243"/>
      <c r="F10" s="1962" t="s">
        <v>1531</v>
      </c>
      <c r="G10" s="1243"/>
      <c r="H10" s="1962" t="s">
        <v>1568</v>
      </c>
      <c r="I10" s="1245"/>
      <c r="J10" s="1962" t="s">
        <v>133</v>
      </c>
      <c r="K10" s="1553"/>
      <c r="L10" s="1553"/>
      <c r="M10" s="1244" t="s">
        <v>1469</v>
      </c>
    </row>
    <row r="11" spans="1:42">
      <c r="A11" s="1242"/>
      <c r="B11" s="1242"/>
      <c r="C11" s="1243"/>
      <c r="D11" s="1243"/>
      <c r="E11" s="1243"/>
      <c r="F11" s="1243"/>
      <c r="G11" s="1243"/>
      <c r="H11" s="1243"/>
      <c r="I11" s="1243"/>
      <c r="J11" s="1243"/>
      <c r="K11" s="1245"/>
      <c r="L11" s="1243"/>
      <c r="M11" s="1887"/>
    </row>
    <row r="12" spans="1:42" s="1241" customFormat="1" ht="15.75">
      <c r="A12" s="1246"/>
      <c r="B12" s="1246" t="s">
        <v>471</v>
      </c>
      <c r="C12" s="1237"/>
      <c r="D12" s="1247">
        <v>668.63</v>
      </c>
      <c r="E12" s="1237"/>
      <c r="F12" s="1247">
        <f>D49</f>
        <v>169.31</v>
      </c>
      <c r="G12" s="1237"/>
      <c r="H12" s="1247">
        <f>F49</f>
        <v>333127.45</v>
      </c>
      <c r="I12" s="1237"/>
      <c r="J12" s="1247">
        <f>H49</f>
        <v>6834706.3200000003</v>
      </c>
      <c r="K12" s="1963"/>
      <c r="L12" s="1247"/>
      <c r="M12" s="1248">
        <f>D12</f>
        <v>668.63</v>
      </c>
      <c r="N12" s="1240"/>
      <c r="O12" s="1240"/>
      <c r="P12" s="1240"/>
      <c r="Q12" s="1240"/>
      <c r="R12" s="1249"/>
      <c r="S12" s="1249"/>
      <c r="T12" s="1249"/>
      <c r="U12" s="1249"/>
      <c r="V12" s="1249"/>
      <c r="W12" s="1249"/>
      <c r="X12" s="1249"/>
      <c r="Y12" s="1249"/>
      <c r="Z12" s="1249"/>
      <c r="AA12" s="1249"/>
      <c r="AB12" s="1249"/>
      <c r="AC12" s="1250"/>
      <c r="AD12" s="1250"/>
      <c r="AE12" s="1250"/>
      <c r="AF12" s="1250"/>
      <c r="AG12" s="1250"/>
      <c r="AH12" s="1250"/>
      <c r="AI12" s="1250"/>
      <c r="AJ12" s="1250"/>
      <c r="AK12" s="1250"/>
      <c r="AL12" s="1250"/>
      <c r="AM12" s="1250"/>
      <c r="AN12" s="1250"/>
      <c r="AO12" s="1250"/>
      <c r="AP12" s="1250"/>
    </row>
    <row r="13" spans="1:42" s="1241" customFormat="1" ht="15.75">
      <c r="A13" s="1246"/>
      <c r="B13" s="1246"/>
      <c r="C13" s="1237"/>
      <c r="D13" s="1247"/>
      <c r="E13" s="1237"/>
      <c r="F13" s="1247"/>
      <c r="G13" s="1237"/>
      <c r="H13" s="1247"/>
      <c r="I13" s="1237"/>
      <c r="J13" s="1247"/>
      <c r="K13" s="1963"/>
      <c r="L13" s="1247"/>
      <c r="M13" s="1248"/>
      <c r="N13" s="1240"/>
      <c r="O13" s="1240"/>
      <c r="P13" s="1240"/>
      <c r="Q13" s="1240"/>
      <c r="R13" s="1249"/>
      <c r="S13" s="1249"/>
      <c r="T13" s="1249"/>
      <c r="U13" s="1249"/>
      <c r="V13" s="1249"/>
      <c r="W13" s="1249"/>
      <c r="X13" s="1249"/>
      <c r="Y13" s="1249"/>
      <c r="Z13" s="1249"/>
      <c r="AA13" s="1249"/>
      <c r="AB13" s="1249"/>
      <c r="AC13" s="1250"/>
      <c r="AD13" s="1250"/>
      <c r="AE13" s="1250"/>
      <c r="AF13" s="1250"/>
      <c r="AG13" s="1250"/>
      <c r="AH13" s="1250"/>
      <c r="AI13" s="1250"/>
      <c r="AJ13" s="1250"/>
      <c r="AK13" s="1250"/>
      <c r="AL13" s="1250"/>
      <c r="AM13" s="1250"/>
      <c r="AN13" s="1250"/>
      <c r="AO13" s="1250"/>
      <c r="AP13" s="1250"/>
    </row>
    <row r="14" spans="1:42" ht="15.75">
      <c r="A14" s="1242"/>
      <c r="B14" s="1246" t="s">
        <v>14</v>
      </c>
      <c r="C14" s="1243"/>
      <c r="D14" s="1243"/>
      <c r="E14" s="1243"/>
      <c r="F14" s="1243"/>
      <c r="G14" s="1243"/>
      <c r="H14" s="1243"/>
      <c r="I14" s="1243"/>
      <c r="J14" s="1243"/>
      <c r="K14" s="1964"/>
      <c r="L14" s="1243"/>
      <c r="M14" s="1245"/>
    </row>
    <row r="15" spans="1:42">
      <c r="A15" s="1242"/>
      <c r="B15" s="1251" t="s">
        <v>516</v>
      </c>
      <c r="C15" s="1243"/>
      <c r="D15" s="1252">
        <v>422.98</v>
      </c>
      <c r="E15" s="1243"/>
      <c r="F15" s="1252">
        <v>1460.78</v>
      </c>
      <c r="G15" s="1243"/>
      <c r="H15" s="1252">
        <v>420.06</v>
      </c>
      <c r="I15" s="1243"/>
      <c r="J15" s="1252">
        <v>155.33000000000001</v>
      </c>
      <c r="K15" s="1965"/>
      <c r="L15" s="1252"/>
      <c r="M15" s="1253">
        <f>ROUND(SUM(D15:L15),2)</f>
        <v>2459.15</v>
      </c>
    </row>
    <row r="16" spans="1:42" s="1241" customFormat="1" ht="15.75">
      <c r="A16" s="1246"/>
      <c r="B16" s="1246" t="s">
        <v>150</v>
      </c>
      <c r="C16" s="1237"/>
      <c r="D16" s="1888">
        <f>ROUND(SUM(D15:D15),2)</f>
        <v>422.98</v>
      </c>
      <c r="E16" s="1237"/>
      <c r="F16" s="1888">
        <f>ROUND(SUM(F15:F15),2)</f>
        <v>1460.78</v>
      </c>
      <c r="G16" s="1237"/>
      <c r="H16" s="1888">
        <f>ROUND(SUM(H15:H15),2)</f>
        <v>420.06</v>
      </c>
      <c r="I16" s="1239"/>
      <c r="J16" s="1888">
        <f>ROUND(SUM(J15:J15),2)</f>
        <v>155.33000000000001</v>
      </c>
      <c r="K16" s="1966"/>
      <c r="L16" s="1254"/>
      <c r="M16" s="1888">
        <f>ROUND(SUM(M15:M15),2)</f>
        <v>2459.15</v>
      </c>
      <c r="N16" s="1240"/>
      <c r="O16" s="1240"/>
      <c r="P16" s="1240"/>
      <c r="Q16" s="1240"/>
    </row>
    <row r="17" spans="1:22">
      <c r="A17" s="1242"/>
      <c r="B17" s="1242"/>
      <c r="C17" s="1243"/>
      <c r="D17" s="1252"/>
      <c r="E17" s="1243"/>
      <c r="F17" s="1252"/>
      <c r="G17" s="1243"/>
      <c r="H17" s="1252"/>
      <c r="I17" s="1243"/>
      <c r="J17" s="1252"/>
      <c r="K17" s="1965"/>
      <c r="L17" s="1252"/>
      <c r="M17" s="1889"/>
    </row>
    <row r="18" spans="1:22" ht="15.75">
      <c r="A18" s="1242"/>
      <c r="B18" s="1246" t="s">
        <v>931</v>
      </c>
      <c r="C18" s="1243"/>
      <c r="D18" s="1252"/>
      <c r="E18" s="1243"/>
      <c r="F18" s="1252"/>
      <c r="G18" s="1243"/>
      <c r="H18" s="1252"/>
      <c r="I18" s="1243"/>
      <c r="J18" s="1252"/>
      <c r="K18" s="1965"/>
      <c r="L18" s="1252"/>
      <c r="M18" s="1253"/>
    </row>
    <row r="19" spans="1:22">
      <c r="A19" s="1242"/>
      <c r="B19" s="1251" t="s">
        <v>534</v>
      </c>
      <c r="C19" s="1243"/>
      <c r="D19" s="1252">
        <v>-188629665.12</v>
      </c>
      <c r="E19" s="1243"/>
      <c r="F19" s="1252">
        <v>-150799778.96000001</v>
      </c>
      <c r="G19" s="1243"/>
      <c r="H19" s="3792">
        <v>-183599073.13999999</v>
      </c>
      <c r="I19" s="3889"/>
      <c r="J19" s="3792">
        <v>-44735209.090000004</v>
      </c>
      <c r="K19" s="1965"/>
      <c r="L19" s="1252"/>
      <c r="M19" s="1253">
        <f>ROUND(SUM(D19:L19),2)</f>
        <v>-567763726.30999994</v>
      </c>
    </row>
    <row r="20" spans="1:22">
      <c r="A20" s="1242"/>
      <c r="B20" s="1251" t="s">
        <v>535</v>
      </c>
      <c r="C20" s="1243"/>
      <c r="D20" s="1252">
        <v>0</v>
      </c>
      <c r="E20" s="1243"/>
      <c r="F20" s="1252">
        <v>0</v>
      </c>
      <c r="G20" s="1243"/>
      <c r="H20" s="3796">
        <v>0</v>
      </c>
      <c r="I20" s="3890"/>
      <c r="J20" s="3796">
        <v>0</v>
      </c>
      <c r="K20" s="1965"/>
      <c r="L20" s="1252"/>
      <c r="M20" s="1253">
        <f>ROUND(SUM(D20:L20),2)</f>
        <v>0</v>
      </c>
    </row>
    <row r="21" spans="1:22">
      <c r="A21" s="1242"/>
      <c r="B21" s="1251" t="s">
        <v>536</v>
      </c>
      <c r="C21" s="1243"/>
      <c r="D21" s="1252">
        <v>506867.55</v>
      </c>
      <c r="E21" s="1243"/>
      <c r="F21" s="1252">
        <v>-90700038.599999994</v>
      </c>
      <c r="G21" s="1243"/>
      <c r="H21" s="3792">
        <v>3733616.6399999997</v>
      </c>
      <c r="I21" s="3889"/>
      <c r="J21" s="3796">
        <v>0</v>
      </c>
      <c r="K21" s="1965"/>
      <c r="L21" s="1252"/>
      <c r="M21" s="1253">
        <f>ROUND(SUM(D21:L21),2)</f>
        <v>-86459554.409999996</v>
      </c>
    </row>
    <row r="22" spans="1:22" s="1241" customFormat="1" ht="15.75">
      <c r="A22" s="1246"/>
      <c r="B22" s="1255" t="s">
        <v>949</v>
      </c>
      <c r="C22" s="1237"/>
      <c r="D22" s="1890">
        <f>ROUND(SUM(D18:D21),2)</f>
        <v>-188122797.56999999</v>
      </c>
      <c r="E22" s="1237"/>
      <c r="F22" s="1890">
        <f>ROUND(SUM(F18:F21),2)</f>
        <v>-241499817.56</v>
      </c>
      <c r="G22" s="1237"/>
      <c r="H22" s="1890">
        <f>ROUND(SUM(H18:H21),2)</f>
        <v>-179865456.5</v>
      </c>
      <c r="I22" s="1239"/>
      <c r="J22" s="1890">
        <f>ROUND(SUM(J18:J21),2)</f>
        <v>-44735209.090000004</v>
      </c>
      <c r="K22" s="1966"/>
      <c r="L22" s="1254"/>
      <c r="M22" s="1890">
        <f>ROUND(SUM(M18:M21),2)</f>
        <v>-654223280.72000003</v>
      </c>
      <c r="N22" s="1240"/>
      <c r="O22" s="1240"/>
      <c r="P22" s="1240"/>
      <c r="Q22" s="1240"/>
    </row>
    <row r="23" spans="1:22">
      <c r="A23" s="1242"/>
      <c r="B23" s="1256"/>
      <c r="C23" s="1243"/>
      <c r="D23" s="1889"/>
      <c r="E23" s="1243"/>
      <c r="F23" s="1889"/>
      <c r="G23" s="1243"/>
      <c r="H23" s="1889"/>
      <c r="I23" s="1245"/>
      <c r="J23" s="1889"/>
      <c r="K23" s="1965"/>
      <c r="L23" s="1253"/>
      <c r="M23" s="1889"/>
    </row>
    <row r="24" spans="1:22" s="1241" customFormat="1" ht="15.75">
      <c r="A24" s="1246"/>
      <c r="B24" s="1246" t="s">
        <v>1202</v>
      </c>
      <c r="C24" s="1237"/>
      <c r="D24" s="1257">
        <f>ROUND(+D16+D22,2)</f>
        <v>-188122374.59</v>
      </c>
      <c r="E24" s="1237"/>
      <c r="F24" s="1257">
        <f>ROUND(+F16+F22,2)</f>
        <v>-241498356.78</v>
      </c>
      <c r="G24" s="1237"/>
      <c r="H24" s="1257">
        <f>ROUND(+H16+H22,2)</f>
        <v>-179865036.44</v>
      </c>
      <c r="I24" s="1239"/>
      <c r="J24" s="1257">
        <f>ROUND(+J16+J22,2)</f>
        <v>-44735053.759999998</v>
      </c>
      <c r="K24" s="1968"/>
      <c r="L24" s="1257"/>
      <c r="M24" s="1257">
        <f>ROUND(+M16+M22,2)</f>
        <v>-654220821.57000005</v>
      </c>
      <c r="N24" s="1240"/>
      <c r="O24" s="1240"/>
      <c r="P24" s="1240"/>
      <c r="Q24" s="1240"/>
    </row>
    <row r="25" spans="1:22">
      <c r="A25" s="1242"/>
      <c r="B25" s="1242"/>
      <c r="C25" s="1243"/>
      <c r="D25" s="1889"/>
      <c r="E25" s="1243"/>
      <c r="F25" s="1889"/>
      <c r="G25" s="1243"/>
      <c r="H25" s="1889"/>
      <c r="I25" s="1245"/>
      <c r="J25" s="1889"/>
      <c r="K25" s="1965"/>
      <c r="L25" s="1253"/>
      <c r="M25" s="1889"/>
      <c r="N25" s="1229"/>
      <c r="O25" s="1229"/>
      <c r="P25" s="1229"/>
      <c r="Q25" s="1229"/>
      <c r="R25" s="1258"/>
      <c r="S25" s="1258"/>
      <c r="T25" s="1258"/>
      <c r="U25" s="1258"/>
      <c r="V25" s="1258"/>
    </row>
    <row r="26" spans="1:22" ht="15.75">
      <c r="A26" s="1242"/>
      <c r="B26" s="1246" t="s">
        <v>46</v>
      </c>
      <c r="C26" s="1243"/>
      <c r="D26" s="1252"/>
      <c r="E26" s="1243"/>
      <c r="F26" s="1252"/>
      <c r="G26" s="1243"/>
      <c r="H26" s="1252"/>
      <c r="I26" s="1243"/>
      <c r="J26" s="1252"/>
      <c r="K26" s="1965"/>
      <c r="L26" s="1252"/>
      <c r="M26" s="1253"/>
      <c r="N26" s="1229"/>
      <c r="O26" s="1229"/>
      <c r="P26" s="1229"/>
      <c r="Q26" s="1229"/>
      <c r="R26" s="1258"/>
      <c r="S26" s="1258"/>
      <c r="T26" s="1258"/>
      <c r="U26" s="1258"/>
      <c r="V26" s="1258"/>
    </row>
    <row r="27" spans="1:22" ht="15.75">
      <c r="A27" s="1242"/>
      <c r="B27" s="1246" t="s">
        <v>877</v>
      </c>
      <c r="C27" s="1243"/>
      <c r="D27" s="1252"/>
      <c r="E27" s="1243"/>
      <c r="F27" s="1252"/>
      <c r="G27" s="1243"/>
      <c r="H27" s="1252"/>
      <c r="I27" s="1243"/>
      <c r="J27" s="1252"/>
      <c r="K27" s="1965"/>
      <c r="L27" s="1252"/>
      <c r="M27" s="1253"/>
      <c r="N27" s="1229"/>
      <c r="O27" s="1229"/>
      <c r="P27" s="1229"/>
      <c r="Q27" s="1229"/>
      <c r="R27" s="1258"/>
      <c r="S27" s="1258"/>
      <c r="T27" s="1258"/>
      <c r="U27" s="1258"/>
      <c r="V27" s="1258"/>
    </row>
    <row r="28" spans="1:22">
      <c r="A28" s="1242"/>
      <c r="B28" s="1251" t="s">
        <v>537</v>
      </c>
      <c r="C28" s="1243"/>
      <c r="D28" s="1252">
        <v>0</v>
      </c>
      <c r="E28" s="1243"/>
      <c r="F28" s="1252">
        <v>0</v>
      </c>
      <c r="G28" s="1243"/>
      <c r="H28" s="1252">
        <v>0</v>
      </c>
      <c r="I28" s="1243"/>
      <c r="J28" s="1252">
        <v>0</v>
      </c>
      <c r="K28" s="1965"/>
      <c r="L28" s="1252"/>
      <c r="M28" s="1253">
        <f>ROUND(SUM(D28:L28),2)</f>
        <v>0</v>
      </c>
      <c r="N28" s="1229"/>
      <c r="O28" s="1229"/>
      <c r="P28" s="1229"/>
      <c r="Q28" s="1229"/>
      <c r="R28" s="1258"/>
      <c r="S28" s="1258"/>
      <c r="T28" s="1258"/>
      <c r="U28" s="1258"/>
      <c r="V28" s="1258"/>
    </row>
    <row r="29" spans="1:22">
      <c r="A29" s="1242"/>
      <c r="B29" s="1251" t="s">
        <v>527</v>
      </c>
      <c r="C29" s="1243"/>
      <c r="D29" s="1252">
        <v>0</v>
      </c>
      <c r="E29" s="1243"/>
      <c r="F29" s="1252">
        <v>0</v>
      </c>
      <c r="G29" s="1243"/>
      <c r="H29" s="1252">
        <v>0</v>
      </c>
      <c r="I29" s="1243"/>
      <c r="J29" s="1252">
        <v>0</v>
      </c>
      <c r="K29" s="1965"/>
      <c r="L29" s="1252"/>
      <c r="M29" s="1253">
        <f>ROUND(SUM(D29:L29),2)</f>
        <v>0</v>
      </c>
      <c r="N29" s="1229"/>
      <c r="O29" s="1229"/>
      <c r="P29" s="1229"/>
      <c r="Q29" s="1229"/>
      <c r="R29" s="1258"/>
      <c r="S29" s="1258"/>
      <c r="T29" s="1258"/>
      <c r="U29" s="1258"/>
      <c r="V29" s="1258"/>
    </row>
    <row r="30" spans="1:22" ht="15.75">
      <c r="A30" s="1242"/>
      <c r="B30" s="1246" t="s">
        <v>524</v>
      </c>
      <c r="C30" s="1243"/>
      <c r="D30" s="1252"/>
      <c r="E30" s="1243"/>
      <c r="F30" s="1252"/>
      <c r="G30" s="1243"/>
      <c r="H30" s="1252"/>
      <c r="I30" s="1243"/>
      <c r="J30" s="1252"/>
      <c r="K30" s="1965"/>
      <c r="L30" s="1252"/>
      <c r="M30" s="1253"/>
      <c r="N30" s="1229"/>
      <c r="O30" s="1229"/>
      <c r="P30" s="1229"/>
      <c r="Q30" s="1229"/>
      <c r="R30" s="1258"/>
      <c r="S30" s="1258"/>
      <c r="T30" s="1258"/>
      <c r="U30" s="1258"/>
      <c r="V30" s="1258"/>
    </row>
    <row r="31" spans="1:22">
      <c r="A31" s="1242"/>
      <c r="B31" s="1251" t="s">
        <v>538</v>
      </c>
      <c r="C31" s="1243"/>
      <c r="D31" s="1259">
        <v>94314832.560000002</v>
      </c>
      <c r="E31" s="1243"/>
      <c r="F31" s="1259">
        <v>113950116.16999999</v>
      </c>
      <c r="G31" s="1243"/>
      <c r="H31" s="3793">
        <v>80001388.030000001</v>
      </c>
      <c r="I31"/>
      <c r="J31" s="3793">
        <v>19594021.59</v>
      </c>
      <c r="K31" s="1969"/>
      <c r="L31" s="1252"/>
      <c r="M31" s="1253">
        <f>ROUND(SUM(D31:L31),2)</f>
        <v>307860358.35000002</v>
      </c>
      <c r="N31" s="1229"/>
      <c r="O31" s="1229"/>
      <c r="P31" s="1229"/>
      <c r="Q31" s="1229"/>
      <c r="R31" s="1258"/>
      <c r="S31" s="1258"/>
      <c r="T31" s="1258"/>
      <c r="U31" s="1258"/>
      <c r="V31" s="1258"/>
    </row>
    <row r="32" spans="1:22">
      <c r="A32" s="1242"/>
      <c r="B32" s="1251" t="s">
        <v>539</v>
      </c>
      <c r="C32" s="1243"/>
      <c r="D32" s="1259">
        <v>-506129.55</v>
      </c>
      <c r="E32" s="1243"/>
      <c r="F32" s="1259">
        <v>16528236.55999998</v>
      </c>
      <c r="G32" s="1243"/>
      <c r="H32" s="3793">
        <v>3716890.6099999994</v>
      </c>
      <c r="I32"/>
      <c r="J32" s="3793">
        <v>-3252508.75</v>
      </c>
      <c r="K32" s="1969"/>
      <c r="L32" s="1252"/>
      <c r="M32" s="1253">
        <f>ROUND(SUM(D32:L32),2)</f>
        <v>16486488.869999999</v>
      </c>
      <c r="N32" s="1229"/>
      <c r="O32" s="1229"/>
      <c r="P32" s="1229"/>
      <c r="Q32" s="1229"/>
      <c r="R32" s="1258"/>
      <c r="S32" s="1258"/>
      <c r="T32" s="1258"/>
      <c r="U32" s="1258"/>
      <c r="V32" s="1258"/>
    </row>
    <row r="33" spans="1:22">
      <c r="A33" s="1242"/>
      <c r="B33" s="1251" t="s">
        <v>540</v>
      </c>
      <c r="C33" s="1243"/>
      <c r="D33" s="1259">
        <v>0</v>
      </c>
      <c r="E33" s="1243"/>
      <c r="F33" s="1259">
        <v>0</v>
      </c>
      <c r="G33" s="1243"/>
      <c r="H33" s="1259">
        <v>0</v>
      </c>
      <c r="I33" s="3891"/>
      <c r="J33" s="1259">
        <v>0</v>
      </c>
      <c r="K33" s="1969"/>
      <c r="L33" s="1252"/>
      <c r="M33" s="1253">
        <f>ROUND(SUM(D33:L33),2)</f>
        <v>0</v>
      </c>
      <c r="N33" s="1229"/>
      <c r="O33" s="1229"/>
      <c r="P33" s="1229"/>
      <c r="Q33" s="1229"/>
      <c r="R33" s="1258"/>
      <c r="S33" s="1258"/>
      <c r="T33" s="1258"/>
      <c r="U33" s="1258"/>
      <c r="V33" s="1258"/>
    </row>
    <row r="34" spans="1:22">
      <c r="A34" s="1242"/>
      <c r="B34" s="1251" t="s">
        <v>541</v>
      </c>
      <c r="C34" s="1243"/>
      <c r="D34" s="1259">
        <v>94314832.560000002</v>
      </c>
      <c r="E34" s="1243"/>
      <c r="F34" s="1259">
        <v>113950116.15000001</v>
      </c>
      <c r="G34" s="1243"/>
      <c r="H34" s="3794">
        <v>102650182.78999999</v>
      </c>
      <c r="I34"/>
      <c r="J34" s="3794">
        <v>25141187.5</v>
      </c>
      <c r="K34" s="1969"/>
      <c r="L34" s="1252"/>
      <c r="M34" s="1253">
        <f>ROUND(SUM(D34:L34),2)</f>
        <v>336056319</v>
      </c>
      <c r="N34" s="1229"/>
      <c r="O34" s="1229"/>
      <c r="P34" s="1229"/>
      <c r="Q34" s="1229"/>
      <c r="R34" s="1258"/>
      <c r="S34" s="1258"/>
      <c r="T34" s="1258"/>
      <c r="U34" s="1258"/>
      <c r="V34" s="1258"/>
    </row>
    <row r="35" spans="1:22">
      <c r="A35" s="1242"/>
      <c r="B35" s="1251" t="s">
        <v>536</v>
      </c>
      <c r="C35" s="1243"/>
      <c r="D35" s="1970">
        <v>0</v>
      </c>
      <c r="E35" s="1243"/>
      <c r="F35" s="1970">
        <v>0</v>
      </c>
      <c r="G35" s="1243"/>
      <c r="H35" s="1970">
        <v>0</v>
      </c>
      <c r="I35" s="3891"/>
      <c r="J35" s="1970">
        <v>0</v>
      </c>
      <c r="K35" s="1969"/>
      <c r="L35" s="1259"/>
      <c r="M35" s="1253">
        <f>ROUND(SUM(D35:L35),2)</f>
        <v>0</v>
      </c>
      <c r="N35" s="1229"/>
      <c r="O35" s="1229"/>
      <c r="P35" s="1229"/>
      <c r="Q35" s="1229"/>
      <c r="R35" s="1258"/>
      <c r="S35" s="1258"/>
      <c r="T35" s="1258"/>
      <c r="U35" s="1258"/>
      <c r="V35" s="1258"/>
    </row>
    <row r="36" spans="1:22" s="1241" customFormat="1" ht="15.75">
      <c r="A36" s="1246"/>
      <c r="B36" s="1246" t="s">
        <v>526</v>
      </c>
      <c r="C36" s="1237"/>
      <c r="D36" s="1891">
        <f>ROUND(SUM(D28:D35),2)</f>
        <v>188123535.56999999</v>
      </c>
      <c r="E36" s="1237"/>
      <c r="F36" s="1891">
        <f>ROUND(SUM(F28:F35),2)</f>
        <v>244428468.88</v>
      </c>
      <c r="G36" s="1237"/>
      <c r="H36" s="1891">
        <f>ROUND(SUM(H28:H35),2)</f>
        <v>186368461.43000001</v>
      </c>
      <c r="I36" s="1239"/>
      <c r="J36" s="1891">
        <f>ROUND(SUM(J28:J35),2)</f>
        <v>41482700.340000004</v>
      </c>
      <c r="K36" s="1966"/>
      <c r="L36" s="1254"/>
      <c r="M36" s="1891">
        <f>ROUND(SUM(M28:M35),2)</f>
        <v>660403166.22000003</v>
      </c>
      <c r="N36" s="1260"/>
      <c r="O36" s="1260"/>
      <c r="P36" s="1260"/>
      <c r="Q36" s="1260"/>
      <c r="R36" s="1261"/>
      <c r="S36" s="1261"/>
      <c r="T36" s="1261"/>
      <c r="U36" s="1261"/>
      <c r="V36" s="1261"/>
    </row>
    <row r="37" spans="1:22">
      <c r="A37" s="1242"/>
      <c r="B37" s="1242"/>
      <c r="C37" s="1243"/>
      <c r="D37" s="1252"/>
      <c r="E37" s="1243"/>
      <c r="F37" s="1252"/>
      <c r="G37" s="1243"/>
      <c r="H37" s="1252"/>
      <c r="I37" s="1243"/>
      <c r="J37" s="1252"/>
      <c r="K37" s="1965"/>
      <c r="L37" s="1252"/>
      <c r="M37" s="1253"/>
      <c r="N37" s="1229"/>
      <c r="O37" s="1229"/>
      <c r="P37" s="1229"/>
      <c r="Q37" s="1229"/>
      <c r="R37" s="1258"/>
      <c r="S37" s="1258"/>
      <c r="T37" s="1258"/>
      <c r="U37" s="1258"/>
      <c r="V37" s="1258"/>
    </row>
    <row r="38" spans="1:22" ht="15.75">
      <c r="A38" s="1242"/>
      <c r="B38" s="1246" t="s">
        <v>929</v>
      </c>
      <c r="C38" s="1243"/>
      <c r="D38" s="1252"/>
      <c r="E38" s="1243"/>
      <c r="F38" s="1252"/>
      <c r="G38" s="1243"/>
      <c r="H38" s="1252"/>
      <c r="I38" s="1243"/>
      <c r="J38" s="1252"/>
      <c r="K38" s="1965"/>
      <c r="L38" s="1252"/>
      <c r="M38" s="1253"/>
      <c r="N38" s="1229"/>
      <c r="O38" s="1229"/>
      <c r="P38" s="1229"/>
      <c r="Q38" s="1229"/>
      <c r="R38" s="1258"/>
      <c r="S38" s="1258"/>
      <c r="T38" s="1258"/>
      <c r="U38" s="1258"/>
      <c r="V38" s="1258"/>
    </row>
    <row r="39" spans="1:22">
      <c r="A39" s="1242"/>
      <c r="B39" s="1242" t="s">
        <v>537</v>
      </c>
      <c r="C39" s="1243"/>
      <c r="D39" s="1262">
        <v>0</v>
      </c>
      <c r="E39" s="1243"/>
      <c r="F39" s="1262">
        <v>0</v>
      </c>
      <c r="G39" s="1243"/>
      <c r="H39" s="1262">
        <v>0</v>
      </c>
      <c r="I39" s="3891"/>
      <c r="J39" s="1262">
        <v>0</v>
      </c>
      <c r="K39" s="1971"/>
      <c r="L39" s="1262"/>
      <c r="M39" s="1253">
        <f>ROUND(SUM(D39:L39),2)</f>
        <v>0</v>
      </c>
      <c r="N39" s="1229"/>
      <c r="O39" s="1229"/>
      <c r="P39" s="1229"/>
      <c r="Q39" s="1229"/>
      <c r="R39" s="1258"/>
      <c r="S39" s="1258"/>
      <c r="T39" s="1258"/>
      <c r="U39" s="1258"/>
      <c r="V39" s="1258"/>
    </row>
    <row r="40" spans="1:22">
      <c r="A40" s="1242"/>
      <c r="B40" s="1242" t="s">
        <v>527</v>
      </c>
      <c r="C40" s="1243"/>
      <c r="D40" s="1253">
        <v>0</v>
      </c>
      <c r="E40" s="1243"/>
      <c r="F40" s="1253">
        <v>0</v>
      </c>
      <c r="G40" s="1243"/>
      <c r="H40" s="1253">
        <v>0</v>
      </c>
      <c r="I40" s="1245"/>
      <c r="J40" s="1253">
        <v>0</v>
      </c>
      <c r="K40" s="1965"/>
      <c r="L40" s="1253"/>
      <c r="M40" s="1253">
        <f>ROUND(SUM(D40:L40),2)</f>
        <v>0</v>
      </c>
      <c r="N40" s="1229"/>
      <c r="O40" s="1229"/>
      <c r="P40" s="1229"/>
      <c r="Q40" s="1229"/>
      <c r="R40" s="1258"/>
      <c r="S40" s="1258"/>
      <c r="T40" s="1258"/>
      <c r="U40" s="1258"/>
      <c r="V40" s="1258"/>
    </row>
    <row r="41" spans="1:22" ht="15.75">
      <c r="A41" s="1242"/>
      <c r="B41" s="1246" t="s">
        <v>930</v>
      </c>
      <c r="C41" s="1243"/>
      <c r="D41" s="1252"/>
      <c r="E41" s="1243"/>
      <c r="F41" s="1252"/>
      <c r="G41" s="1243"/>
      <c r="H41" s="1252"/>
      <c r="I41" s="1243"/>
      <c r="J41" s="1252"/>
      <c r="K41" s="1965"/>
      <c r="L41" s="1252"/>
      <c r="M41" s="1253"/>
      <c r="N41" s="1229"/>
      <c r="O41" s="1229"/>
      <c r="P41" s="1229"/>
      <c r="Q41" s="1229"/>
      <c r="R41" s="1258"/>
      <c r="S41" s="1258"/>
      <c r="T41" s="1258"/>
      <c r="U41" s="1258"/>
      <c r="V41" s="1258"/>
    </row>
    <row r="42" spans="1:22">
      <c r="A42" s="1242"/>
      <c r="B42" s="1251" t="s">
        <v>542</v>
      </c>
      <c r="C42" s="1243"/>
      <c r="D42" s="1253">
        <v>-922.3</v>
      </c>
      <c r="E42" s="1245"/>
      <c r="F42" s="1253">
        <f>-262.24-169.31</f>
        <v>-431.55</v>
      </c>
      <c r="G42" s="1245"/>
      <c r="H42" s="1253">
        <v>-1484.03</v>
      </c>
      <c r="I42" s="1245"/>
      <c r="J42" s="1253">
        <v>-134.57</v>
      </c>
      <c r="K42" s="1965"/>
      <c r="L42" s="1252"/>
      <c r="M42" s="1253">
        <f>ROUND(SUM(D42:L42),2)</f>
        <v>-2972.45</v>
      </c>
      <c r="N42" s="1229"/>
      <c r="O42" s="1229"/>
      <c r="P42" s="1229"/>
      <c r="Q42" s="1229"/>
      <c r="R42" s="1258"/>
      <c r="S42" s="1258"/>
      <c r="T42" s="1258"/>
      <c r="U42" s="1258"/>
      <c r="V42" s="1258"/>
    </row>
    <row r="43" spans="1:22">
      <c r="A43" s="1242"/>
      <c r="B43" s="3881" t="s">
        <v>1532</v>
      </c>
      <c r="C43" s="1243"/>
      <c r="D43" s="1972">
        <v>-738</v>
      </c>
      <c r="E43" s="1243"/>
      <c r="F43" s="1972">
        <v>-2596722.41</v>
      </c>
      <c r="G43" s="1243"/>
      <c r="H43" s="1972">
        <v>-362.09</v>
      </c>
      <c r="I43" s="1245"/>
      <c r="J43" s="1972">
        <v>0</v>
      </c>
      <c r="K43" s="1965"/>
      <c r="L43" s="1252"/>
      <c r="M43" s="1253">
        <f t="shared" ref="M43" si="0">ROUND(SUM(D43:L43),2)</f>
        <v>-2597822.5</v>
      </c>
      <c r="N43" s="1229"/>
      <c r="O43" s="1229"/>
      <c r="P43" s="1229"/>
      <c r="Q43" s="1229"/>
      <c r="R43" s="1258"/>
      <c r="S43" s="1258"/>
      <c r="T43" s="1258"/>
      <c r="U43" s="1258"/>
      <c r="V43" s="1258"/>
    </row>
    <row r="44" spans="1:22" s="1241" customFormat="1" ht="15.75">
      <c r="A44" s="1246"/>
      <c r="B44" s="1246" t="s">
        <v>528</v>
      </c>
      <c r="C44" s="1237"/>
      <c r="D44" s="1891">
        <f>SUM(D39:D43)</f>
        <v>-1660.3</v>
      </c>
      <c r="E44" s="1237"/>
      <c r="F44" s="1891">
        <f>SUM(F39:F43)</f>
        <v>-2597153.96</v>
      </c>
      <c r="G44" s="1237"/>
      <c r="H44" s="1891">
        <f>ROUND(SUM(H39:H43),2)</f>
        <v>-1846.12</v>
      </c>
      <c r="I44" s="1239"/>
      <c r="J44" s="1891">
        <f>ROUND(SUM(J39:J43),2)</f>
        <v>-134.57</v>
      </c>
      <c r="K44" s="1966"/>
      <c r="L44" s="1254"/>
      <c r="M44" s="1891">
        <f>SUM(M39:M43)</f>
        <v>-2600794.9500000002</v>
      </c>
      <c r="N44" s="1260"/>
      <c r="O44" s="1260"/>
      <c r="P44" s="1260"/>
      <c r="Q44" s="1260"/>
      <c r="R44" s="1261"/>
      <c r="S44" s="1261"/>
      <c r="T44" s="1261"/>
      <c r="U44" s="1261"/>
      <c r="V44" s="1261"/>
    </row>
    <row r="45" spans="1:22">
      <c r="A45" s="1242"/>
      <c r="B45" s="1242"/>
      <c r="C45" s="1243"/>
      <c r="D45" s="1252"/>
      <c r="E45" s="1243"/>
      <c r="F45" s="1252"/>
      <c r="G45" s="1243"/>
      <c r="H45" s="1252"/>
      <c r="I45" s="1243"/>
      <c r="J45" s="1252"/>
      <c r="K45" s="1965"/>
      <c r="L45" s="1252"/>
      <c r="M45" s="1253"/>
      <c r="N45" s="1229"/>
      <c r="O45" s="1229"/>
      <c r="P45" s="1229"/>
      <c r="Q45" s="1229"/>
      <c r="R45" s="1258"/>
      <c r="S45" s="1258"/>
      <c r="T45" s="1258"/>
      <c r="U45" s="1258"/>
      <c r="V45" s="1258"/>
    </row>
    <row r="46" spans="1:22" ht="15.75">
      <c r="A46" s="1242"/>
      <c r="B46" s="1246" t="s">
        <v>543</v>
      </c>
      <c r="C46" s="1243"/>
      <c r="D46" s="1252"/>
      <c r="E46" s="1243"/>
      <c r="F46" s="1252"/>
      <c r="G46" s="1243"/>
      <c r="H46" s="1252"/>
      <c r="I46" s="1243"/>
      <c r="J46" s="1252"/>
      <c r="K46" s="1965"/>
      <c r="L46" s="1252"/>
      <c r="M46" s="1253"/>
      <c r="N46" s="1229"/>
      <c r="O46" s="1229"/>
      <c r="P46" s="1229"/>
      <c r="Q46" s="1229"/>
      <c r="R46" s="1258"/>
      <c r="S46" s="1258"/>
      <c r="T46" s="1258"/>
      <c r="U46" s="1258"/>
      <c r="V46" s="1258"/>
    </row>
    <row r="47" spans="1:22" ht="15.75">
      <c r="A47" s="1242"/>
      <c r="B47" s="1246" t="s">
        <v>544</v>
      </c>
      <c r="C47" s="1243"/>
      <c r="D47" s="1967">
        <f>ROUND(+D24+D36+D44,2)</f>
        <v>-499.32</v>
      </c>
      <c r="E47" s="1243"/>
      <c r="F47" s="1967">
        <f>ROUND(+F24+F36+F44,2)</f>
        <v>332958.14</v>
      </c>
      <c r="G47" s="1243"/>
      <c r="H47" s="1967">
        <f>ROUND(+H24+H36+H44,2)</f>
        <v>6501578.8700000001</v>
      </c>
      <c r="I47" s="1245"/>
      <c r="J47" s="1967">
        <f>ROUND(+J24+J36+J44,2)</f>
        <v>-3252487.99</v>
      </c>
      <c r="K47" s="1968"/>
      <c r="L47" s="1257"/>
      <c r="M47" s="1967">
        <f>ROUND(+M24+M36+M44,2)</f>
        <v>3581549.7</v>
      </c>
      <c r="N47" s="1229"/>
      <c r="O47" s="1229"/>
      <c r="P47" s="1229"/>
      <c r="Q47" s="1229"/>
      <c r="R47" s="1258"/>
      <c r="S47" s="1258"/>
      <c r="T47" s="1258"/>
      <c r="U47" s="1258"/>
      <c r="V47" s="1258"/>
    </row>
    <row r="48" spans="1:22">
      <c r="A48" s="1242"/>
      <c r="B48" s="1242"/>
      <c r="C48" s="1243"/>
      <c r="D48" s="1243"/>
      <c r="E48" s="1243"/>
      <c r="F48" s="1243"/>
      <c r="G48" s="1243"/>
      <c r="H48" s="1243"/>
      <c r="I48" s="1243"/>
      <c r="J48" s="1243"/>
      <c r="K48" s="1964"/>
      <c r="L48" s="1243"/>
      <c r="M48" s="1263"/>
      <c r="N48" s="1229"/>
      <c r="O48" s="1229"/>
      <c r="P48" s="1229"/>
      <c r="Q48" s="1229"/>
      <c r="R48" s="1258"/>
      <c r="S48" s="1258"/>
      <c r="T48" s="1258"/>
      <c r="U48" s="1258"/>
      <c r="V48" s="1258"/>
    </row>
    <row r="49" spans="1:47" s="1241" customFormat="1" ht="16.5" thickBot="1">
      <c r="A49" s="1246"/>
      <c r="B49" s="1246" t="s">
        <v>531</v>
      </c>
      <c r="C49" s="1264"/>
      <c r="D49" s="1892">
        <f>ROUND(D12+D47,2)</f>
        <v>169.31</v>
      </c>
      <c r="E49" s="1264"/>
      <c r="F49" s="1892">
        <f>ROUND(F12+F47,2)</f>
        <v>333127.45</v>
      </c>
      <c r="G49" s="1264"/>
      <c r="H49" s="1892">
        <f>ROUND(H12+H47,2)</f>
        <v>6834706.3200000003</v>
      </c>
      <c r="I49" s="3892"/>
      <c r="J49" s="1892">
        <f>ROUND(J12+J47,2)</f>
        <v>3582218.33</v>
      </c>
      <c r="K49" s="1973"/>
      <c r="L49" s="1265"/>
      <c r="M49" s="1892">
        <f>ROUND(M12+M47,2)</f>
        <v>3582218.33</v>
      </c>
      <c r="N49" s="1240"/>
      <c r="O49" s="1240"/>
      <c r="P49" s="1240"/>
      <c r="Q49" s="1240"/>
      <c r="R49" s="1266"/>
      <c r="S49" s="1266"/>
      <c r="T49" s="1266"/>
      <c r="U49" s="1266"/>
      <c r="V49" s="1266"/>
      <c r="W49" s="1266"/>
      <c r="X49" s="1266"/>
      <c r="Y49" s="1266"/>
      <c r="Z49" s="1266"/>
      <c r="AA49" s="1266"/>
      <c r="AB49" s="1266"/>
      <c r="AC49" s="1266"/>
      <c r="AD49" s="1266"/>
      <c r="AE49" s="1266"/>
      <c r="AF49" s="1266"/>
      <c r="AG49" s="1266"/>
      <c r="AH49" s="1266"/>
      <c r="AI49" s="1266"/>
      <c r="AJ49" s="1266"/>
      <c r="AK49" s="1266"/>
      <c r="AL49" s="1266"/>
      <c r="AM49" s="1266"/>
      <c r="AN49" s="1266"/>
      <c r="AO49" s="1266"/>
      <c r="AP49" s="1266"/>
      <c r="AQ49" s="1266"/>
      <c r="AR49" s="1266"/>
      <c r="AS49" s="1266"/>
      <c r="AT49" s="1266"/>
      <c r="AU49" s="1266"/>
    </row>
    <row r="50" spans="1:47" ht="15.75" thickTop="1">
      <c r="A50" s="1242"/>
      <c r="B50" s="1242" t="s">
        <v>15</v>
      </c>
      <c r="C50" s="1243"/>
      <c r="D50" s="1243"/>
      <c r="E50" s="1243"/>
      <c r="F50" s="1243"/>
      <c r="G50" s="1243"/>
      <c r="H50" s="1243"/>
      <c r="I50" s="1243"/>
      <c r="J50" s="1243"/>
      <c r="K50" s="1243"/>
      <c r="L50" s="1243"/>
      <c r="M50" s="1243"/>
    </row>
    <row r="51" spans="1:47">
      <c r="B51" s="1267" t="s">
        <v>532</v>
      </c>
    </row>
    <row r="52" spans="1:47">
      <c r="B52" s="1268"/>
    </row>
    <row r="60" spans="1:47" ht="15.75">
      <c r="B60" s="1269"/>
      <c r="C60" s="1270"/>
      <c r="D60" s="1270"/>
      <c r="E60" s="1270"/>
      <c r="F60" s="1270"/>
      <c r="G60" s="1270"/>
      <c r="H60" s="1270"/>
      <c r="I60" s="1270"/>
      <c r="J60" s="1270"/>
      <c r="K60" s="1270"/>
      <c r="L60" s="1270"/>
    </row>
    <row r="62" spans="1:47" ht="15.75">
      <c r="B62" s="1271"/>
      <c r="C62" s="1240"/>
      <c r="E62" s="1240"/>
      <c r="G62" s="1240"/>
      <c r="I62" s="1260"/>
    </row>
  </sheetData>
  <printOptions horizontalCentered="1"/>
  <pageMargins left="0.24" right="0.24" top="0.5" bottom="0.5" header="0.18" footer="0.25"/>
  <pageSetup scale="67" firstPageNumber="50" orientation="landscape" useFirstPageNumber="1" r:id="rId1"/>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C49"/>
  <sheetViews>
    <sheetView showGridLines="0" zoomScale="80" workbookViewId="0"/>
  </sheetViews>
  <sheetFormatPr defaultColWidth="8.6640625" defaultRowHeight="12.75"/>
  <cols>
    <col min="1" max="1" width="54.6640625" style="413" customWidth="1"/>
    <col min="2" max="2" width="1.6640625" style="413" customWidth="1"/>
    <col min="3" max="3" width="10.6640625" style="413" customWidth="1"/>
    <col min="4" max="4" width="1.6640625" style="413" customWidth="1"/>
    <col min="5" max="5" width="10.6640625" style="413" customWidth="1"/>
    <col min="6" max="6" width="1.6640625" style="413" customWidth="1"/>
    <col min="7" max="7" width="10.6640625" style="413" customWidth="1"/>
    <col min="8" max="8" width="1.6640625" style="413" customWidth="1"/>
    <col min="9" max="9" width="10.6640625" style="413" customWidth="1"/>
    <col min="10" max="10" width="1.6640625" style="413" customWidth="1"/>
    <col min="11" max="11" width="10.6640625" style="413" customWidth="1"/>
    <col min="12" max="12" width="1.6640625" style="413" customWidth="1"/>
    <col min="13" max="13" width="14.6640625" style="413" bestFit="1" customWidth="1"/>
    <col min="14" max="14" width="1.6640625" style="413" customWidth="1"/>
    <col min="15" max="15" width="10.6640625" style="413" customWidth="1"/>
    <col min="16" max="16" width="1.6640625" style="413" customWidth="1"/>
    <col min="17" max="17" width="13.5546875" style="413" bestFit="1" customWidth="1"/>
    <col min="18" max="18" width="1.6640625" style="413" customWidth="1"/>
    <col min="19" max="19" width="13.5546875" style="413" bestFit="1" customWidth="1"/>
    <col min="20" max="20" width="1.6640625" style="413" customWidth="1"/>
    <col min="21" max="21" width="11" style="413" customWidth="1"/>
    <col min="22" max="22" width="1.6640625" style="413" customWidth="1"/>
    <col min="23" max="23" width="10.6640625" style="413" customWidth="1"/>
    <col min="24" max="24" width="1.6640625" style="413" customWidth="1"/>
    <col min="25" max="25" width="10.6640625" style="413" customWidth="1"/>
    <col min="26" max="26" width="1.6640625" style="413" customWidth="1"/>
    <col min="27" max="27" width="14.109375" style="417" customWidth="1"/>
    <col min="28" max="28" width="3.6640625" style="413" customWidth="1"/>
    <col min="29" max="29" width="5.6640625" style="413" customWidth="1"/>
    <col min="30" max="30" width="10.109375" style="413" customWidth="1"/>
    <col min="31" max="31" width="2.6640625" style="413" customWidth="1"/>
    <col min="32" max="16384" width="8.6640625" style="413"/>
  </cols>
  <sheetData>
    <row r="1" spans="1:29" ht="15">
      <c r="A1" s="644" t="s">
        <v>963</v>
      </c>
    </row>
    <row r="2" spans="1:29" ht="20.25">
      <c r="A2" s="410"/>
      <c r="B2" s="1220"/>
      <c r="C2" s="1220"/>
      <c r="D2" s="1220"/>
      <c r="E2" s="1220"/>
      <c r="F2" s="1220"/>
      <c r="G2" s="1220"/>
      <c r="H2" s="1220"/>
      <c r="I2" s="1220"/>
      <c r="J2" s="1220"/>
      <c r="K2" s="1220"/>
      <c r="L2" s="411"/>
      <c r="M2" s="411"/>
      <c r="N2" s="1220"/>
      <c r="O2" s="1220"/>
      <c r="P2" s="1220"/>
      <c r="Q2" s="1220"/>
      <c r="R2" s="1220"/>
      <c r="S2" s="1220"/>
      <c r="T2" s="1220"/>
      <c r="U2" s="1220"/>
      <c r="V2" s="1220"/>
      <c r="W2" s="1220"/>
      <c r="X2" s="1220"/>
      <c r="Y2" s="1220"/>
      <c r="Z2" s="1220"/>
      <c r="AA2" s="1221"/>
      <c r="AB2" s="1220"/>
      <c r="AC2" s="412"/>
    </row>
    <row r="3" spans="1:29" ht="15">
      <c r="A3"/>
      <c r="B3" s="645"/>
      <c r="C3" s="645"/>
      <c r="D3" s="645"/>
      <c r="E3" s="645"/>
      <c r="F3" s="645"/>
      <c r="G3" s="645"/>
      <c r="H3" s="645"/>
      <c r="I3" s="645"/>
      <c r="J3" s="645"/>
      <c r="K3" s="645"/>
      <c r="L3"/>
      <c r="M3" s="645"/>
      <c r="N3" s="645"/>
      <c r="O3" s="645"/>
      <c r="P3" s="645"/>
      <c r="Q3" s="645"/>
      <c r="R3" s="645"/>
      <c r="S3" s="645"/>
      <c r="T3" s="645"/>
      <c r="U3" s="645"/>
      <c r="V3" s="645"/>
      <c r="W3" s="645"/>
      <c r="X3" s="645"/>
      <c r="Y3" s="645"/>
      <c r="Z3" s="645"/>
      <c r="AA3" s="413"/>
      <c r="AB3" s="1220"/>
      <c r="AC3" s="412"/>
    </row>
    <row r="4" spans="1:29" ht="20.25">
      <c r="A4" s="651" t="s">
        <v>0</v>
      </c>
      <c r="B4" s="645"/>
      <c r="C4" s="645"/>
      <c r="D4" s="645"/>
      <c r="E4" s="645"/>
      <c r="F4" s="645"/>
      <c r="G4" s="645"/>
      <c r="H4" s="645"/>
      <c r="I4" s="645"/>
      <c r="J4" s="645"/>
      <c r="K4" s="645"/>
      <c r="L4"/>
      <c r="M4" s="645"/>
      <c r="N4" s="645"/>
      <c r="O4" s="645"/>
      <c r="P4" s="645"/>
      <c r="Q4" s="645"/>
      <c r="R4" s="645"/>
      <c r="S4" s="645"/>
      <c r="T4" s="645"/>
      <c r="U4" s="645"/>
      <c r="V4" s="645"/>
      <c r="W4" s="645"/>
      <c r="X4" s="645"/>
      <c r="Y4" s="645"/>
      <c r="Z4" s="645"/>
      <c r="AA4" s="1222" t="s">
        <v>533</v>
      </c>
      <c r="AB4" s="1220"/>
      <c r="AC4" s="412"/>
    </row>
    <row r="5" spans="1:29" s="412" customFormat="1" ht="18">
      <c r="A5" s="651" t="s">
        <v>546</v>
      </c>
      <c r="B5" s="646"/>
      <c r="C5" s="646"/>
      <c r="D5" s="646"/>
      <c r="E5" s="646"/>
      <c r="F5" s="646"/>
      <c r="G5" s="646"/>
      <c r="H5" s="646"/>
      <c r="I5" s="646"/>
      <c r="J5" s="645"/>
      <c r="K5" s="645"/>
      <c r="L5" s="645"/>
      <c r="M5" s="645"/>
      <c r="N5" s="645"/>
      <c r="O5" s="645"/>
      <c r="P5" s="645"/>
      <c r="Q5" s="645"/>
      <c r="R5" s="645"/>
      <c r="S5" s="645"/>
      <c r="T5" s="645"/>
      <c r="U5" s="645"/>
      <c r="V5" s="645"/>
      <c r="W5" s="645"/>
      <c r="X5" s="645"/>
      <c r="Y5" s="645"/>
      <c r="Z5" s="645"/>
      <c r="AA5" s="645"/>
      <c r="AB5" s="1220"/>
    </row>
    <row r="6" spans="1:29" s="412" customFormat="1" ht="18">
      <c r="A6" s="227" t="s">
        <v>1464</v>
      </c>
      <c r="B6" s="646"/>
      <c r="C6" s="646"/>
      <c r="D6" s="646"/>
      <c r="E6" s="646"/>
      <c r="F6" s="646"/>
      <c r="G6" s="646"/>
      <c r="H6" s="646"/>
      <c r="I6" s="646"/>
      <c r="J6" s="645"/>
      <c r="K6" s="645"/>
      <c r="L6" s="645"/>
      <c r="M6" s="645"/>
      <c r="N6" s="645"/>
      <c r="O6" s="645"/>
      <c r="P6" s="645"/>
      <c r="Q6" s="645"/>
      <c r="R6" s="645"/>
      <c r="S6" s="645"/>
      <c r="T6" s="645"/>
      <c r="U6" s="645"/>
      <c r="V6" s="645"/>
      <c r="W6" s="645"/>
      <c r="X6" s="645"/>
      <c r="Y6" s="645"/>
      <c r="Z6" s="645"/>
      <c r="AA6" s="645"/>
      <c r="AB6" s="1220"/>
    </row>
    <row r="7" spans="1:29" s="412" customFormat="1" ht="18">
      <c r="A7" s="651" t="s">
        <v>1368</v>
      </c>
      <c r="B7" s="647"/>
      <c r="C7" s="647"/>
      <c r="D7" s="647"/>
      <c r="E7" s="647"/>
      <c r="F7" s="647"/>
      <c r="G7" s="647"/>
      <c r="H7" s="647"/>
      <c r="I7" s="647"/>
      <c r="J7"/>
      <c r="K7"/>
      <c r="L7"/>
      <c r="M7"/>
      <c r="N7"/>
      <c r="O7"/>
      <c r="P7"/>
      <c r="Q7"/>
      <c r="R7" s="645"/>
      <c r="S7" s="645"/>
      <c r="T7" s="645"/>
      <c r="U7" s="645"/>
      <c r="V7" s="645"/>
      <c r="W7" s="645"/>
      <c r="X7" s="645"/>
      <c r="Y7" s="645"/>
      <c r="Z7" s="645"/>
      <c r="AA7"/>
      <c r="AB7" s="1220"/>
    </row>
    <row r="8" spans="1:29" s="412" customFormat="1" ht="15.75">
      <c r="A8" s="648"/>
      <c r="B8" s="647"/>
      <c r="C8" s="766"/>
      <c r="D8" s="766"/>
      <c r="E8" s="766"/>
      <c r="F8" s="766"/>
      <c r="G8" s="766"/>
      <c r="H8" s="766"/>
      <c r="I8" s="766"/>
      <c r="J8" s="666"/>
      <c r="K8" s="666"/>
      <c r="L8" s="666"/>
      <c r="M8" s="666"/>
      <c r="N8" s="666"/>
      <c r="O8" s="666"/>
      <c r="P8" s="666"/>
      <c r="Q8" s="666"/>
      <c r="R8" s="666"/>
      <c r="S8" s="666"/>
      <c r="T8" s="666"/>
      <c r="U8" s="666"/>
      <c r="V8" s="666"/>
      <c r="W8" s="666"/>
      <c r="X8" s="666"/>
      <c r="Y8" s="666"/>
      <c r="Z8" s="666"/>
      <c r="AA8" s="666"/>
      <c r="AB8" s="1220"/>
    </row>
    <row r="9" spans="1:29" s="412" customFormat="1" ht="15.75">
      <c r="A9" s="645"/>
      <c r="B9" s="645"/>
      <c r="C9" s="666"/>
      <c r="D9" s="666"/>
      <c r="E9" s="666"/>
      <c r="F9" s="666"/>
      <c r="G9" s="666"/>
      <c r="H9" s="666"/>
      <c r="I9" s="666"/>
      <c r="J9" s="666"/>
      <c r="K9" s="666"/>
      <c r="L9" s="666"/>
      <c r="M9" s="666"/>
      <c r="N9" s="666"/>
      <c r="O9" s="666"/>
      <c r="P9" s="666"/>
      <c r="Q9" s="666"/>
      <c r="R9" s="666"/>
      <c r="S9" s="666"/>
      <c r="T9" s="666"/>
      <c r="U9" s="666"/>
      <c r="V9" s="666"/>
      <c r="W9" s="666"/>
      <c r="X9" s="666"/>
      <c r="Y9" s="666"/>
      <c r="Z9" s="666"/>
      <c r="AA9" s="666"/>
      <c r="AB9" s="1220"/>
    </row>
    <row r="10" spans="1:29" s="412" customFormat="1" ht="18">
      <c r="A10" s="645"/>
      <c r="B10" s="665"/>
      <c r="C10" s="767">
        <v>2020</v>
      </c>
      <c r="D10" s="767" t="s">
        <v>15</v>
      </c>
      <c r="E10" s="767">
        <v>2020</v>
      </c>
      <c r="F10" s="767" t="s">
        <v>15</v>
      </c>
      <c r="G10" s="767">
        <v>2020</v>
      </c>
      <c r="H10" s="767" t="s">
        <v>15</v>
      </c>
      <c r="I10" s="767">
        <v>2020</v>
      </c>
      <c r="J10" s="767" t="s">
        <v>15</v>
      </c>
      <c r="K10" s="767">
        <v>2020</v>
      </c>
      <c r="L10" s="767" t="s">
        <v>15</v>
      </c>
      <c r="M10" s="767">
        <v>2020</v>
      </c>
      <c r="N10" s="767" t="s">
        <v>15</v>
      </c>
      <c r="O10" s="767">
        <v>2020</v>
      </c>
      <c r="P10" s="767" t="s">
        <v>15</v>
      </c>
      <c r="Q10" s="767">
        <v>2020</v>
      </c>
      <c r="R10" s="767" t="s">
        <v>15</v>
      </c>
      <c r="S10" s="767">
        <v>2020</v>
      </c>
      <c r="T10" s="767"/>
      <c r="U10" s="767">
        <v>2021</v>
      </c>
      <c r="V10" s="767"/>
      <c r="W10" s="767">
        <v>2021</v>
      </c>
      <c r="X10" s="767"/>
      <c r="Y10" s="767">
        <v>2021</v>
      </c>
      <c r="Z10" s="651"/>
      <c r="AA10" s="768" t="s">
        <v>1465</v>
      </c>
      <c r="AB10" s="1223"/>
    </row>
    <row r="11" spans="1:29" s="412" customFormat="1" ht="18">
      <c r="A11" s="645"/>
      <c r="B11" s="665"/>
      <c r="C11" s="2153" t="s">
        <v>124</v>
      </c>
      <c r="D11" s="768"/>
      <c r="E11" s="2153" t="s">
        <v>125</v>
      </c>
      <c r="F11" s="768"/>
      <c r="G11" s="2153" t="s">
        <v>126</v>
      </c>
      <c r="H11" s="768"/>
      <c r="I11" s="2153" t="s">
        <v>127</v>
      </c>
      <c r="J11" s="768"/>
      <c r="K11" s="2153" t="s">
        <v>128</v>
      </c>
      <c r="L11" s="768"/>
      <c r="M11" s="2153" t="s">
        <v>143</v>
      </c>
      <c r="N11" s="768"/>
      <c r="O11" s="2153" t="s">
        <v>144</v>
      </c>
      <c r="P11" s="768"/>
      <c r="Q11" s="2153" t="s">
        <v>131</v>
      </c>
      <c r="R11" s="768"/>
      <c r="S11" s="2153" t="s">
        <v>132</v>
      </c>
      <c r="T11" s="768"/>
      <c r="U11" s="2153" t="s">
        <v>133</v>
      </c>
      <c r="V11" s="768"/>
      <c r="W11" s="2153" t="s">
        <v>134</v>
      </c>
      <c r="X11" s="768"/>
      <c r="Y11" s="2153" t="s">
        <v>185</v>
      </c>
      <c r="Z11" s="651"/>
      <c r="AA11" s="2153" t="s">
        <v>547</v>
      </c>
      <c r="AB11" s="1220"/>
    </row>
    <row r="12" spans="1:29" s="412" customFormat="1" ht="18">
      <c r="A12"/>
      <c r="B12" s="665"/>
      <c r="C12" s="665"/>
      <c r="D12" s="665"/>
      <c r="E12" s="665"/>
      <c r="F12" s="665"/>
      <c r="G12" s="665"/>
      <c r="H12" s="665"/>
      <c r="I12" s="665"/>
      <c r="J12" s="665"/>
      <c r="K12" s="665"/>
      <c r="L12" s="665"/>
      <c r="M12" s="665"/>
      <c r="N12" s="665"/>
      <c r="O12" s="665"/>
      <c r="P12" s="665"/>
      <c r="Q12" s="665"/>
      <c r="R12" s="665"/>
      <c r="S12" s="665"/>
      <c r="T12" s="665"/>
      <c r="U12" s="665"/>
      <c r="V12" s="665"/>
      <c r="W12" s="665"/>
      <c r="X12" s="665"/>
      <c r="Y12" s="665"/>
      <c r="Z12" s="665"/>
      <c r="AA12" s="665"/>
      <c r="AB12" s="1881"/>
      <c r="AC12" s="1882"/>
    </row>
    <row r="13" spans="1:29" s="414" customFormat="1" ht="18">
      <c r="A13" s="666" t="s">
        <v>548</v>
      </c>
      <c r="B13" s="665"/>
      <c r="C13" s="665"/>
      <c r="D13" s="665"/>
      <c r="E13" s="665"/>
      <c r="F13" s="665"/>
      <c r="G13" s="665"/>
      <c r="H13" s="665"/>
      <c r="I13" s="665"/>
      <c r="J13" s="665"/>
      <c r="K13" s="665"/>
      <c r="L13" s="665"/>
      <c r="M13" s="665"/>
      <c r="N13" s="665"/>
      <c r="O13" s="665"/>
      <c r="P13" s="665"/>
      <c r="Q13" s="665"/>
      <c r="R13" s="665"/>
      <c r="S13" s="665"/>
      <c r="T13" s="665"/>
      <c r="U13" s="665"/>
      <c r="V13" s="665"/>
      <c r="W13" s="665"/>
      <c r="X13" s="665"/>
      <c r="Y13" s="665"/>
      <c r="Z13" s="665"/>
      <c r="AA13" s="665"/>
      <c r="AB13" s="1881"/>
      <c r="AC13" s="1883"/>
    </row>
    <row r="14" spans="1:29" s="414" customFormat="1" ht="18">
      <c r="A14" s="645" t="s">
        <v>549</v>
      </c>
      <c r="B14" s="665"/>
      <c r="C14" s="791">
        <v>0</v>
      </c>
      <c r="D14" s="791"/>
      <c r="E14" s="791">
        <v>0</v>
      </c>
      <c r="F14" s="791"/>
      <c r="G14" s="2165">
        <v>0</v>
      </c>
      <c r="H14" s="791"/>
      <c r="I14" s="3782">
        <v>0</v>
      </c>
      <c r="J14" s="792"/>
      <c r="K14" s="2165">
        <v>15</v>
      </c>
      <c r="L14" s="791"/>
      <c r="M14" s="2165">
        <v>0</v>
      </c>
      <c r="N14" s="792"/>
      <c r="O14" s="2165">
        <v>0</v>
      </c>
      <c r="P14" s="792"/>
      <c r="Q14" s="2165">
        <v>0</v>
      </c>
      <c r="R14" s="792"/>
      <c r="S14" s="2165">
        <v>0</v>
      </c>
      <c r="T14" s="792"/>
      <c r="U14" s="2165">
        <v>0</v>
      </c>
      <c r="V14" s="792"/>
      <c r="W14" s="2165"/>
      <c r="X14" s="792"/>
      <c r="Y14" s="2165"/>
      <c r="Z14" s="665"/>
      <c r="AA14" s="3008">
        <f>ROUND(SUM(C14:Z14),0)</f>
        <v>15</v>
      </c>
      <c r="AB14" s="1881"/>
      <c r="AC14" s="1883"/>
    </row>
    <row r="15" spans="1:29" s="414" customFormat="1" ht="18">
      <c r="A15" s="645" t="s">
        <v>550</v>
      </c>
      <c r="B15" s="665"/>
      <c r="C15" s="793">
        <v>427</v>
      </c>
      <c r="D15" s="794"/>
      <c r="E15" s="794">
        <v>2157</v>
      </c>
      <c r="F15" s="794"/>
      <c r="G15" s="797">
        <v>1567</v>
      </c>
      <c r="H15" s="794"/>
      <c r="I15" s="3783">
        <v>17</v>
      </c>
      <c r="J15" s="795"/>
      <c r="K15" s="797">
        <v>0</v>
      </c>
      <c r="L15" s="794"/>
      <c r="M15" s="797">
        <v>649</v>
      </c>
      <c r="N15" s="795"/>
      <c r="O15" s="797">
        <v>0</v>
      </c>
      <c r="P15" s="795"/>
      <c r="Q15" s="797">
        <v>829</v>
      </c>
      <c r="R15" s="795"/>
      <c r="S15" s="797">
        <v>90</v>
      </c>
      <c r="T15" s="795"/>
      <c r="U15" s="797">
        <v>161</v>
      </c>
      <c r="V15" s="795"/>
      <c r="W15" s="797"/>
      <c r="X15" s="795"/>
      <c r="Y15" s="797"/>
      <c r="Z15" s="665"/>
      <c r="AA15" s="1475">
        <f t="shared" ref="AA15:AA24" si="0">ROUND(SUM(C15:Z15),0)</f>
        <v>5897</v>
      </c>
      <c r="AB15" s="1881"/>
      <c r="AC15" s="1883"/>
    </row>
    <row r="16" spans="1:29" s="414" customFormat="1" ht="18">
      <c r="A16" s="645" t="s">
        <v>551</v>
      </c>
      <c r="B16" s="665"/>
      <c r="C16" s="793">
        <v>-1</v>
      </c>
      <c r="D16" s="794"/>
      <c r="E16" s="794">
        <v>0</v>
      </c>
      <c r="F16" s="794"/>
      <c r="G16" s="797">
        <v>59</v>
      </c>
      <c r="H16" s="794"/>
      <c r="I16" s="3783">
        <v>0</v>
      </c>
      <c r="J16" s="795"/>
      <c r="K16" s="797">
        <v>0</v>
      </c>
      <c r="L16" s="794"/>
      <c r="M16" s="797">
        <v>0</v>
      </c>
      <c r="N16" s="795"/>
      <c r="O16" s="797">
        <v>0</v>
      </c>
      <c r="P16" s="795"/>
      <c r="Q16" s="797">
        <v>0</v>
      </c>
      <c r="R16" s="795"/>
      <c r="S16" s="797">
        <v>0</v>
      </c>
      <c r="T16" s="795"/>
      <c r="U16" s="797">
        <v>0</v>
      </c>
      <c r="V16" s="795"/>
      <c r="W16" s="797"/>
      <c r="X16" s="795"/>
      <c r="Y16" s="797"/>
      <c r="Z16" s="665"/>
      <c r="AA16" s="1475">
        <f t="shared" si="0"/>
        <v>58</v>
      </c>
      <c r="AB16" s="1224"/>
      <c r="AC16" s="1883"/>
    </row>
    <row r="17" spans="1:29" s="414" customFormat="1" ht="18">
      <c r="A17" s="645" t="s">
        <v>987</v>
      </c>
      <c r="B17" s="665"/>
      <c r="C17" s="797">
        <v>0</v>
      </c>
      <c r="D17" s="794"/>
      <c r="E17" s="796">
        <v>0</v>
      </c>
      <c r="F17" s="794"/>
      <c r="G17" s="796">
        <v>0</v>
      </c>
      <c r="H17" s="794"/>
      <c r="I17" s="3784">
        <v>0</v>
      </c>
      <c r="J17" s="795"/>
      <c r="K17" s="796">
        <v>0</v>
      </c>
      <c r="L17" s="794"/>
      <c r="M17" s="796">
        <v>0</v>
      </c>
      <c r="N17" s="795"/>
      <c r="O17" s="796">
        <v>0</v>
      </c>
      <c r="P17" s="795"/>
      <c r="Q17" s="796">
        <v>0</v>
      </c>
      <c r="R17" s="795"/>
      <c r="S17" s="796">
        <v>0</v>
      </c>
      <c r="T17" s="795"/>
      <c r="U17" s="796">
        <v>0</v>
      </c>
      <c r="V17" s="795"/>
      <c r="W17" s="796"/>
      <c r="X17" s="795"/>
      <c r="Y17" s="796"/>
      <c r="Z17" s="665"/>
      <c r="AA17" s="1475">
        <f t="shared" si="0"/>
        <v>0</v>
      </c>
      <c r="AB17" s="1224"/>
      <c r="AC17" s="1883"/>
    </row>
    <row r="18" spans="1:29" s="414" customFormat="1" ht="18">
      <c r="A18" s="645" t="s">
        <v>552</v>
      </c>
      <c r="B18" s="665"/>
      <c r="C18" s="794"/>
      <c r="D18" s="794"/>
      <c r="E18" s="798"/>
      <c r="F18" s="794"/>
      <c r="G18" s="798"/>
      <c r="H18" s="794"/>
      <c r="I18" s="3785"/>
      <c r="J18" s="795"/>
      <c r="K18" s="798"/>
      <c r="L18" s="794"/>
      <c r="M18" s="798"/>
      <c r="N18" s="795"/>
      <c r="O18" s="798"/>
      <c r="P18" s="795"/>
      <c r="Q18" s="798"/>
      <c r="R18" s="795"/>
      <c r="S18" s="798"/>
      <c r="T18" s="795"/>
      <c r="U18" s="798"/>
      <c r="V18" s="795"/>
      <c r="W18" s="798"/>
      <c r="X18" s="795"/>
      <c r="Y18" s="798"/>
      <c r="Z18" s="665"/>
      <c r="AA18" s="1475"/>
      <c r="AB18" s="1224"/>
      <c r="AC18" s="1883"/>
    </row>
    <row r="19" spans="1:29" s="414" customFormat="1" ht="18">
      <c r="A19" s="645" t="s">
        <v>993</v>
      </c>
      <c r="B19" s="665"/>
      <c r="C19" s="793">
        <v>525</v>
      </c>
      <c r="D19" s="794"/>
      <c r="E19" s="794">
        <v>0</v>
      </c>
      <c r="F19" s="794"/>
      <c r="G19" s="797">
        <v>454</v>
      </c>
      <c r="H19" s="794"/>
      <c r="I19" s="3783">
        <v>444</v>
      </c>
      <c r="J19" s="795"/>
      <c r="K19" s="797">
        <v>323</v>
      </c>
      <c r="L19" s="794"/>
      <c r="M19" s="797">
        <v>148</v>
      </c>
      <c r="N19" s="795"/>
      <c r="O19" s="797">
        <v>14</v>
      </c>
      <c r="P19" s="795"/>
      <c r="Q19" s="797">
        <v>383</v>
      </c>
      <c r="R19" s="795"/>
      <c r="S19" s="797">
        <v>94</v>
      </c>
      <c r="T19" s="795"/>
      <c r="U19" s="797">
        <v>125</v>
      </c>
      <c r="V19" s="795"/>
      <c r="W19" s="797"/>
      <c r="X19" s="795"/>
      <c r="Y19" s="797"/>
      <c r="Z19" s="665"/>
      <c r="AA19" s="1475">
        <f t="shared" si="0"/>
        <v>2510</v>
      </c>
      <c r="AB19" s="1224"/>
      <c r="AC19" s="1883"/>
    </row>
    <row r="20" spans="1:29" s="414" customFormat="1" ht="18">
      <c r="A20" s="645" t="s">
        <v>553</v>
      </c>
      <c r="B20" s="665"/>
      <c r="C20" s="793">
        <v>0</v>
      </c>
      <c r="D20" s="794"/>
      <c r="E20" s="794">
        <v>0</v>
      </c>
      <c r="F20" s="794"/>
      <c r="G20" s="797">
        <v>24</v>
      </c>
      <c r="H20" s="794"/>
      <c r="I20" s="3783">
        <v>0</v>
      </c>
      <c r="J20" s="795"/>
      <c r="K20" s="797">
        <v>0</v>
      </c>
      <c r="L20" s="794"/>
      <c r="M20" s="797">
        <v>20</v>
      </c>
      <c r="N20" s="795"/>
      <c r="O20" s="797">
        <v>0</v>
      </c>
      <c r="P20" s="795"/>
      <c r="Q20" s="797">
        <v>0</v>
      </c>
      <c r="R20" s="795"/>
      <c r="S20" s="797">
        <v>0</v>
      </c>
      <c r="T20" s="795"/>
      <c r="U20" s="797">
        <v>0</v>
      </c>
      <c r="V20" s="795"/>
      <c r="W20" s="797"/>
      <c r="X20" s="795"/>
      <c r="Y20" s="797"/>
      <c r="Z20" s="665"/>
      <c r="AA20" s="1475">
        <f t="shared" si="0"/>
        <v>44</v>
      </c>
      <c r="AB20" s="1224"/>
      <c r="AC20" s="1883"/>
    </row>
    <row r="21" spans="1:29" s="414" customFormat="1" ht="18">
      <c r="A21" s="645" t="s">
        <v>554</v>
      </c>
      <c r="B21" s="665"/>
      <c r="C21" s="793">
        <v>0</v>
      </c>
      <c r="D21" s="794"/>
      <c r="E21" s="794">
        <v>0</v>
      </c>
      <c r="F21" s="794"/>
      <c r="G21" s="797">
        <v>0</v>
      </c>
      <c r="H21" s="794"/>
      <c r="I21" s="3783">
        <v>0</v>
      </c>
      <c r="J21" s="795"/>
      <c r="K21" s="797">
        <v>0</v>
      </c>
      <c r="L21" s="794"/>
      <c r="M21" s="797">
        <v>0</v>
      </c>
      <c r="N21" s="795"/>
      <c r="O21" s="797">
        <v>0</v>
      </c>
      <c r="P21" s="795"/>
      <c r="Q21" s="797">
        <v>0</v>
      </c>
      <c r="R21" s="795"/>
      <c r="S21" s="797">
        <v>0</v>
      </c>
      <c r="T21" s="795"/>
      <c r="U21" s="797">
        <v>0</v>
      </c>
      <c r="V21" s="795"/>
      <c r="W21" s="797"/>
      <c r="X21" s="795"/>
      <c r="Y21" s="797"/>
      <c r="Z21" s="665"/>
      <c r="AA21" s="1475">
        <f t="shared" si="0"/>
        <v>0</v>
      </c>
      <c r="AB21" s="1224"/>
      <c r="AC21" s="1883"/>
    </row>
    <row r="22" spans="1:29" s="414" customFormat="1" ht="18">
      <c r="A22" s="645" t="s">
        <v>555</v>
      </c>
      <c r="B22" s="665"/>
      <c r="C22" s="793">
        <v>24128</v>
      </c>
      <c r="D22" s="794"/>
      <c r="E22" s="794">
        <v>11443</v>
      </c>
      <c r="F22" s="794"/>
      <c r="G22" s="797">
        <v>24631</v>
      </c>
      <c r="H22" s="794"/>
      <c r="I22" s="3783">
        <v>18581</v>
      </c>
      <c r="J22" s="795"/>
      <c r="K22" s="797">
        <v>19061</v>
      </c>
      <c r="L22" s="794"/>
      <c r="M22" s="797">
        <v>18031</v>
      </c>
      <c r="N22" s="795"/>
      <c r="O22" s="797">
        <v>10339</v>
      </c>
      <c r="P22" s="795"/>
      <c r="Q22" s="797">
        <v>32044</v>
      </c>
      <c r="R22" s="795"/>
      <c r="S22" s="797">
        <v>15125</v>
      </c>
      <c r="T22" s="795"/>
      <c r="U22" s="797">
        <v>25329</v>
      </c>
      <c r="V22" s="795"/>
      <c r="W22" s="797"/>
      <c r="X22" s="795"/>
      <c r="Y22" s="797"/>
      <c r="Z22" s="665"/>
      <c r="AA22" s="1475">
        <f t="shared" si="0"/>
        <v>198712</v>
      </c>
      <c r="AB22" s="1224"/>
      <c r="AC22" s="1883"/>
    </row>
    <row r="23" spans="1:29" s="414" customFormat="1" ht="18">
      <c r="A23" s="645" t="s">
        <v>556</v>
      </c>
      <c r="B23" s="665"/>
      <c r="C23" s="793">
        <v>4766</v>
      </c>
      <c r="D23" s="794"/>
      <c r="E23" s="794">
        <v>1358</v>
      </c>
      <c r="F23" s="794"/>
      <c r="G23" s="797">
        <v>5403</v>
      </c>
      <c r="H23" s="794"/>
      <c r="I23" s="3783">
        <v>2217</v>
      </c>
      <c r="J23" s="795"/>
      <c r="K23" s="797">
        <v>1052</v>
      </c>
      <c r="L23" s="794"/>
      <c r="M23" s="797">
        <v>2094</v>
      </c>
      <c r="N23" s="795"/>
      <c r="O23" s="797">
        <v>83</v>
      </c>
      <c r="P23" s="795"/>
      <c r="Q23" s="797">
        <v>4094</v>
      </c>
      <c r="R23" s="795"/>
      <c r="S23" s="797">
        <v>2211</v>
      </c>
      <c r="T23" s="795"/>
      <c r="U23" s="797">
        <v>690</v>
      </c>
      <c r="V23" s="795"/>
      <c r="W23" s="797"/>
      <c r="X23" s="795"/>
      <c r="Y23" s="797"/>
      <c r="Z23" s="665"/>
      <c r="AA23" s="1475">
        <f>ROUND(SUM(C23:Z23),0)</f>
        <v>23968</v>
      </c>
      <c r="AB23" s="1224"/>
      <c r="AC23" s="1883"/>
    </row>
    <row r="24" spans="1:29" s="414" customFormat="1" ht="18">
      <c r="A24" s="645" t="s">
        <v>557</v>
      </c>
      <c r="B24" s="665"/>
      <c r="C24" s="794">
        <v>26</v>
      </c>
      <c r="D24" s="794"/>
      <c r="E24" s="794">
        <v>0</v>
      </c>
      <c r="F24" s="794"/>
      <c r="G24" s="793" t="s">
        <v>1487</v>
      </c>
      <c r="H24" s="794"/>
      <c r="I24" s="3783">
        <v>1153</v>
      </c>
      <c r="J24" s="795"/>
      <c r="K24" s="797">
        <v>0</v>
      </c>
      <c r="L24" s="794"/>
      <c r="M24" s="797">
        <v>0</v>
      </c>
      <c r="N24" s="795"/>
      <c r="O24" s="797">
        <v>0</v>
      </c>
      <c r="P24" s="795"/>
      <c r="Q24" s="797">
        <v>0</v>
      </c>
      <c r="R24" s="795"/>
      <c r="S24" s="797">
        <v>0</v>
      </c>
      <c r="T24" s="795"/>
      <c r="U24" s="797">
        <v>0</v>
      </c>
      <c r="V24" s="795"/>
      <c r="W24" s="797"/>
      <c r="X24" s="795"/>
      <c r="Y24" s="797"/>
      <c r="Z24" s="665"/>
      <c r="AA24" s="1475">
        <f t="shared" si="0"/>
        <v>1179</v>
      </c>
      <c r="AB24" s="1224"/>
      <c r="AC24" s="1883"/>
    </row>
    <row r="25" spans="1:29" s="414" customFormat="1" ht="18">
      <c r="A25" s="666" t="s">
        <v>880</v>
      </c>
      <c r="B25" s="665"/>
      <c r="C25" s="2155">
        <f>ROUND(SUM(C14:C24),0)</f>
        <v>29871</v>
      </c>
      <c r="D25" s="645"/>
      <c r="E25" s="2155">
        <f>ROUND(SUM(E14:E24),0)</f>
        <v>14958</v>
      </c>
      <c r="F25" s="645"/>
      <c r="G25" s="2155">
        <f>ROUND(SUM(G14:G24),0)</f>
        <v>32138</v>
      </c>
      <c r="H25" s="645"/>
      <c r="I25" s="3786">
        <f>ROUND(SUM(I14:I24),0)</f>
        <v>22412</v>
      </c>
      <c r="J25" s="645"/>
      <c r="K25" s="2155">
        <f>ROUND(SUM(K14:K24),0)</f>
        <v>20451</v>
      </c>
      <c r="L25" s="645"/>
      <c r="M25" s="2155">
        <f>ROUND(SUM(M14:M24),0)</f>
        <v>20942</v>
      </c>
      <c r="N25" s="645"/>
      <c r="O25" s="2155">
        <f>ROUND(SUM(O14:O24),0)</f>
        <v>10436</v>
      </c>
      <c r="P25" s="645"/>
      <c r="Q25" s="2155">
        <f>ROUND(SUM(Q14:Q24),0)</f>
        <v>37350</v>
      </c>
      <c r="R25" s="645"/>
      <c r="S25" s="2155">
        <f>ROUND(SUM(S14:S24),0)</f>
        <v>17520</v>
      </c>
      <c r="T25" s="645"/>
      <c r="U25" s="2155">
        <f>ROUND(SUM(U14:U24),0)</f>
        <v>26305</v>
      </c>
      <c r="V25" s="645"/>
      <c r="W25" s="2155">
        <f>ROUND(SUM(W14:W24),0)</f>
        <v>0</v>
      </c>
      <c r="X25" s="645"/>
      <c r="Y25" s="2155">
        <f>ROUND(SUM(Y14:Y24),0)</f>
        <v>0</v>
      </c>
      <c r="Z25" s="645"/>
      <c r="AA25" s="3009">
        <f>ROUND(SUM(AA14:AA24),0)</f>
        <v>232383</v>
      </c>
      <c r="AB25" s="1224"/>
      <c r="AC25" s="1883"/>
    </row>
    <row r="26" spans="1:29" s="414" customFormat="1" ht="18">
      <c r="A26"/>
      <c r="B26" s="665"/>
      <c r="C26" s="665"/>
      <c r="D26" s="665"/>
      <c r="E26" s="665"/>
      <c r="F26" s="665"/>
      <c r="G26" s="665"/>
      <c r="H26" s="665"/>
      <c r="I26" s="3787"/>
      <c r="J26" s="665"/>
      <c r="K26" s="665"/>
      <c r="L26" s="665"/>
      <c r="M26" s="665"/>
      <c r="N26" s="665"/>
      <c r="O26" s="665"/>
      <c r="P26" s="665"/>
      <c r="Q26" s="665"/>
      <c r="R26" s="665"/>
      <c r="S26" s="665"/>
      <c r="T26" s="665"/>
      <c r="U26" s="665"/>
      <c r="V26" s="665"/>
      <c r="W26" s="665"/>
      <c r="X26" s="665"/>
      <c r="Y26" s="665"/>
      <c r="Z26" s="665"/>
      <c r="AA26" s="809"/>
      <c r="AB26" s="1224"/>
      <c r="AC26" s="1883"/>
    </row>
    <row r="27" spans="1:29" s="414" customFormat="1" ht="18">
      <c r="A27" s="645"/>
      <c r="B27" s="665"/>
      <c r="C27" s="665"/>
      <c r="D27" s="665"/>
      <c r="E27" s="665"/>
      <c r="F27" s="665"/>
      <c r="G27" s="665"/>
      <c r="H27" s="665"/>
      <c r="I27" s="3787"/>
      <c r="J27" s="665"/>
      <c r="K27" s="665"/>
      <c r="L27" s="665"/>
      <c r="M27" s="665"/>
      <c r="N27" s="665"/>
      <c r="O27" s="665"/>
      <c r="P27" s="665"/>
      <c r="Q27" s="665"/>
      <c r="R27" s="665"/>
      <c r="S27" s="665"/>
      <c r="T27" s="665"/>
      <c r="U27" s="665"/>
      <c r="V27" s="665"/>
      <c r="W27" s="665"/>
      <c r="X27" s="665"/>
      <c r="Y27" s="665"/>
      <c r="Z27" s="665"/>
      <c r="AA27" s="809"/>
      <c r="AB27" s="1224"/>
      <c r="AC27" s="1883"/>
    </row>
    <row r="28" spans="1:29" s="414" customFormat="1" ht="18">
      <c r="A28" s="666" t="s">
        <v>558</v>
      </c>
      <c r="B28" s="665"/>
      <c r="C28" s="665"/>
      <c r="D28" s="665"/>
      <c r="E28" s="665"/>
      <c r="F28" s="665"/>
      <c r="G28" s="665"/>
      <c r="H28" s="665"/>
      <c r="I28" s="3787"/>
      <c r="J28" s="665"/>
      <c r="K28" s="665"/>
      <c r="L28" s="665"/>
      <c r="M28" s="665"/>
      <c r="N28" s="665"/>
      <c r="O28" s="665"/>
      <c r="P28" s="665"/>
      <c r="Q28" s="665"/>
      <c r="R28" s="665"/>
      <c r="S28" s="665"/>
      <c r="T28" s="665"/>
      <c r="U28" s="665"/>
      <c r="V28" s="665"/>
      <c r="W28" s="665"/>
      <c r="X28" s="665"/>
      <c r="Y28" s="665"/>
      <c r="Z28" s="665"/>
      <c r="AA28" s="809"/>
      <c r="AB28" s="1224"/>
      <c r="AC28" s="1883"/>
    </row>
    <row r="29" spans="1:29" s="414" customFormat="1" ht="18">
      <c r="A29" s="645" t="s">
        <v>552</v>
      </c>
      <c r="B29" s="665"/>
      <c r="C29" s="665"/>
      <c r="D29" s="665"/>
      <c r="E29" s="665"/>
      <c r="F29" s="665"/>
      <c r="G29" s="665"/>
      <c r="H29" s="665"/>
      <c r="I29" s="3787"/>
      <c r="J29" s="665"/>
      <c r="K29" s="665"/>
      <c r="L29" s="665"/>
      <c r="M29" s="665"/>
      <c r="N29" s="665"/>
      <c r="O29" s="665"/>
      <c r="P29" s="665"/>
      <c r="Q29" s="665"/>
      <c r="R29" s="665"/>
      <c r="S29" s="665"/>
      <c r="T29" s="665"/>
      <c r="U29" s="665"/>
      <c r="V29" s="665"/>
      <c r="W29" s="665"/>
      <c r="X29" s="665"/>
      <c r="Y29" s="665"/>
      <c r="Z29" s="665"/>
      <c r="AA29" s="809"/>
      <c r="AB29" s="1224"/>
      <c r="AC29" s="1883"/>
    </row>
    <row r="30" spans="1:29" s="414" customFormat="1" ht="18">
      <c r="A30" s="645" t="s">
        <v>559</v>
      </c>
      <c r="B30" s="665"/>
      <c r="C30" s="796">
        <v>0</v>
      </c>
      <c r="D30" s="794"/>
      <c r="E30" s="796">
        <v>0</v>
      </c>
      <c r="F30" s="794"/>
      <c r="G30" s="796">
        <v>0</v>
      </c>
      <c r="H30" s="794"/>
      <c r="I30" s="3784">
        <v>0</v>
      </c>
      <c r="J30" s="795"/>
      <c r="K30" s="796">
        <v>0</v>
      </c>
      <c r="L30" s="794"/>
      <c r="M30" s="796">
        <v>0</v>
      </c>
      <c r="N30" s="795"/>
      <c r="O30" s="796">
        <v>0</v>
      </c>
      <c r="P30" s="795"/>
      <c r="Q30" s="796">
        <v>0</v>
      </c>
      <c r="R30" s="795"/>
      <c r="S30" s="796">
        <v>0</v>
      </c>
      <c r="T30" s="795"/>
      <c r="U30" s="796">
        <v>0</v>
      </c>
      <c r="V30" s="795"/>
      <c r="W30" s="796"/>
      <c r="X30" s="795"/>
      <c r="Y30" s="796"/>
      <c r="Z30" s="665"/>
      <c r="AA30" s="1475">
        <f>ROUND(SUM(C30:Z30),0)</f>
        <v>0</v>
      </c>
      <c r="AB30" s="1224"/>
      <c r="AC30" s="1883"/>
    </row>
    <row r="31" spans="1:29" s="414" customFormat="1" ht="18">
      <c r="A31" s="645" t="s">
        <v>1192</v>
      </c>
      <c r="B31" s="665"/>
      <c r="C31" s="794">
        <v>0</v>
      </c>
      <c r="D31" s="794"/>
      <c r="E31" s="796">
        <v>0</v>
      </c>
      <c r="F31" s="794"/>
      <c r="G31" s="796">
        <v>0</v>
      </c>
      <c r="H31" s="794"/>
      <c r="I31" s="3784">
        <v>0</v>
      </c>
      <c r="J31" s="795"/>
      <c r="K31" s="796">
        <v>0</v>
      </c>
      <c r="L31" s="794"/>
      <c r="M31" s="796">
        <v>0</v>
      </c>
      <c r="N31" s="795"/>
      <c r="O31" s="796">
        <v>0</v>
      </c>
      <c r="P31" s="795"/>
      <c r="Q31" s="796">
        <v>0</v>
      </c>
      <c r="R31" s="795"/>
      <c r="S31" s="796">
        <v>0</v>
      </c>
      <c r="T31" s="795"/>
      <c r="U31" s="796">
        <v>0</v>
      </c>
      <c r="V31" s="795"/>
      <c r="W31" s="796"/>
      <c r="X31" s="795"/>
      <c r="Y31" s="796"/>
      <c r="Z31" s="665"/>
      <c r="AA31" s="1475">
        <f>ROUND(SUM(C31:Z31),0)</f>
        <v>0</v>
      </c>
      <c r="AB31" s="1224"/>
      <c r="AC31" s="1883"/>
    </row>
    <row r="32" spans="1:29" s="414" customFormat="1" ht="18">
      <c r="A32" s="645" t="s">
        <v>560</v>
      </c>
      <c r="B32" s="665"/>
      <c r="C32" s="796">
        <v>0</v>
      </c>
      <c r="D32" s="794"/>
      <c r="E32" s="796">
        <v>0</v>
      </c>
      <c r="F32" s="794"/>
      <c r="G32" s="796">
        <v>0</v>
      </c>
      <c r="H32" s="794"/>
      <c r="I32" s="3784">
        <v>0</v>
      </c>
      <c r="J32" s="795"/>
      <c r="K32" s="796">
        <v>0</v>
      </c>
      <c r="L32" s="794"/>
      <c r="M32" s="796">
        <v>0</v>
      </c>
      <c r="N32" s="795"/>
      <c r="O32" s="796">
        <v>0</v>
      </c>
      <c r="P32" s="795"/>
      <c r="Q32" s="796">
        <v>0</v>
      </c>
      <c r="R32" s="795"/>
      <c r="S32" s="796">
        <v>0</v>
      </c>
      <c r="T32" s="795"/>
      <c r="U32" s="796">
        <v>0</v>
      </c>
      <c r="V32" s="795"/>
      <c r="W32" s="796"/>
      <c r="X32" s="795"/>
      <c r="Y32" s="796"/>
      <c r="Z32" s="665"/>
      <c r="AA32" s="1475">
        <f>ROUND(SUM(C32:Z32),0)</f>
        <v>0</v>
      </c>
      <c r="AB32" s="1224"/>
      <c r="AC32" s="1883"/>
    </row>
    <row r="33" spans="1:29" s="414" customFormat="1" ht="18">
      <c r="A33" s="645" t="s">
        <v>987</v>
      </c>
      <c r="B33" s="665"/>
      <c r="C33" s="796">
        <v>0</v>
      </c>
      <c r="D33" s="794"/>
      <c r="E33" s="796">
        <v>0</v>
      </c>
      <c r="F33" s="799"/>
      <c r="G33" s="796">
        <v>0</v>
      </c>
      <c r="H33" s="799"/>
      <c r="I33" s="3784">
        <v>0</v>
      </c>
      <c r="J33" s="800"/>
      <c r="K33" s="796">
        <v>0</v>
      </c>
      <c r="L33" s="799"/>
      <c r="M33" s="796">
        <v>0</v>
      </c>
      <c r="N33" s="800"/>
      <c r="O33" s="796">
        <v>0</v>
      </c>
      <c r="P33" s="800"/>
      <c r="Q33" s="796">
        <v>0</v>
      </c>
      <c r="R33" s="800"/>
      <c r="S33" s="796">
        <v>0</v>
      </c>
      <c r="T33" s="800"/>
      <c r="U33" s="796">
        <v>0</v>
      </c>
      <c r="V33" s="800"/>
      <c r="W33" s="796"/>
      <c r="X33" s="800"/>
      <c r="Y33" s="796"/>
      <c r="Z33" s="665"/>
      <c r="AA33" s="1475">
        <f>ROUND(SUM(C33:Z33),0)</f>
        <v>0</v>
      </c>
      <c r="AB33" s="1224"/>
      <c r="AC33" s="1883"/>
    </row>
    <row r="34" spans="1:29" s="412" customFormat="1" ht="18">
      <c r="A34" s="645" t="s">
        <v>561</v>
      </c>
      <c r="B34" s="665"/>
      <c r="C34" s="2154">
        <v>0</v>
      </c>
      <c r="D34" s="794"/>
      <c r="E34" s="2154">
        <v>0</v>
      </c>
      <c r="F34" s="794"/>
      <c r="G34" s="2154">
        <v>0</v>
      </c>
      <c r="H34" s="794"/>
      <c r="I34" s="3788">
        <v>0</v>
      </c>
      <c r="J34" s="795"/>
      <c r="K34" s="2154">
        <v>0</v>
      </c>
      <c r="L34" s="794"/>
      <c r="M34" s="2154">
        <v>0</v>
      </c>
      <c r="N34" s="795"/>
      <c r="O34" s="2154">
        <v>0</v>
      </c>
      <c r="P34" s="795"/>
      <c r="Q34" s="2154">
        <v>0</v>
      </c>
      <c r="R34" s="795"/>
      <c r="S34" s="2154">
        <v>0</v>
      </c>
      <c r="T34" s="795"/>
      <c r="U34" s="2154">
        <v>0</v>
      </c>
      <c r="V34" s="795"/>
      <c r="W34" s="2154"/>
      <c r="X34" s="795"/>
      <c r="Y34" s="2154"/>
      <c r="Z34" s="665"/>
      <c r="AA34" s="1475">
        <f>ROUND(SUM(C34:Z34),0)</f>
        <v>0</v>
      </c>
      <c r="AB34" s="1225"/>
      <c r="AC34" s="1884"/>
    </row>
    <row r="35" spans="1:29" s="412" customFormat="1" ht="18">
      <c r="A35" s="666" t="s">
        <v>879</v>
      </c>
      <c r="B35" s="665"/>
      <c r="C35" s="2155">
        <f>ROUND(SUM(C30:C34),0)</f>
        <v>0</v>
      </c>
      <c r="D35" s="645"/>
      <c r="E35" s="2155">
        <f>ROUND(SUM(E30:E34),0)</f>
        <v>0</v>
      </c>
      <c r="F35" s="645"/>
      <c r="G35" s="2155">
        <f>ROUND(SUM(G30:G34),0)</f>
        <v>0</v>
      </c>
      <c r="H35" s="645"/>
      <c r="I35" s="2155">
        <f>ROUND(SUM(I30:I34),0)</f>
        <v>0</v>
      </c>
      <c r="J35" s="645"/>
      <c r="K35" s="2155">
        <f>ROUND(SUM(K30:K34),0)</f>
        <v>0</v>
      </c>
      <c r="L35" s="645"/>
      <c r="M35" s="2155">
        <f>ROUND(SUM(M30:M34),0)</f>
        <v>0</v>
      </c>
      <c r="N35" s="645"/>
      <c r="O35" s="2155">
        <f>ROUND(SUM(O30:O34),0)</f>
        <v>0</v>
      </c>
      <c r="P35" s="645"/>
      <c r="Q35" s="2155">
        <f>ROUND(SUM(Q30:Q34),0)</f>
        <v>0</v>
      </c>
      <c r="R35" s="645"/>
      <c r="S35" s="2155">
        <f>ROUND(SUM(S30:S34),0)</f>
        <v>0</v>
      </c>
      <c r="T35" s="645"/>
      <c r="U35" s="2155">
        <f>ROUND(SUM(U30:U34),0)</f>
        <v>0</v>
      </c>
      <c r="V35" s="645"/>
      <c r="W35" s="2155">
        <f>ROUND(SUM(W30:W34),0)</f>
        <v>0</v>
      </c>
      <c r="X35" s="645"/>
      <c r="Y35" s="2155">
        <f>ROUND(SUM(Y30:Y34),0)</f>
        <v>0</v>
      </c>
      <c r="Z35" s="645"/>
      <c r="AA35" s="2155">
        <f>ROUND(SUM(AA30:AA34),0)</f>
        <v>0</v>
      </c>
      <c r="AB35" s="1225"/>
      <c r="AC35" s="1884"/>
    </row>
    <row r="36" spans="1:29" ht="18">
      <c r="A36" s="645"/>
      <c r="B36" s="665"/>
      <c r="C36" s="665"/>
      <c r="D36" s="665"/>
      <c r="E36" s="665"/>
      <c r="F36" s="665"/>
      <c r="G36" s="665"/>
      <c r="H36" s="665"/>
      <c r="I36" s="665"/>
      <c r="J36" s="665"/>
      <c r="K36" s="665"/>
      <c r="L36" s="665"/>
      <c r="M36" s="665"/>
      <c r="N36" s="665"/>
      <c r="O36" s="665"/>
      <c r="P36" s="665"/>
      <c r="Q36" s="665"/>
      <c r="R36" s="665"/>
      <c r="S36" s="665"/>
      <c r="T36" s="665"/>
      <c r="U36" s="665"/>
      <c r="V36" s="665"/>
      <c r="W36" s="665"/>
      <c r="X36" s="665"/>
      <c r="Y36" s="665"/>
      <c r="Z36" s="665"/>
      <c r="AA36" s="645"/>
      <c r="AB36" s="1225"/>
      <c r="AC36" s="1885"/>
    </row>
    <row r="37" spans="1:29" ht="18">
      <c r="A37" s="645"/>
      <c r="B37" s="665"/>
      <c r="C37" s="665"/>
      <c r="D37" s="665"/>
      <c r="E37" s="665"/>
      <c r="F37" s="665"/>
      <c r="G37" s="665"/>
      <c r="H37" s="665"/>
      <c r="I37" s="665"/>
      <c r="J37" s="665"/>
      <c r="K37" s="665"/>
      <c r="L37" s="665"/>
      <c r="M37" s="665"/>
      <c r="N37" s="665"/>
      <c r="O37" s="665"/>
      <c r="P37" s="665"/>
      <c r="Q37" s="665"/>
      <c r="R37" s="665"/>
      <c r="S37" s="2166"/>
      <c r="T37" s="665"/>
      <c r="U37" s="665"/>
      <c r="V37" s="665"/>
      <c r="W37" s="665"/>
      <c r="X37" s="665"/>
      <c r="Y37" s="665"/>
      <c r="Z37" s="665"/>
      <c r="AA37" s="645"/>
    </row>
    <row r="38" spans="1:29" s="416" customFormat="1" ht="18.75" thickBot="1">
      <c r="A38" s="666" t="s">
        <v>878</v>
      </c>
      <c r="B38" s="665"/>
      <c r="C38" s="1886">
        <f>ROUND(C25+C35,0)</f>
        <v>29871</v>
      </c>
      <c r="D38" s="645"/>
      <c r="E38" s="1886">
        <f>ROUND(E25+E35,0)</f>
        <v>14958</v>
      </c>
      <c r="F38" s="645"/>
      <c r="G38" s="1886">
        <f>ROUND(G25+G35,0)</f>
        <v>32138</v>
      </c>
      <c r="H38" s="645"/>
      <c r="I38" s="1886">
        <f>ROUND(I25+I35,0)</f>
        <v>22412</v>
      </c>
      <c r="J38" s="645"/>
      <c r="K38" s="1886">
        <f>ROUND(K25+K35,0)</f>
        <v>20451</v>
      </c>
      <c r="L38" s="645"/>
      <c r="M38" s="1886">
        <f>ROUND(M25+M35,0)</f>
        <v>20942</v>
      </c>
      <c r="N38" s="645"/>
      <c r="O38" s="1886">
        <f>ROUND(O25+O35,0)</f>
        <v>10436</v>
      </c>
      <c r="P38" s="645"/>
      <c r="Q38" s="1886">
        <f>ROUND(Q25+Q35,0)</f>
        <v>37350</v>
      </c>
      <c r="R38" s="645"/>
      <c r="S38" s="1886">
        <f>ROUND(S25+S35,0)</f>
        <v>17520</v>
      </c>
      <c r="T38" s="645"/>
      <c r="U38" s="1886">
        <f>ROUND(U25+U35,0)</f>
        <v>26305</v>
      </c>
      <c r="V38" s="645"/>
      <c r="W38" s="1886">
        <f>ROUND(W25+W35,0)</f>
        <v>0</v>
      </c>
      <c r="X38" s="645"/>
      <c r="Y38" s="1886">
        <f>ROUND(Y25+Y35,0)</f>
        <v>0</v>
      </c>
      <c r="Z38" s="645"/>
      <c r="AA38" s="1886">
        <f>ROUND(AA25+AA35,0)</f>
        <v>232383</v>
      </c>
    </row>
    <row r="39" spans="1:29" ht="15.75" thickTop="1">
      <c r="A39" s="1226"/>
      <c r="C39" s="417"/>
      <c r="D39" s="417"/>
      <c r="E39" s="417"/>
      <c r="F39" s="417"/>
      <c r="G39" s="417"/>
      <c r="H39" s="417"/>
      <c r="I39" s="417"/>
      <c r="J39" s="417"/>
      <c r="K39" s="417"/>
      <c r="L39" s="417"/>
      <c r="M39" s="417"/>
      <c r="N39" s="417"/>
      <c r="O39" s="417"/>
      <c r="P39" s="417"/>
      <c r="Q39" s="417"/>
      <c r="R39" s="417"/>
      <c r="S39" s="417"/>
      <c r="T39" s="417"/>
      <c r="U39" s="417"/>
      <c r="V39" s="417"/>
      <c r="W39" s="417"/>
      <c r="X39" s="417"/>
      <c r="Y39" s="418"/>
      <c r="AA39" s="415"/>
    </row>
    <row r="40" spans="1:29" ht="13.5" thickBot="1"/>
    <row r="41" spans="1:29" ht="20.100000000000001" customHeight="1">
      <c r="A41" s="3979" t="s">
        <v>562</v>
      </c>
      <c r="B41" s="3980"/>
      <c r="C41" s="3980"/>
      <c r="D41" s="3980"/>
      <c r="E41" s="3980"/>
      <c r="F41" s="3980"/>
      <c r="G41" s="3980"/>
      <c r="H41" s="3980"/>
      <c r="I41" s="3980"/>
      <c r="J41" s="3980"/>
      <c r="K41" s="3980"/>
      <c r="L41" s="3980"/>
      <c r="M41" s="3980"/>
      <c r="N41" s="3980"/>
      <c r="O41" s="3980"/>
      <c r="P41" s="3980"/>
      <c r="Q41" s="3980"/>
      <c r="R41" s="3980"/>
      <c r="S41" s="3980"/>
      <c r="T41" s="3980"/>
      <c r="U41" s="3980"/>
      <c r="V41" s="3980"/>
      <c r="W41" s="3980"/>
      <c r="X41" s="3980"/>
      <c r="Y41" s="3980"/>
      <c r="Z41" s="3980"/>
      <c r="AA41" s="3981"/>
    </row>
    <row r="42" spans="1:29" ht="20.100000000000001" customHeight="1">
      <c r="A42" s="3982"/>
      <c r="B42" s="3983"/>
      <c r="C42" s="3983"/>
      <c r="D42" s="3983"/>
      <c r="E42" s="3983"/>
      <c r="F42" s="3983"/>
      <c r="G42" s="3983"/>
      <c r="H42" s="3983"/>
      <c r="I42" s="3983"/>
      <c r="J42" s="3983"/>
      <c r="K42" s="3983"/>
      <c r="L42" s="3983"/>
      <c r="M42" s="3983"/>
      <c r="N42" s="3983"/>
      <c r="O42" s="3983"/>
      <c r="P42" s="3983"/>
      <c r="Q42" s="3983"/>
      <c r="R42" s="3983"/>
      <c r="S42" s="3983"/>
      <c r="T42" s="3983"/>
      <c r="U42" s="3983"/>
      <c r="V42" s="3983"/>
      <c r="W42" s="3983"/>
      <c r="X42" s="3983"/>
      <c r="Y42" s="3983"/>
      <c r="Z42" s="3983"/>
      <c r="AA42" s="3984"/>
    </row>
    <row r="43" spans="1:29" ht="20.100000000000001" customHeight="1">
      <c r="A43" s="3982"/>
      <c r="B43" s="3983"/>
      <c r="C43" s="3983"/>
      <c r="D43" s="3983"/>
      <c r="E43" s="3983"/>
      <c r="F43" s="3983"/>
      <c r="G43" s="3983"/>
      <c r="H43" s="3983"/>
      <c r="I43" s="3983"/>
      <c r="J43" s="3983"/>
      <c r="K43" s="3983"/>
      <c r="L43" s="3983"/>
      <c r="M43" s="3983"/>
      <c r="N43" s="3983"/>
      <c r="O43" s="3983"/>
      <c r="P43" s="3983"/>
      <c r="Q43" s="3983"/>
      <c r="R43" s="3983"/>
      <c r="S43" s="3983"/>
      <c r="T43" s="3983"/>
      <c r="U43" s="3983"/>
      <c r="V43" s="3983"/>
      <c r="W43" s="3983"/>
      <c r="X43" s="3983"/>
      <c r="Y43" s="3983"/>
      <c r="Z43" s="3983"/>
      <c r="AA43" s="3984"/>
    </row>
    <row r="44" spans="1:29" ht="22.5" customHeight="1" thickBot="1">
      <c r="A44" s="3985"/>
      <c r="B44" s="3986"/>
      <c r="C44" s="3986"/>
      <c r="D44" s="3986"/>
      <c r="E44" s="3986"/>
      <c r="F44" s="3986"/>
      <c r="G44" s="3986"/>
      <c r="H44" s="3986"/>
      <c r="I44" s="3986"/>
      <c r="J44" s="3986"/>
      <c r="K44" s="3986"/>
      <c r="L44" s="3986"/>
      <c r="M44" s="3986"/>
      <c r="N44" s="3986"/>
      <c r="O44" s="3986"/>
      <c r="P44" s="3986"/>
      <c r="Q44" s="3986"/>
      <c r="R44" s="3986"/>
      <c r="S44" s="3986"/>
      <c r="T44" s="3986"/>
      <c r="U44" s="3986"/>
      <c r="V44" s="3986"/>
      <c r="W44" s="3986"/>
      <c r="X44" s="3986"/>
      <c r="Y44" s="3986"/>
      <c r="Z44" s="3986"/>
      <c r="AA44" s="3987"/>
    </row>
    <row r="46" spans="1:29" ht="14.85" customHeight="1"/>
    <row r="49" ht="14.1" customHeight="1"/>
  </sheetData>
  <mergeCells count="1">
    <mergeCell ref="A41:AA44"/>
  </mergeCells>
  <pageMargins left="0.25" right="0.25" top="0.5" bottom="0.25" header="0" footer="0.25"/>
  <pageSetup scale="49" firstPageNumber="51"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1:R294"/>
  <sheetViews>
    <sheetView showGridLines="0" zoomScale="80" zoomScaleNormal="70" workbookViewId="0"/>
  </sheetViews>
  <sheetFormatPr defaultRowHeight="15"/>
  <cols>
    <col min="1" max="1" width="2.109375" style="2869" customWidth="1"/>
    <col min="2" max="2" width="10.109375" style="2869" customWidth="1"/>
    <col min="3" max="3" width="2.109375" style="3003" customWidth="1"/>
    <col min="4" max="4" width="50.44140625" style="2869" customWidth="1"/>
    <col min="5" max="5" width="8.6640625" style="3003" customWidth="1"/>
    <col min="6" max="6" width="2.109375" style="3004" customWidth="1"/>
    <col min="7" max="7" width="20.6640625" style="3005" customWidth="1"/>
    <col min="8" max="8" width="2.109375" style="3003" customWidth="1"/>
    <col min="9" max="9" width="20.6640625" style="2869" customWidth="1"/>
    <col min="10" max="10" width="2.109375" style="3003" customWidth="1"/>
    <col min="11" max="11" width="20.6640625" style="2869" customWidth="1"/>
    <col min="12" max="12" width="2.109375" style="3003" customWidth="1"/>
    <col min="13" max="13" width="20.6640625" style="2869" customWidth="1"/>
    <col min="14" max="14" width="2.109375" style="3003" customWidth="1"/>
    <col min="15" max="15" width="20.6640625" style="3621" customWidth="1"/>
    <col min="16" max="16" width="6.109375" style="2869" bestFit="1" customWidth="1"/>
    <col min="17" max="17" width="13.109375" style="2869" bestFit="1" customWidth="1"/>
    <col min="18" max="255" width="8.6640625" style="2869"/>
    <col min="256" max="257" width="8.6640625" style="2869" customWidth="1"/>
    <col min="258" max="258" width="10.109375" style="2869" customWidth="1"/>
    <col min="259" max="259" width="2.109375" style="2869" customWidth="1"/>
    <col min="260" max="260" width="50.44140625" style="2869" customWidth="1"/>
    <col min="261" max="261" width="8.6640625" style="2869"/>
    <col min="262" max="262" width="2.109375" style="2869" customWidth="1"/>
    <col min="263" max="263" width="23.6640625" style="2869" customWidth="1"/>
    <col min="264" max="264" width="2.109375" style="2869" customWidth="1"/>
    <col min="265" max="265" width="23.6640625" style="2869" customWidth="1"/>
    <col min="266" max="266" width="2.109375" style="2869" customWidth="1"/>
    <col min="267" max="267" width="23.6640625" style="2869" customWidth="1"/>
    <col min="268" max="268" width="2.109375" style="2869" customWidth="1"/>
    <col min="269" max="269" width="23.6640625" style="2869" customWidth="1"/>
    <col min="270" max="270" width="2.109375" style="2869" customWidth="1"/>
    <col min="271" max="271" width="23.6640625" style="2869" customWidth="1"/>
    <col min="272" max="272" width="2.6640625" style="2869" bestFit="1" customWidth="1"/>
    <col min="273" max="511" width="8.6640625" style="2869"/>
    <col min="512" max="513" width="8.6640625" style="2869" customWidth="1"/>
    <col min="514" max="514" width="10.109375" style="2869" customWidth="1"/>
    <col min="515" max="515" width="2.109375" style="2869" customWidth="1"/>
    <col min="516" max="516" width="50.44140625" style="2869" customWidth="1"/>
    <col min="517" max="517" width="8.6640625" style="2869"/>
    <col min="518" max="518" width="2.109375" style="2869" customWidth="1"/>
    <col min="519" max="519" width="23.6640625" style="2869" customWidth="1"/>
    <col min="520" max="520" width="2.109375" style="2869" customWidth="1"/>
    <col min="521" max="521" width="23.6640625" style="2869" customWidth="1"/>
    <col min="522" max="522" width="2.109375" style="2869" customWidth="1"/>
    <col min="523" max="523" width="23.6640625" style="2869" customWidth="1"/>
    <col min="524" max="524" width="2.109375" style="2869" customWidth="1"/>
    <col min="525" max="525" width="23.6640625" style="2869" customWidth="1"/>
    <col min="526" max="526" width="2.109375" style="2869" customWidth="1"/>
    <col min="527" max="527" width="23.6640625" style="2869" customWidth="1"/>
    <col min="528" max="528" width="2.6640625" style="2869" bestFit="1" customWidth="1"/>
    <col min="529" max="767" width="8.6640625" style="2869"/>
    <col min="768" max="769" width="8.6640625" style="2869" customWidth="1"/>
    <col min="770" max="770" width="10.109375" style="2869" customWidth="1"/>
    <col min="771" max="771" width="2.109375" style="2869" customWidth="1"/>
    <col min="772" max="772" width="50.44140625" style="2869" customWidth="1"/>
    <col min="773" max="773" width="8.6640625" style="2869"/>
    <col min="774" max="774" width="2.109375" style="2869" customWidth="1"/>
    <col min="775" max="775" width="23.6640625" style="2869" customWidth="1"/>
    <col min="776" max="776" width="2.109375" style="2869" customWidth="1"/>
    <col min="777" max="777" width="23.6640625" style="2869" customWidth="1"/>
    <col min="778" max="778" width="2.109375" style="2869" customWidth="1"/>
    <col min="779" max="779" width="23.6640625" style="2869" customWidth="1"/>
    <col min="780" max="780" width="2.109375" style="2869" customWidth="1"/>
    <col min="781" max="781" width="23.6640625" style="2869" customWidth="1"/>
    <col min="782" max="782" width="2.109375" style="2869" customWidth="1"/>
    <col min="783" max="783" width="23.6640625" style="2869" customWidth="1"/>
    <col min="784" max="784" width="2.6640625" style="2869" bestFit="1" customWidth="1"/>
    <col min="785" max="1023" width="8.6640625" style="2869"/>
    <col min="1024" max="1025" width="8.6640625" style="2869" customWidth="1"/>
    <col min="1026" max="1026" width="10.109375" style="2869" customWidth="1"/>
    <col min="1027" max="1027" width="2.109375" style="2869" customWidth="1"/>
    <col min="1028" max="1028" width="50.44140625" style="2869" customWidth="1"/>
    <col min="1029" max="1029" width="8.6640625" style="2869"/>
    <col min="1030" max="1030" width="2.109375" style="2869" customWidth="1"/>
    <col min="1031" max="1031" width="23.6640625" style="2869" customWidth="1"/>
    <col min="1032" max="1032" width="2.109375" style="2869" customWidth="1"/>
    <col min="1033" max="1033" width="23.6640625" style="2869" customWidth="1"/>
    <col min="1034" max="1034" width="2.109375" style="2869" customWidth="1"/>
    <col min="1035" max="1035" width="23.6640625" style="2869" customWidth="1"/>
    <col min="1036" max="1036" width="2.109375" style="2869" customWidth="1"/>
    <col min="1037" max="1037" width="23.6640625" style="2869" customWidth="1"/>
    <col min="1038" max="1038" width="2.109375" style="2869" customWidth="1"/>
    <col min="1039" max="1039" width="23.6640625" style="2869" customWidth="1"/>
    <col min="1040" max="1040" width="2.6640625" style="2869" bestFit="1" customWidth="1"/>
    <col min="1041" max="1279" width="8.6640625" style="2869"/>
    <col min="1280" max="1281" width="8.6640625" style="2869" customWidth="1"/>
    <col min="1282" max="1282" width="10.109375" style="2869" customWidth="1"/>
    <col min="1283" max="1283" width="2.109375" style="2869" customWidth="1"/>
    <col min="1284" max="1284" width="50.44140625" style="2869" customWidth="1"/>
    <col min="1285" max="1285" width="8.6640625" style="2869"/>
    <col min="1286" max="1286" width="2.109375" style="2869" customWidth="1"/>
    <col min="1287" max="1287" width="23.6640625" style="2869" customWidth="1"/>
    <col min="1288" max="1288" width="2.109375" style="2869" customWidth="1"/>
    <col min="1289" max="1289" width="23.6640625" style="2869" customWidth="1"/>
    <col min="1290" max="1290" width="2.109375" style="2869" customWidth="1"/>
    <col min="1291" max="1291" width="23.6640625" style="2869" customWidth="1"/>
    <col min="1292" max="1292" width="2.109375" style="2869" customWidth="1"/>
    <col min="1293" max="1293" width="23.6640625" style="2869" customWidth="1"/>
    <col min="1294" max="1294" width="2.109375" style="2869" customWidth="1"/>
    <col min="1295" max="1295" width="23.6640625" style="2869" customWidth="1"/>
    <col min="1296" max="1296" width="2.6640625" style="2869" bestFit="1" customWidth="1"/>
    <col min="1297" max="1535" width="8.6640625" style="2869"/>
    <col min="1536" max="1537" width="8.6640625" style="2869" customWidth="1"/>
    <col min="1538" max="1538" width="10.109375" style="2869" customWidth="1"/>
    <col min="1539" max="1539" width="2.109375" style="2869" customWidth="1"/>
    <col min="1540" max="1540" width="50.44140625" style="2869" customWidth="1"/>
    <col min="1541" max="1541" width="8.6640625" style="2869"/>
    <col min="1542" max="1542" width="2.109375" style="2869" customWidth="1"/>
    <col min="1543" max="1543" width="23.6640625" style="2869" customWidth="1"/>
    <col min="1544" max="1544" width="2.109375" style="2869" customWidth="1"/>
    <col min="1545" max="1545" width="23.6640625" style="2869" customWidth="1"/>
    <col min="1546" max="1546" width="2.109375" style="2869" customWidth="1"/>
    <col min="1547" max="1547" width="23.6640625" style="2869" customWidth="1"/>
    <col min="1548" max="1548" width="2.109375" style="2869" customWidth="1"/>
    <col min="1549" max="1549" width="23.6640625" style="2869" customWidth="1"/>
    <col min="1550" max="1550" width="2.109375" style="2869" customWidth="1"/>
    <col min="1551" max="1551" width="23.6640625" style="2869" customWidth="1"/>
    <col min="1552" max="1552" width="2.6640625" style="2869" bestFit="1" customWidth="1"/>
    <col min="1553" max="1791" width="8.6640625" style="2869"/>
    <col min="1792" max="1793" width="8.6640625" style="2869" customWidth="1"/>
    <col min="1794" max="1794" width="10.109375" style="2869" customWidth="1"/>
    <col min="1795" max="1795" width="2.109375" style="2869" customWidth="1"/>
    <col min="1796" max="1796" width="50.44140625" style="2869" customWidth="1"/>
    <col min="1797" max="1797" width="8.6640625" style="2869"/>
    <col min="1798" max="1798" width="2.109375" style="2869" customWidth="1"/>
    <col min="1799" max="1799" width="23.6640625" style="2869" customWidth="1"/>
    <col min="1800" max="1800" width="2.109375" style="2869" customWidth="1"/>
    <col min="1801" max="1801" width="23.6640625" style="2869" customWidth="1"/>
    <col min="1802" max="1802" width="2.109375" style="2869" customWidth="1"/>
    <col min="1803" max="1803" width="23.6640625" style="2869" customWidth="1"/>
    <col min="1804" max="1804" width="2.109375" style="2869" customWidth="1"/>
    <col min="1805" max="1805" width="23.6640625" style="2869" customWidth="1"/>
    <col min="1806" max="1806" width="2.109375" style="2869" customWidth="1"/>
    <col min="1807" max="1807" width="23.6640625" style="2869" customWidth="1"/>
    <col min="1808" max="1808" width="2.6640625" style="2869" bestFit="1" customWidth="1"/>
    <col min="1809" max="2047" width="8.6640625" style="2869"/>
    <col min="2048" max="2049" width="8.6640625" style="2869" customWidth="1"/>
    <col min="2050" max="2050" width="10.109375" style="2869" customWidth="1"/>
    <col min="2051" max="2051" width="2.109375" style="2869" customWidth="1"/>
    <col min="2052" max="2052" width="50.44140625" style="2869" customWidth="1"/>
    <col min="2053" max="2053" width="8.6640625" style="2869"/>
    <col min="2054" max="2054" width="2.109375" style="2869" customWidth="1"/>
    <col min="2055" max="2055" width="23.6640625" style="2869" customWidth="1"/>
    <col min="2056" max="2056" width="2.109375" style="2869" customWidth="1"/>
    <col min="2057" max="2057" width="23.6640625" style="2869" customWidth="1"/>
    <col min="2058" max="2058" width="2.109375" style="2869" customWidth="1"/>
    <col min="2059" max="2059" width="23.6640625" style="2869" customWidth="1"/>
    <col min="2060" max="2060" width="2.109375" style="2869" customWidth="1"/>
    <col min="2061" max="2061" width="23.6640625" style="2869" customWidth="1"/>
    <col min="2062" max="2062" width="2.109375" style="2869" customWidth="1"/>
    <col min="2063" max="2063" width="23.6640625" style="2869" customWidth="1"/>
    <col min="2064" max="2064" width="2.6640625" style="2869" bestFit="1" customWidth="1"/>
    <col min="2065" max="2303" width="8.6640625" style="2869"/>
    <col min="2304" max="2305" width="8.6640625" style="2869" customWidth="1"/>
    <col min="2306" max="2306" width="10.109375" style="2869" customWidth="1"/>
    <col min="2307" max="2307" width="2.109375" style="2869" customWidth="1"/>
    <col min="2308" max="2308" width="50.44140625" style="2869" customWidth="1"/>
    <col min="2309" max="2309" width="8.6640625" style="2869"/>
    <col min="2310" max="2310" width="2.109375" style="2869" customWidth="1"/>
    <col min="2311" max="2311" width="23.6640625" style="2869" customWidth="1"/>
    <col min="2312" max="2312" width="2.109375" style="2869" customWidth="1"/>
    <col min="2313" max="2313" width="23.6640625" style="2869" customWidth="1"/>
    <col min="2314" max="2314" width="2.109375" style="2869" customWidth="1"/>
    <col min="2315" max="2315" width="23.6640625" style="2869" customWidth="1"/>
    <col min="2316" max="2316" width="2.109375" style="2869" customWidth="1"/>
    <col min="2317" max="2317" width="23.6640625" style="2869" customWidth="1"/>
    <col min="2318" max="2318" width="2.109375" style="2869" customWidth="1"/>
    <col min="2319" max="2319" width="23.6640625" style="2869" customWidth="1"/>
    <col min="2320" max="2320" width="2.6640625" style="2869" bestFit="1" customWidth="1"/>
    <col min="2321" max="2559" width="8.6640625" style="2869"/>
    <col min="2560" max="2561" width="8.6640625" style="2869" customWidth="1"/>
    <col min="2562" max="2562" width="10.109375" style="2869" customWidth="1"/>
    <col min="2563" max="2563" width="2.109375" style="2869" customWidth="1"/>
    <col min="2564" max="2564" width="50.44140625" style="2869" customWidth="1"/>
    <col min="2565" max="2565" width="8.6640625" style="2869"/>
    <col min="2566" max="2566" width="2.109375" style="2869" customWidth="1"/>
    <col min="2567" max="2567" width="23.6640625" style="2869" customWidth="1"/>
    <col min="2568" max="2568" width="2.109375" style="2869" customWidth="1"/>
    <col min="2569" max="2569" width="23.6640625" style="2869" customWidth="1"/>
    <col min="2570" max="2570" width="2.109375" style="2869" customWidth="1"/>
    <col min="2571" max="2571" width="23.6640625" style="2869" customWidth="1"/>
    <col min="2572" max="2572" width="2.109375" style="2869" customWidth="1"/>
    <col min="2573" max="2573" width="23.6640625" style="2869" customWidth="1"/>
    <col min="2574" max="2574" width="2.109375" style="2869" customWidth="1"/>
    <col min="2575" max="2575" width="23.6640625" style="2869" customWidth="1"/>
    <col min="2576" max="2576" width="2.6640625" style="2869" bestFit="1" customWidth="1"/>
    <col min="2577" max="2815" width="8.6640625" style="2869"/>
    <col min="2816" max="2817" width="8.6640625" style="2869" customWidth="1"/>
    <col min="2818" max="2818" width="10.109375" style="2869" customWidth="1"/>
    <col min="2819" max="2819" width="2.109375" style="2869" customWidth="1"/>
    <col min="2820" max="2820" width="50.44140625" style="2869" customWidth="1"/>
    <col min="2821" max="2821" width="8.6640625" style="2869"/>
    <col min="2822" max="2822" width="2.109375" style="2869" customWidth="1"/>
    <col min="2823" max="2823" width="23.6640625" style="2869" customWidth="1"/>
    <col min="2824" max="2824" width="2.109375" style="2869" customWidth="1"/>
    <col min="2825" max="2825" width="23.6640625" style="2869" customWidth="1"/>
    <col min="2826" max="2826" width="2.109375" style="2869" customWidth="1"/>
    <col min="2827" max="2827" width="23.6640625" style="2869" customWidth="1"/>
    <col min="2828" max="2828" width="2.109375" style="2869" customWidth="1"/>
    <col min="2829" max="2829" width="23.6640625" style="2869" customWidth="1"/>
    <col min="2830" max="2830" width="2.109375" style="2869" customWidth="1"/>
    <col min="2831" max="2831" width="23.6640625" style="2869" customWidth="1"/>
    <col min="2832" max="2832" width="2.6640625" style="2869" bestFit="1" customWidth="1"/>
    <col min="2833" max="3071" width="8.6640625" style="2869"/>
    <col min="3072" max="3073" width="8.6640625" style="2869" customWidth="1"/>
    <col min="3074" max="3074" width="10.109375" style="2869" customWidth="1"/>
    <col min="3075" max="3075" width="2.109375" style="2869" customWidth="1"/>
    <col min="3076" max="3076" width="50.44140625" style="2869" customWidth="1"/>
    <col min="3077" max="3077" width="8.6640625" style="2869"/>
    <col min="3078" max="3078" width="2.109375" style="2869" customWidth="1"/>
    <col min="3079" max="3079" width="23.6640625" style="2869" customWidth="1"/>
    <col min="3080" max="3080" width="2.109375" style="2869" customWidth="1"/>
    <col min="3081" max="3081" width="23.6640625" style="2869" customWidth="1"/>
    <col min="3082" max="3082" width="2.109375" style="2869" customWidth="1"/>
    <col min="3083" max="3083" width="23.6640625" style="2869" customWidth="1"/>
    <col min="3084" max="3084" width="2.109375" style="2869" customWidth="1"/>
    <col min="3085" max="3085" width="23.6640625" style="2869" customWidth="1"/>
    <col min="3086" max="3086" width="2.109375" style="2869" customWidth="1"/>
    <col min="3087" max="3087" width="23.6640625" style="2869" customWidth="1"/>
    <col min="3088" max="3088" width="2.6640625" style="2869" bestFit="1" customWidth="1"/>
    <col min="3089" max="3327" width="8.6640625" style="2869"/>
    <col min="3328" max="3329" width="8.6640625" style="2869" customWidth="1"/>
    <col min="3330" max="3330" width="10.109375" style="2869" customWidth="1"/>
    <col min="3331" max="3331" width="2.109375" style="2869" customWidth="1"/>
    <col min="3332" max="3332" width="50.44140625" style="2869" customWidth="1"/>
    <col min="3333" max="3333" width="8.6640625" style="2869"/>
    <col min="3334" max="3334" width="2.109375" style="2869" customWidth="1"/>
    <col min="3335" max="3335" width="23.6640625" style="2869" customWidth="1"/>
    <col min="3336" max="3336" width="2.109375" style="2869" customWidth="1"/>
    <col min="3337" max="3337" width="23.6640625" style="2869" customWidth="1"/>
    <col min="3338" max="3338" width="2.109375" style="2869" customWidth="1"/>
    <col min="3339" max="3339" width="23.6640625" style="2869" customWidth="1"/>
    <col min="3340" max="3340" width="2.109375" style="2869" customWidth="1"/>
    <col min="3341" max="3341" width="23.6640625" style="2869" customWidth="1"/>
    <col min="3342" max="3342" width="2.109375" style="2869" customWidth="1"/>
    <col min="3343" max="3343" width="23.6640625" style="2869" customWidth="1"/>
    <col min="3344" max="3344" width="2.6640625" style="2869" bestFit="1" customWidth="1"/>
    <col min="3345" max="3583" width="8.6640625" style="2869"/>
    <col min="3584" max="3585" width="8.6640625" style="2869" customWidth="1"/>
    <col min="3586" max="3586" width="10.109375" style="2869" customWidth="1"/>
    <col min="3587" max="3587" width="2.109375" style="2869" customWidth="1"/>
    <col min="3588" max="3588" width="50.44140625" style="2869" customWidth="1"/>
    <col min="3589" max="3589" width="8.6640625" style="2869"/>
    <col min="3590" max="3590" width="2.109375" style="2869" customWidth="1"/>
    <col min="3591" max="3591" width="23.6640625" style="2869" customWidth="1"/>
    <col min="3592" max="3592" width="2.109375" style="2869" customWidth="1"/>
    <col min="3593" max="3593" width="23.6640625" style="2869" customWidth="1"/>
    <col min="3594" max="3594" width="2.109375" style="2869" customWidth="1"/>
    <col min="3595" max="3595" width="23.6640625" style="2869" customWidth="1"/>
    <col min="3596" max="3596" width="2.109375" style="2869" customWidth="1"/>
    <col min="3597" max="3597" width="23.6640625" style="2869" customWidth="1"/>
    <col min="3598" max="3598" width="2.109375" style="2869" customWidth="1"/>
    <col min="3599" max="3599" width="23.6640625" style="2869" customWidth="1"/>
    <col min="3600" max="3600" width="2.6640625" style="2869" bestFit="1" customWidth="1"/>
    <col min="3601" max="3839" width="8.6640625" style="2869"/>
    <col min="3840" max="3841" width="8.6640625" style="2869" customWidth="1"/>
    <col min="3842" max="3842" width="10.109375" style="2869" customWidth="1"/>
    <col min="3843" max="3843" width="2.109375" style="2869" customWidth="1"/>
    <col min="3844" max="3844" width="50.44140625" style="2869" customWidth="1"/>
    <col min="3845" max="3845" width="8.6640625" style="2869"/>
    <col min="3846" max="3846" width="2.109375" style="2869" customWidth="1"/>
    <col min="3847" max="3847" width="23.6640625" style="2869" customWidth="1"/>
    <col min="3848" max="3848" width="2.109375" style="2869" customWidth="1"/>
    <col min="3849" max="3849" width="23.6640625" style="2869" customWidth="1"/>
    <col min="3850" max="3850" width="2.109375" style="2869" customWidth="1"/>
    <col min="3851" max="3851" width="23.6640625" style="2869" customWidth="1"/>
    <col min="3852" max="3852" width="2.109375" style="2869" customWidth="1"/>
    <col min="3853" max="3853" width="23.6640625" style="2869" customWidth="1"/>
    <col min="3854" max="3854" width="2.109375" style="2869" customWidth="1"/>
    <col min="3855" max="3855" width="23.6640625" style="2869" customWidth="1"/>
    <col min="3856" max="3856" width="2.6640625" style="2869" bestFit="1" customWidth="1"/>
    <col min="3857" max="4095" width="8.6640625" style="2869"/>
    <col min="4096" max="4097" width="8.6640625" style="2869" customWidth="1"/>
    <col min="4098" max="4098" width="10.109375" style="2869" customWidth="1"/>
    <col min="4099" max="4099" width="2.109375" style="2869" customWidth="1"/>
    <col min="4100" max="4100" width="50.44140625" style="2869" customWidth="1"/>
    <col min="4101" max="4101" width="8.6640625" style="2869"/>
    <col min="4102" max="4102" width="2.109375" style="2869" customWidth="1"/>
    <col min="4103" max="4103" width="23.6640625" style="2869" customWidth="1"/>
    <col min="4104" max="4104" width="2.109375" style="2869" customWidth="1"/>
    <col min="4105" max="4105" width="23.6640625" style="2869" customWidth="1"/>
    <col min="4106" max="4106" width="2.109375" style="2869" customWidth="1"/>
    <col min="4107" max="4107" width="23.6640625" style="2869" customWidth="1"/>
    <col min="4108" max="4108" width="2.109375" style="2869" customWidth="1"/>
    <col min="4109" max="4109" width="23.6640625" style="2869" customWidth="1"/>
    <col min="4110" max="4110" width="2.109375" style="2869" customWidth="1"/>
    <col min="4111" max="4111" width="23.6640625" style="2869" customWidth="1"/>
    <col min="4112" max="4112" width="2.6640625" style="2869" bestFit="1" customWidth="1"/>
    <col min="4113" max="4351" width="8.6640625" style="2869"/>
    <col min="4352" max="4353" width="8.6640625" style="2869" customWidth="1"/>
    <col min="4354" max="4354" width="10.109375" style="2869" customWidth="1"/>
    <col min="4355" max="4355" width="2.109375" style="2869" customWidth="1"/>
    <col min="4356" max="4356" width="50.44140625" style="2869" customWidth="1"/>
    <col min="4357" max="4357" width="8.6640625" style="2869"/>
    <col min="4358" max="4358" width="2.109375" style="2869" customWidth="1"/>
    <col min="4359" max="4359" width="23.6640625" style="2869" customWidth="1"/>
    <col min="4360" max="4360" width="2.109375" style="2869" customWidth="1"/>
    <col min="4361" max="4361" width="23.6640625" style="2869" customWidth="1"/>
    <col min="4362" max="4362" width="2.109375" style="2869" customWidth="1"/>
    <col min="4363" max="4363" width="23.6640625" style="2869" customWidth="1"/>
    <col min="4364" max="4364" width="2.109375" style="2869" customWidth="1"/>
    <col min="4365" max="4365" width="23.6640625" style="2869" customWidth="1"/>
    <col min="4366" max="4366" width="2.109375" style="2869" customWidth="1"/>
    <col min="4367" max="4367" width="23.6640625" style="2869" customWidth="1"/>
    <col min="4368" max="4368" width="2.6640625" style="2869" bestFit="1" customWidth="1"/>
    <col min="4369" max="4607" width="8.6640625" style="2869"/>
    <col min="4608" max="4609" width="8.6640625" style="2869" customWidth="1"/>
    <col min="4610" max="4610" width="10.109375" style="2869" customWidth="1"/>
    <col min="4611" max="4611" width="2.109375" style="2869" customWidth="1"/>
    <col min="4612" max="4612" width="50.44140625" style="2869" customWidth="1"/>
    <col min="4613" max="4613" width="8.6640625" style="2869"/>
    <col min="4614" max="4614" width="2.109375" style="2869" customWidth="1"/>
    <col min="4615" max="4615" width="23.6640625" style="2869" customWidth="1"/>
    <col min="4616" max="4616" width="2.109375" style="2869" customWidth="1"/>
    <col min="4617" max="4617" width="23.6640625" style="2869" customWidth="1"/>
    <col min="4618" max="4618" width="2.109375" style="2869" customWidth="1"/>
    <col min="4619" max="4619" width="23.6640625" style="2869" customWidth="1"/>
    <col min="4620" max="4620" width="2.109375" style="2869" customWidth="1"/>
    <col min="4621" max="4621" width="23.6640625" style="2869" customWidth="1"/>
    <col min="4622" max="4622" width="2.109375" style="2869" customWidth="1"/>
    <col min="4623" max="4623" width="23.6640625" style="2869" customWidth="1"/>
    <col min="4624" max="4624" width="2.6640625" style="2869" bestFit="1" customWidth="1"/>
    <col min="4625" max="4863" width="8.6640625" style="2869"/>
    <col min="4864" max="4865" width="8.6640625" style="2869" customWidth="1"/>
    <col min="4866" max="4866" width="10.109375" style="2869" customWidth="1"/>
    <col min="4867" max="4867" width="2.109375" style="2869" customWidth="1"/>
    <col min="4868" max="4868" width="50.44140625" style="2869" customWidth="1"/>
    <col min="4869" max="4869" width="8.6640625" style="2869"/>
    <col min="4870" max="4870" width="2.109375" style="2869" customWidth="1"/>
    <col min="4871" max="4871" width="23.6640625" style="2869" customWidth="1"/>
    <col min="4872" max="4872" width="2.109375" style="2869" customWidth="1"/>
    <col min="4873" max="4873" width="23.6640625" style="2869" customWidth="1"/>
    <col min="4874" max="4874" width="2.109375" style="2869" customWidth="1"/>
    <col min="4875" max="4875" width="23.6640625" style="2869" customWidth="1"/>
    <col min="4876" max="4876" width="2.109375" style="2869" customWidth="1"/>
    <col min="4877" max="4877" width="23.6640625" style="2869" customWidth="1"/>
    <col min="4878" max="4878" width="2.109375" style="2869" customWidth="1"/>
    <col min="4879" max="4879" width="23.6640625" style="2869" customWidth="1"/>
    <col min="4880" max="4880" width="2.6640625" style="2869" bestFit="1" customWidth="1"/>
    <col min="4881" max="5119" width="8.6640625" style="2869"/>
    <col min="5120" max="5121" width="8.6640625" style="2869" customWidth="1"/>
    <col min="5122" max="5122" width="10.109375" style="2869" customWidth="1"/>
    <col min="5123" max="5123" width="2.109375" style="2869" customWidth="1"/>
    <col min="5124" max="5124" width="50.44140625" style="2869" customWidth="1"/>
    <col min="5125" max="5125" width="8.6640625" style="2869"/>
    <col min="5126" max="5126" width="2.109375" style="2869" customWidth="1"/>
    <col min="5127" max="5127" width="23.6640625" style="2869" customWidth="1"/>
    <col min="5128" max="5128" width="2.109375" style="2869" customWidth="1"/>
    <col min="5129" max="5129" width="23.6640625" style="2869" customWidth="1"/>
    <col min="5130" max="5130" width="2.109375" style="2869" customWidth="1"/>
    <col min="5131" max="5131" width="23.6640625" style="2869" customWidth="1"/>
    <col min="5132" max="5132" width="2.109375" style="2869" customWidth="1"/>
    <col min="5133" max="5133" width="23.6640625" style="2869" customWidth="1"/>
    <col min="5134" max="5134" width="2.109375" style="2869" customWidth="1"/>
    <col min="5135" max="5135" width="23.6640625" style="2869" customWidth="1"/>
    <col min="5136" max="5136" width="2.6640625" style="2869" bestFit="1" customWidth="1"/>
    <col min="5137" max="5375" width="8.6640625" style="2869"/>
    <col min="5376" max="5377" width="8.6640625" style="2869" customWidth="1"/>
    <col min="5378" max="5378" width="10.109375" style="2869" customWidth="1"/>
    <col min="5379" max="5379" width="2.109375" style="2869" customWidth="1"/>
    <col min="5380" max="5380" width="50.44140625" style="2869" customWidth="1"/>
    <col min="5381" max="5381" width="8.6640625" style="2869"/>
    <col min="5382" max="5382" width="2.109375" style="2869" customWidth="1"/>
    <col min="5383" max="5383" width="23.6640625" style="2869" customWidth="1"/>
    <col min="5384" max="5384" width="2.109375" style="2869" customWidth="1"/>
    <col min="5385" max="5385" width="23.6640625" style="2869" customWidth="1"/>
    <col min="5386" max="5386" width="2.109375" style="2869" customWidth="1"/>
    <col min="5387" max="5387" width="23.6640625" style="2869" customWidth="1"/>
    <col min="5388" max="5388" width="2.109375" style="2869" customWidth="1"/>
    <col min="5389" max="5389" width="23.6640625" style="2869" customWidth="1"/>
    <col min="5390" max="5390" width="2.109375" style="2869" customWidth="1"/>
    <col min="5391" max="5391" width="23.6640625" style="2869" customWidth="1"/>
    <col min="5392" max="5392" width="2.6640625" style="2869" bestFit="1" customWidth="1"/>
    <col min="5393" max="5631" width="8.6640625" style="2869"/>
    <col min="5632" max="5633" width="8.6640625" style="2869" customWidth="1"/>
    <col min="5634" max="5634" width="10.109375" style="2869" customWidth="1"/>
    <col min="5635" max="5635" width="2.109375" style="2869" customWidth="1"/>
    <col min="5636" max="5636" width="50.44140625" style="2869" customWidth="1"/>
    <col min="5637" max="5637" width="8.6640625" style="2869"/>
    <col min="5638" max="5638" width="2.109375" style="2869" customWidth="1"/>
    <col min="5639" max="5639" width="23.6640625" style="2869" customWidth="1"/>
    <col min="5640" max="5640" width="2.109375" style="2869" customWidth="1"/>
    <col min="5641" max="5641" width="23.6640625" style="2869" customWidth="1"/>
    <col min="5642" max="5642" width="2.109375" style="2869" customWidth="1"/>
    <col min="5643" max="5643" width="23.6640625" style="2869" customWidth="1"/>
    <col min="5644" max="5644" width="2.109375" style="2869" customWidth="1"/>
    <col min="5645" max="5645" width="23.6640625" style="2869" customWidth="1"/>
    <col min="5646" max="5646" width="2.109375" style="2869" customWidth="1"/>
    <col min="5647" max="5647" width="23.6640625" style="2869" customWidth="1"/>
    <col min="5648" max="5648" width="2.6640625" style="2869" bestFit="1" customWidth="1"/>
    <col min="5649" max="5887" width="8.6640625" style="2869"/>
    <col min="5888" max="5889" width="8.6640625" style="2869" customWidth="1"/>
    <col min="5890" max="5890" width="10.109375" style="2869" customWidth="1"/>
    <col min="5891" max="5891" width="2.109375" style="2869" customWidth="1"/>
    <col min="5892" max="5892" width="50.44140625" style="2869" customWidth="1"/>
    <col min="5893" max="5893" width="8.6640625" style="2869"/>
    <col min="5894" max="5894" width="2.109375" style="2869" customWidth="1"/>
    <col min="5895" max="5895" width="23.6640625" style="2869" customWidth="1"/>
    <col min="5896" max="5896" width="2.109375" style="2869" customWidth="1"/>
    <col min="5897" max="5897" width="23.6640625" style="2869" customWidth="1"/>
    <col min="5898" max="5898" width="2.109375" style="2869" customWidth="1"/>
    <col min="5899" max="5899" width="23.6640625" style="2869" customWidth="1"/>
    <col min="5900" max="5900" width="2.109375" style="2869" customWidth="1"/>
    <col min="5901" max="5901" width="23.6640625" style="2869" customWidth="1"/>
    <col min="5902" max="5902" width="2.109375" style="2869" customWidth="1"/>
    <col min="5903" max="5903" width="23.6640625" style="2869" customWidth="1"/>
    <col min="5904" max="5904" width="2.6640625" style="2869" bestFit="1" customWidth="1"/>
    <col min="5905" max="6143" width="8.6640625" style="2869"/>
    <col min="6144" max="6145" width="8.6640625" style="2869" customWidth="1"/>
    <col min="6146" max="6146" width="10.109375" style="2869" customWidth="1"/>
    <col min="6147" max="6147" width="2.109375" style="2869" customWidth="1"/>
    <col min="6148" max="6148" width="50.44140625" style="2869" customWidth="1"/>
    <col min="6149" max="6149" width="8.6640625" style="2869"/>
    <col min="6150" max="6150" width="2.109375" style="2869" customWidth="1"/>
    <col min="6151" max="6151" width="23.6640625" style="2869" customWidth="1"/>
    <col min="6152" max="6152" width="2.109375" style="2869" customWidth="1"/>
    <col min="6153" max="6153" width="23.6640625" style="2869" customWidth="1"/>
    <col min="6154" max="6154" width="2.109375" style="2869" customWidth="1"/>
    <col min="6155" max="6155" width="23.6640625" style="2869" customWidth="1"/>
    <col min="6156" max="6156" width="2.109375" style="2869" customWidth="1"/>
    <col min="6157" max="6157" width="23.6640625" style="2869" customWidth="1"/>
    <col min="6158" max="6158" width="2.109375" style="2869" customWidth="1"/>
    <col min="6159" max="6159" width="23.6640625" style="2869" customWidth="1"/>
    <col min="6160" max="6160" width="2.6640625" style="2869" bestFit="1" customWidth="1"/>
    <col min="6161" max="6399" width="8.6640625" style="2869"/>
    <col min="6400" max="6401" width="8.6640625" style="2869" customWidth="1"/>
    <col min="6402" max="6402" width="10.109375" style="2869" customWidth="1"/>
    <col min="6403" max="6403" width="2.109375" style="2869" customWidth="1"/>
    <col min="6404" max="6404" width="50.44140625" style="2869" customWidth="1"/>
    <col min="6405" max="6405" width="8.6640625" style="2869"/>
    <col min="6406" max="6406" width="2.109375" style="2869" customWidth="1"/>
    <col min="6407" max="6407" width="23.6640625" style="2869" customWidth="1"/>
    <col min="6408" max="6408" width="2.109375" style="2869" customWidth="1"/>
    <col min="6409" max="6409" width="23.6640625" style="2869" customWidth="1"/>
    <col min="6410" max="6410" width="2.109375" style="2869" customWidth="1"/>
    <col min="6411" max="6411" width="23.6640625" style="2869" customWidth="1"/>
    <col min="6412" max="6412" width="2.109375" style="2869" customWidth="1"/>
    <col min="6413" max="6413" width="23.6640625" style="2869" customWidth="1"/>
    <col min="6414" max="6414" width="2.109375" style="2869" customWidth="1"/>
    <col min="6415" max="6415" width="23.6640625" style="2869" customWidth="1"/>
    <col min="6416" max="6416" width="2.6640625" style="2869" bestFit="1" customWidth="1"/>
    <col min="6417" max="6655" width="8.6640625" style="2869"/>
    <col min="6656" max="6657" width="8.6640625" style="2869" customWidth="1"/>
    <col min="6658" max="6658" width="10.109375" style="2869" customWidth="1"/>
    <col min="6659" max="6659" width="2.109375" style="2869" customWidth="1"/>
    <col min="6660" max="6660" width="50.44140625" style="2869" customWidth="1"/>
    <col min="6661" max="6661" width="8.6640625" style="2869"/>
    <col min="6662" max="6662" width="2.109375" style="2869" customWidth="1"/>
    <col min="6663" max="6663" width="23.6640625" style="2869" customWidth="1"/>
    <col min="6664" max="6664" width="2.109375" style="2869" customWidth="1"/>
    <col min="6665" max="6665" width="23.6640625" style="2869" customWidth="1"/>
    <col min="6666" max="6666" width="2.109375" style="2869" customWidth="1"/>
    <col min="6667" max="6667" width="23.6640625" style="2869" customWidth="1"/>
    <col min="6668" max="6668" width="2.109375" style="2869" customWidth="1"/>
    <col min="6669" max="6669" width="23.6640625" style="2869" customWidth="1"/>
    <col min="6670" max="6670" width="2.109375" style="2869" customWidth="1"/>
    <col min="6671" max="6671" width="23.6640625" style="2869" customWidth="1"/>
    <col min="6672" max="6672" width="2.6640625" style="2869" bestFit="1" customWidth="1"/>
    <col min="6673" max="6911" width="8.6640625" style="2869"/>
    <col min="6912" max="6913" width="8.6640625" style="2869" customWidth="1"/>
    <col min="6914" max="6914" width="10.109375" style="2869" customWidth="1"/>
    <col min="6915" max="6915" width="2.109375" style="2869" customWidth="1"/>
    <col min="6916" max="6916" width="50.44140625" style="2869" customWidth="1"/>
    <col min="6917" max="6917" width="8.6640625" style="2869"/>
    <col min="6918" max="6918" width="2.109375" style="2869" customWidth="1"/>
    <col min="6919" max="6919" width="23.6640625" style="2869" customWidth="1"/>
    <col min="6920" max="6920" width="2.109375" style="2869" customWidth="1"/>
    <col min="6921" max="6921" width="23.6640625" style="2869" customWidth="1"/>
    <col min="6922" max="6922" width="2.109375" style="2869" customWidth="1"/>
    <col min="6923" max="6923" width="23.6640625" style="2869" customWidth="1"/>
    <col min="6924" max="6924" width="2.109375" style="2869" customWidth="1"/>
    <col min="6925" max="6925" width="23.6640625" style="2869" customWidth="1"/>
    <col min="6926" max="6926" width="2.109375" style="2869" customWidth="1"/>
    <col min="6927" max="6927" width="23.6640625" style="2869" customWidth="1"/>
    <col min="6928" max="6928" width="2.6640625" style="2869" bestFit="1" customWidth="1"/>
    <col min="6929" max="7167" width="8.6640625" style="2869"/>
    <col min="7168" max="7169" width="8.6640625" style="2869" customWidth="1"/>
    <col min="7170" max="7170" width="10.109375" style="2869" customWidth="1"/>
    <col min="7171" max="7171" width="2.109375" style="2869" customWidth="1"/>
    <col min="7172" max="7172" width="50.44140625" style="2869" customWidth="1"/>
    <col min="7173" max="7173" width="8.6640625" style="2869"/>
    <col min="7174" max="7174" width="2.109375" style="2869" customWidth="1"/>
    <col min="7175" max="7175" width="23.6640625" style="2869" customWidth="1"/>
    <col min="7176" max="7176" width="2.109375" style="2869" customWidth="1"/>
    <col min="7177" max="7177" width="23.6640625" style="2869" customWidth="1"/>
    <col min="7178" max="7178" width="2.109375" style="2869" customWidth="1"/>
    <col min="7179" max="7179" width="23.6640625" style="2869" customWidth="1"/>
    <col min="7180" max="7180" width="2.109375" style="2869" customWidth="1"/>
    <col min="7181" max="7181" width="23.6640625" style="2869" customWidth="1"/>
    <col min="7182" max="7182" width="2.109375" style="2869" customWidth="1"/>
    <col min="7183" max="7183" width="23.6640625" style="2869" customWidth="1"/>
    <col min="7184" max="7184" width="2.6640625" style="2869" bestFit="1" customWidth="1"/>
    <col min="7185" max="7423" width="8.6640625" style="2869"/>
    <col min="7424" max="7425" width="8.6640625" style="2869" customWidth="1"/>
    <col min="7426" max="7426" width="10.109375" style="2869" customWidth="1"/>
    <col min="7427" max="7427" width="2.109375" style="2869" customWidth="1"/>
    <col min="7428" max="7428" width="50.44140625" style="2869" customWidth="1"/>
    <col min="7429" max="7429" width="8.6640625" style="2869"/>
    <col min="7430" max="7430" width="2.109375" style="2869" customWidth="1"/>
    <col min="7431" max="7431" width="23.6640625" style="2869" customWidth="1"/>
    <col min="7432" max="7432" width="2.109375" style="2869" customWidth="1"/>
    <col min="7433" max="7433" width="23.6640625" style="2869" customWidth="1"/>
    <col min="7434" max="7434" width="2.109375" style="2869" customWidth="1"/>
    <col min="7435" max="7435" width="23.6640625" style="2869" customWidth="1"/>
    <col min="7436" max="7436" width="2.109375" style="2869" customWidth="1"/>
    <col min="7437" max="7437" width="23.6640625" style="2869" customWidth="1"/>
    <col min="7438" max="7438" width="2.109375" style="2869" customWidth="1"/>
    <col min="7439" max="7439" width="23.6640625" style="2869" customWidth="1"/>
    <col min="7440" max="7440" width="2.6640625" style="2869" bestFit="1" customWidth="1"/>
    <col min="7441" max="7679" width="8.6640625" style="2869"/>
    <col min="7680" max="7681" width="8.6640625" style="2869" customWidth="1"/>
    <col min="7682" max="7682" width="10.109375" style="2869" customWidth="1"/>
    <col min="7683" max="7683" width="2.109375" style="2869" customWidth="1"/>
    <col min="7684" max="7684" width="50.44140625" style="2869" customWidth="1"/>
    <col min="7685" max="7685" width="8.6640625" style="2869"/>
    <col min="7686" max="7686" width="2.109375" style="2869" customWidth="1"/>
    <col min="7687" max="7687" width="23.6640625" style="2869" customWidth="1"/>
    <col min="7688" max="7688" width="2.109375" style="2869" customWidth="1"/>
    <col min="7689" max="7689" width="23.6640625" style="2869" customWidth="1"/>
    <col min="7690" max="7690" width="2.109375" style="2869" customWidth="1"/>
    <col min="7691" max="7691" width="23.6640625" style="2869" customWidth="1"/>
    <col min="7692" max="7692" width="2.109375" style="2869" customWidth="1"/>
    <col min="7693" max="7693" width="23.6640625" style="2869" customWidth="1"/>
    <col min="7694" max="7694" width="2.109375" style="2869" customWidth="1"/>
    <col min="7695" max="7695" width="23.6640625" style="2869" customWidth="1"/>
    <col min="7696" max="7696" width="2.6640625" style="2869" bestFit="1" customWidth="1"/>
    <col min="7697" max="7935" width="8.6640625" style="2869"/>
    <col min="7936" max="7937" width="8.6640625" style="2869" customWidth="1"/>
    <col min="7938" max="7938" width="10.109375" style="2869" customWidth="1"/>
    <col min="7939" max="7939" width="2.109375" style="2869" customWidth="1"/>
    <col min="7940" max="7940" width="50.44140625" style="2869" customWidth="1"/>
    <col min="7941" max="7941" width="8.6640625" style="2869"/>
    <col min="7942" max="7942" width="2.109375" style="2869" customWidth="1"/>
    <col min="7943" max="7943" width="23.6640625" style="2869" customWidth="1"/>
    <col min="7944" max="7944" width="2.109375" style="2869" customWidth="1"/>
    <col min="7945" max="7945" width="23.6640625" style="2869" customWidth="1"/>
    <col min="7946" max="7946" width="2.109375" style="2869" customWidth="1"/>
    <col min="7947" max="7947" width="23.6640625" style="2869" customWidth="1"/>
    <col min="7948" max="7948" width="2.109375" style="2869" customWidth="1"/>
    <col min="7949" max="7949" width="23.6640625" style="2869" customWidth="1"/>
    <col min="7950" max="7950" width="2.109375" style="2869" customWidth="1"/>
    <col min="7951" max="7951" width="23.6640625" style="2869" customWidth="1"/>
    <col min="7952" max="7952" width="2.6640625" style="2869" bestFit="1" customWidth="1"/>
    <col min="7953" max="8191" width="8.6640625" style="2869"/>
    <col min="8192" max="8193" width="8.6640625" style="2869" customWidth="1"/>
    <col min="8194" max="8194" width="10.109375" style="2869" customWidth="1"/>
    <col min="8195" max="8195" width="2.109375" style="2869" customWidth="1"/>
    <col min="8196" max="8196" width="50.44140625" style="2869" customWidth="1"/>
    <col min="8197" max="8197" width="8.6640625" style="2869"/>
    <col min="8198" max="8198" width="2.109375" style="2869" customWidth="1"/>
    <col min="8199" max="8199" width="23.6640625" style="2869" customWidth="1"/>
    <col min="8200" max="8200" width="2.109375" style="2869" customWidth="1"/>
    <col min="8201" max="8201" width="23.6640625" style="2869" customWidth="1"/>
    <col min="8202" max="8202" width="2.109375" style="2869" customWidth="1"/>
    <col min="8203" max="8203" width="23.6640625" style="2869" customWidth="1"/>
    <col min="8204" max="8204" width="2.109375" style="2869" customWidth="1"/>
    <col min="8205" max="8205" width="23.6640625" style="2869" customWidth="1"/>
    <col min="8206" max="8206" width="2.109375" style="2869" customWidth="1"/>
    <col min="8207" max="8207" width="23.6640625" style="2869" customWidth="1"/>
    <col min="8208" max="8208" width="2.6640625" style="2869" bestFit="1" customWidth="1"/>
    <col min="8209" max="8447" width="8.6640625" style="2869"/>
    <col min="8448" max="8449" width="8.6640625" style="2869" customWidth="1"/>
    <col min="8450" max="8450" width="10.109375" style="2869" customWidth="1"/>
    <col min="8451" max="8451" width="2.109375" style="2869" customWidth="1"/>
    <col min="8452" max="8452" width="50.44140625" style="2869" customWidth="1"/>
    <col min="8453" max="8453" width="8.6640625" style="2869"/>
    <col min="8454" max="8454" width="2.109375" style="2869" customWidth="1"/>
    <col min="8455" max="8455" width="23.6640625" style="2869" customWidth="1"/>
    <col min="8456" max="8456" width="2.109375" style="2869" customWidth="1"/>
    <col min="8457" max="8457" width="23.6640625" style="2869" customWidth="1"/>
    <col min="8458" max="8458" width="2.109375" style="2869" customWidth="1"/>
    <col min="8459" max="8459" width="23.6640625" style="2869" customWidth="1"/>
    <col min="8460" max="8460" width="2.109375" style="2869" customWidth="1"/>
    <col min="8461" max="8461" width="23.6640625" style="2869" customWidth="1"/>
    <col min="8462" max="8462" width="2.109375" style="2869" customWidth="1"/>
    <col min="8463" max="8463" width="23.6640625" style="2869" customWidth="1"/>
    <col min="8464" max="8464" width="2.6640625" style="2869" bestFit="1" customWidth="1"/>
    <col min="8465" max="8703" width="8.6640625" style="2869"/>
    <col min="8704" max="8705" width="8.6640625" style="2869" customWidth="1"/>
    <col min="8706" max="8706" width="10.109375" style="2869" customWidth="1"/>
    <col min="8707" max="8707" width="2.109375" style="2869" customWidth="1"/>
    <col min="8708" max="8708" width="50.44140625" style="2869" customWidth="1"/>
    <col min="8709" max="8709" width="8.6640625" style="2869"/>
    <col min="8710" max="8710" width="2.109375" style="2869" customWidth="1"/>
    <col min="8711" max="8711" width="23.6640625" style="2869" customWidth="1"/>
    <col min="8712" max="8712" width="2.109375" style="2869" customWidth="1"/>
    <col min="8713" max="8713" width="23.6640625" style="2869" customWidth="1"/>
    <col min="8714" max="8714" width="2.109375" style="2869" customWidth="1"/>
    <col min="8715" max="8715" width="23.6640625" style="2869" customWidth="1"/>
    <col min="8716" max="8716" width="2.109375" style="2869" customWidth="1"/>
    <col min="8717" max="8717" width="23.6640625" style="2869" customWidth="1"/>
    <col min="8718" max="8718" width="2.109375" style="2869" customWidth="1"/>
    <col min="8719" max="8719" width="23.6640625" style="2869" customWidth="1"/>
    <col min="8720" max="8720" width="2.6640625" style="2869" bestFit="1" customWidth="1"/>
    <col min="8721" max="8959" width="8.6640625" style="2869"/>
    <col min="8960" max="8961" width="8.6640625" style="2869" customWidth="1"/>
    <col min="8962" max="8962" width="10.109375" style="2869" customWidth="1"/>
    <col min="8963" max="8963" width="2.109375" style="2869" customWidth="1"/>
    <col min="8964" max="8964" width="50.44140625" style="2869" customWidth="1"/>
    <col min="8965" max="8965" width="8.6640625" style="2869"/>
    <col min="8966" max="8966" width="2.109375" style="2869" customWidth="1"/>
    <col min="8967" max="8967" width="23.6640625" style="2869" customWidth="1"/>
    <col min="8968" max="8968" width="2.109375" style="2869" customWidth="1"/>
    <col min="8969" max="8969" width="23.6640625" style="2869" customWidth="1"/>
    <col min="8970" max="8970" width="2.109375" style="2869" customWidth="1"/>
    <col min="8971" max="8971" width="23.6640625" style="2869" customWidth="1"/>
    <col min="8972" max="8972" width="2.109375" style="2869" customWidth="1"/>
    <col min="8973" max="8973" width="23.6640625" style="2869" customWidth="1"/>
    <col min="8974" max="8974" width="2.109375" style="2869" customWidth="1"/>
    <col min="8975" max="8975" width="23.6640625" style="2869" customWidth="1"/>
    <col min="8976" max="8976" width="2.6640625" style="2869" bestFit="1" customWidth="1"/>
    <col min="8977" max="9215" width="8.6640625" style="2869"/>
    <col min="9216" max="9217" width="8.6640625" style="2869" customWidth="1"/>
    <col min="9218" max="9218" width="10.109375" style="2869" customWidth="1"/>
    <col min="9219" max="9219" width="2.109375" style="2869" customWidth="1"/>
    <col min="9220" max="9220" width="50.44140625" style="2869" customWidth="1"/>
    <col min="9221" max="9221" width="8.6640625" style="2869"/>
    <col min="9222" max="9222" width="2.109375" style="2869" customWidth="1"/>
    <col min="9223" max="9223" width="23.6640625" style="2869" customWidth="1"/>
    <col min="9224" max="9224" width="2.109375" style="2869" customWidth="1"/>
    <col min="9225" max="9225" width="23.6640625" style="2869" customWidth="1"/>
    <col min="9226" max="9226" width="2.109375" style="2869" customWidth="1"/>
    <col min="9227" max="9227" width="23.6640625" style="2869" customWidth="1"/>
    <col min="9228" max="9228" width="2.109375" style="2869" customWidth="1"/>
    <col min="9229" max="9229" width="23.6640625" style="2869" customWidth="1"/>
    <col min="9230" max="9230" width="2.109375" style="2869" customWidth="1"/>
    <col min="9231" max="9231" width="23.6640625" style="2869" customWidth="1"/>
    <col min="9232" max="9232" width="2.6640625" style="2869" bestFit="1" customWidth="1"/>
    <col min="9233" max="9471" width="8.6640625" style="2869"/>
    <col min="9472" max="9473" width="8.6640625" style="2869" customWidth="1"/>
    <col min="9474" max="9474" width="10.109375" style="2869" customWidth="1"/>
    <col min="9475" max="9475" width="2.109375" style="2869" customWidth="1"/>
    <col min="9476" max="9476" width="50.44140625" style="2869" customWidth="1"/>
    <col min="9477" max="9477" width="8.6640625" style="2869"/>
    <col min="9478" max="9478" width="2.109375" style="2869" customWidth="1"/>
    <col min="9479" max="9479" width="23.6640625" style="2869" customWidth="1"/>
    <col min="9480" max="9480" width="2.109375" style="2869" customWidth="1"/>
    <col min="9481" max="9481" width="23.6640625" style="2869" customWidth="1"/>
    <col min="9482" max="9482" width="2.109375" style="2869" customWidth="1"/>
    <col min="9483" max="9483" width="23.6640625" style="2869" customWidth="1"/>
    <col min="9484" max="9484" width="2.109375" style="2869" customWidth="1"/>
    <col min="9485" max="9485" width="23.6640625" style="2869" customWidth="1"/>
    <col min="9486" max="9486" width="2.109375" style="2869" customWidth="1"/>
    <col min="9487" max="9487" width="23.6640625" style="2869" customWidth="1"/>
    <col min="9488" max="9488" width="2.6640625" style="2869" bestFit="1" customWidth="1"/>
    <col min="9489" max="9727" width="8.6640625" style="2869"/>
    <col min="9728" max="9729" width="8.6640625" style="2869" customWidth="1"/>
    <col min="9730" max="9730" width="10.109375" style="2869" customWidth="1"/>
    <col min="9731" max="9731" width="2.109375" style="2869" customWidth="1"/>
    <col min="9732" max="9732" width="50.44140625" style="2869" customWidth="1"/>
    <col min="9733" max="9733" width="8.6640625" style="2869"/>
    <col min="9734" max="9734" width="2.109375" style="2869" customWidth="1"/>
    <col min="9735" max="9735" width="23.6640625" style="2869" customWidth="1"/>
    <col min="9736" max="9736" width="2.109375" style="2869" customWidth="1"/>
    <col min="9737" max="9737" width="23.6640625" style="2869" customWidth="1"/>
    <col min="9738" max="9738" width="2.109375" style="2869" customWidth="1"/>
    <col min="9739" max="9739" width="23.6640625" style="2869" customWidth="1"/>
    <col min="9740" max="9740" width="2.109375" style="2869" customWidth="1"/>
    <col min="9741" max="9741" width="23.6640625" style="2869" customWidth="1"/>
    <col min="9742" max="9742" width="2.109375" style="2869" customWidth="1"/>
    <col min="9743" max="9743" width="23.6640625" style="2869" customWidth="1"/>
    <col min="9744" max="9744" width="2.6640625" style="2869" bestFit="1" customWidth="1"/>
    <col min="9745" max="9983" width="8.6640625" style="2869"/>
    <col min="9984" max="9985" width="8.6640625" style="2869" customWidth="1"/>
    <col min="9986" max="9986" width="10.109375" style="2869" customWidth="1"/>
    <col min="9987" max="9987" width="2.109375" style="2869" customWidth="1"/>
    <col min="9988" max="9988" width="50.44140625" style="2869" customWidth="1"/>
    <col min="9989" max="9989" width="8.6640625" style="2869"/>
    <col min="9990" max="9990" width="2.109375" style="2869" customWidth="1"/>
    <col min="9991" max="9991" width="23.6640625" style="2869" customWidth="1"/>
    <col min="9992" max="9992" width="2.109375" style="2869" customWidth="1"/>
    <col min="9993" max="9993" width="23.6640625" style="2869" customWidth="1"/>
    <col min="9994" max="9994" width="2.109375" style="2869" customWidth="1"/>
    <col min="9995" max="9995" width="23.6640625" style="2869" customWidth="1"/>
    <col min="9996" max="9996" width="2.109375" style="2869" customWidth="1"/>
    <col min="9997" max="9997" width="23.6640625" style="2869" customWidth="1"/>
    <col min="9998" max="9998" width="2.109375" style="2869" customWidth="1"/>
    <col min="9999" max="9999" width="23.6640625" style="2869" customWidth="1"/>
    <col min="10000" max="10000" width="2.6640625" style="2869" bestFit="1" customWidth="1"/>
    <col min="10001" max="10239" width="8.6640625" style="2869"/>
    <col min="10240" max="10241" width="8.6640625" style="2869" customWidth="1"/>
    <col min="10242" max="10242" width="10.109375" style="2869" customWidth="1"/>
    <col min="10243" max="10243" width="2.109375" style="2869" customWidth="1"/>
    <col min="10244" max="10244" width="50.44140625" style="2869" customWidth="1"/>
    <col min="10245" max="10245" width="8.6640625" style="2869"/>
    <col min="10246" max="10246" width="2.109375" style="2869" customWidth="1"/>
    <col min="10247" max="10247" width="23.6640625" style="2869" customWidth="1"/>
    <col min="10248" max="10248" width="2.109375" style="2869" customWidth="1"/>
    <col min="10249" max="10249" width="23.6640625" style="2869" customWidth="1"/>
    <col min="10250" max="10250" width="2.109375" style="2869" customWidth="1"/>
    <col min="10251" max="10251" width="23.6640625" style="2869" customWidth="1"/>
    <col min="10252" max="10252" width="2.109375" style="2869" customWidth="1"/>
    <col min="10253" max="10253" width="23.6640625" style="2869" customWidth="1"/>
    <col min="10254" max="10254" width="2.109375" style="2869" customWidth="1"/>
    <col min="10255" max="10255" width="23.6640625" style="2869" customWidth="1"/>
    <col min="10256" max="10256" width="2.6640625" style="2869" bestFit="1" customWidth="1"/>
    <col min="10257" max="10495" width="8.6640625" style="2869"/>
    <col min="10496" max="10497" width="8.6640625" style="2869" customWidth="1"/>
    <col min="10498" max="10498" width="10.109375" style="2869" customWidth="1"/>
    <col min="10499" max="10499" width="2.109375" style="2869" customWidth="1"/>
    <col min="10500" max="10500" width="50.44140625" style="2869" customWidth="1"/>
    <col min="10501" max="10501" width="8.6640625" style="2869"/>
    <col min="10502" max="10502" width="2.109375" style="2869" customWidth="1"/>
    <col min="10503" max="10503" width="23.6640625" style="2869" customWidth="1"/>
    <col min="10504" max="10504" width="2.109375" style="2869" customWidth="1"/>
    <col min="10505" max="10505" width="23.6640625" style="2869" customWidth="1"/>
    <col min="10506" max="10506" width="2.109375" style="2869" customWidth="1"/>
    <col min="10507" max="10507" width="23.6640625" style="2869" customWidth="1"/>
    <col min="10508" max="10508" width="2.109375" style="2869" customWidth="1"/>
    <col min="10509" max="10509" width="23.6640625" style="2869" customWidth="1"/>
    <col min="10510" max="10510" width="2.109375" style="2869" customWidth="1"/>
    <col min="10511" max="10511" width="23.6640625" style="2869" customWidth="1"/>
    <col min="10512" max="10512" width="2.6640625" style="2869" bestFit="1" customWidth="1"/>
    <col min="10513" max="10751" width="8.6640625" style="2869"/>
    <col min="10752" max="10753" width="8.6640625" style="2869" customWidth="1"/>
    <col min="10754" max="10754" width="10.109375" style="2869" customWidth="1"/>
    <col min="10755" max="10755" width="2.109375" style="2869" customWidth="1"/>
    <col min="10756" max="10756" width="50.44140625" style="2869" customWidth="1"/>
    <col min="10757" max="10757" width="8.6640625" style="2869"/>
    <col min="10758" max="10758" width="2.109375" style="2869" customWidth="1"/>
    <col min="10759" max="10759" width="23.6640625" style="2869" customWidth="1"/>
    <col min="10760" max="10760" width="2.109375" style="2869" customWidth="1"/>
    <col min="10761" max="10761" width="23.6640625" style="2869" customWidth="1"/>
    <col min="10762" max="10762" width="2.109375" style="2869" customWidth="1"/>
    <col min="10763" max="10763" width="23.6640625" style="2869" customWidth="1"/>
    <col min="10764" max="10764" width="2.109375" style="2869" customWidth="1"/>
    <col min="10765" max="10765" width="23.6640625" style="2869" customWidth="1"/>
    <col min="10766" max="10766" width="2.109375" style="2869" customWidth="1"/>
    <col min="10767" max="10767" width="23.6640625" style="2869" customWidth="1"/>
    <col min="10768" max="10768" width="2.6640625" style="2869" bestFit="1" customWidth="1"/>
    <col min="10769" max="11007" width="8.6640625" style="2869"/>
    <col min="11008" max="11009" width="8.6640625" style="2869" customWidth="1"/>
    <col min="11010" max="11010" width="10.109375" style="2869" customWidth="1"/>
    <col min="11011" max="11011" width="2.109375" style="2869" customWidth="1"/>
    <col min="11012" max="11012" width="50.44140625" style="2869" customWidth="1"/>
    <col min="11013" max="11013" width="8.6640625" style="2869"/>
    <col min="11014" max="11014" width="2.109375" style="2869" customWidth="1"/>
    <col min="11015" max="11015" width="23.6640625" style="2869" customWidth="1"/>
    <col min="11016" max="11016" width="2.109375" style="2869" customWidth="1"/>
    <col min="11017" max="11017" width="23.6640625" style="2869" customWidth="1"/>
    <col min="11018" max="11018" width="2.109375" style="2869" customWidth="1"/>
    <col min="11019" max="11019" width="23.6640625" style="2869" customWidth="1"/>
    <col min="11020" max="11020" width="2.109375" style="2869" customWidth="1"/>
    <col min="11021" max="11021" width="23.6640625" style="2869" customWidth="1"/>
    <col min="11022" max="11022" width="2.109375" style="2869" customWidth="1"/>
    <col min="11023" max="11023" width="23.6640625" style="2869" customWidth="1"/>
    <col min="11024" max="11024" width="2.6640625" style="2869" bestFit="1" customWidth="1"/>
    <col min="11025" max="11263" width="8.6640625" style="2869"/>
    <col min="11264" max="11265" width="8.6640625" style="2869" customWidth="1"/>
    <col min="11266" max="11266" width="10.109375" style="2869" customWidth="1"/>
    <col min="11267" max="11267" width="2.109375" style="2869" customWidth="1"/>
    <col min="11268" max="11268" width="50.44140625" style="2869" customWidth="1"/>
    <col min="11269" max="11269" width="8.6640625" style="2869"/>
    <col min="11270" max="11270" width="2.109375" style="2869" customWidth="1"/>
    <col min="11271" max="11271" width="23.6640625" style="2869" customWidth="1"/>
    <col min="11272" max="11272" width="2.109375" style="2869" customWidth="1"/>
    <col min="11273" max="11273" width="23.6640625" style="2869" customWidth="1"/>
    <col min="11274" max="11274" width="2.109375" style="2869" customWidth="1"/>
    <col min="11275" max="11275" width="23.6640625" style="2869" customWidth="1"/>
    <col min="11276" max="11276" width="2.109375" style="2869" customWidth="1"/>
    <col min="11277" max="11277" width="23.6640625" style="2869" customWidth="1"/>
    <col min="11278" max="11278" width="2.109375" style="2869" customWidth="1"/>
    <col min="11279" max="11279" width="23.6640625" style="2869" customWidth="1"/>
    <col min="11280" max="11280" width="2.6640625" style="2869" bestFit="1" customWidth="1"/>
    <col min="11281" max="11519" width="8.6640625" style="2869"/>
    <col min="11520" max="11521" width="8.6640625" style="2869" customWidth="1"/>
    <col min="11522" max="11522" width="10.109375" style="2869" customWidth="1"/>
    <col min="11523" max="11523" width="2.109375" style="2869" customWidth="1"/>
    <col min="11524" max="11524" width="50.44140625" style="2869" customWidth="1"/>
    <col min="11525" max="11525" width="8.6640625" style="2869"/>
    <col min="11526" max="11526" width="2.109375" style="2869" customWidth="1"/>
    <col min="11527" max="11527" width="23.6640625" style="2869" customWidth="1"/>
    <col min="11528" max="11528" width="2.109375" style="2869" customWidth="1"/>
    <col min="11529" max="11529" width="23.6640625" style="2869" customWidth="1"/>
    <col min="11530" max="11530" width="2.109375" style="2869" customWidth="1"/>
    <col min="11531" max="11531" width="23.6640625" style="2869" customWidth="1"/>
    <col min="11532" max="11532" width="2.109375" style="2869" customWidth="1"/>
    <col min="11533" max="11533" width="23.6640625" style="2869" customWidth="1"/>
    <col min="11534" max="11534" width="2.109375" style="2869" customWidth="1"/>
    <col min="11535" max="11535" width="23.6640625" style="2869" customWidth="1"/>
    <col min="11536" max="11536" width="2.6640625" style="2869" bestFit="1" customWidth="1"/>
    <col min="11537" max="11775" width="8.6640625" style="2869"/>
    <col min="11776" max="11777" width="8.6640625" style="2869" customWidth="1"/>
    <col min="11778" max="11778" width="10.109375" style="2869" customWidth="1"/>
    <col min="11779" max="11779" width="2.109375" style="2869" customWidth="1"/>
    <col min="11780" max="11780" width="50.44140625" style="2869" customWidth="1"/>
    <col min="11781" max="11781" width="8.6640625" style="2869"/>
    <col min="11782" max="11782" width="2.109375" style="2869" customWidth="1"/>
    <col min="11783" max="11783" width="23.6640625" style="2869" customWidth="1"/>
    <col min="11784" max="11784" width="2.109375" style="2869" customWidth="1"/>
    <col min="11785" max="11785" width="23.6640625" style="2869" customWidth="1"/>
    <col min="11786" max="11786" width="2.109375" style="2869" customWidth="1"/>
    <col min="11787" max="11787" width="23.6640625" style="2869" customWidth="1"/>
    <col min="11788" max="11788" width="2.109375" style="2869" customWidth="1"/>
    <col min="11789" max="11789" width="23.6640625" style="2869" customWidth="1"/>
    <col min="11790" max="11790" width="2.109375" style="2869" customWidth="1"/>
    <col min="11791" max="11791" width="23.6640625" style="2869" customWidth="1"/>
    <col min="11792" max="11792" width="2.6640625" style="2869" bestFit="1" customWidth="1"/>
    <col min="11793" max="12031" width="8.6640625" style="2869"/>
    <col min="12032" max="12033" width="8.6640625" style="2869" customWidth="1"/>
    <col min="12034" max="12034" width="10.109375" style="2869" customWidth="1"/>
    <col min="12035" max="12035" width="2.109375" style="2869" customWidth="1"/>
    <col min="12036" max="12036" width="50.44140625" style="2869" customWidth="1"/>
    <col min="12037" max="12037" width="8.6640625" style="2869"/>
    <col min="12038" max="12038" width="2.109375" style="2869" customWidth="1"/>
    <col min="12039" max="12039" width="23.6640625" style="2869" customWidth="1"/>
    <col min="12040" max="12040" width="2.109375" style="2869" customWidth="1"/>
    <col min="12041" max="12041" width="23.6640625" style="2869" customWidth="1"/>
    <col min="12042" max="12042" width="2.109375" style="2869" customWidth="1"/>
    <col min="12043" max="12043" width="23.6640625" style="2869" customWidth="1"/>
    <col min="12044" max="12044" width="2.109375" style="2869" customWidth="1"/>
    <col min="12045" max="12045" width="23.6640625" style="2869" customWidth="1"/>
    <col min="12046" max="12046" width="2.109375" style="2869" customWidth="1"/>
    <col min="12047" max="12047" width="23.6640625" style="2869" customWidth="1"/>
    <col min="12048" max="12048" width="2.6640625" style="2869" bestFit="1" customWidth="1"/>
    <col min="12049" max="12287" width="8.6640625" style="2869"/>
    <col min="12288" max="12289" width="8.6640625" style="2869" customWidth="1"/>
    <col min="12290" max="12290" width="10.109375" style="2869" customWidth="1"/>
    <col min="12291" max="12291" width="2.109375" style="2869" customWidth="1"/>
    <col min="12292" max="12292" width="50.44140625" style="2869" customWidth="1"/>
    <col min="12293" max="12293" width="8.6640625" style="2869"/>
    <col min="12294" max="12294" width="2.109375" style="2869" customWidth="1"/>
    <col min="12295" max="12295" width="23.6640625" style="2869" customWidth="1"/>
    <col min="12296" max="12296" width="2.109375" style="2869" customWidth="1"/>
    <col min="12297" max="12297" width="23.6640625" style="2869" customWidth="1"/>
    <col min="12298" max="12298" width="2.109375" style="2869" customWidth="1"/>
    <col min="12299" max="12299" width="23.6640625" style="2869" customWidth="1"/>
    <col min="12300" max="12300" width="2.109375" style="2869" customWidth="1"/>
    <col min="12301" max="12301" width="23.6640625" style="2869" customWidth="1"/>
    <col min="12302" max="12302" width="2.109375" style="2869" customWidth="1"/>
    <col min="12303" max="12303" width="23.6640625" style="2869" customWidth="1"/>
    <col min="12304" max="12304" width="2.6640625" style="2869" bestFit="1" customWidth="1"/>
    <col min="12305" max="12543" width="8.6640625" style="2869"/>
    <col min="12544" max="12545" width="8.6640625" style="2869" customWidth="1"/>
    <col min="12546" max="12546" width="10.109375" style="2869" customWidth="1"/>
    <col min="12547" max="12547" width="2.109375" style="2869" customWidth="1"/>
    <col min="12548" max="12548" width="50.44140625" style="2869" customWidth="1"/>
    <col min="12549" max="12549" width="8.6640625" style="2869"/>
    <col min="12550" max="12550" width="2.109375" style="2869" customWidth="1"/>
    <col min="12551" max="12551" width="23.6640625" style="2869" customWidth="1"/>
    <col min="12552" max="12552" width="2.109375" style="2869" customWidth="1"/>
    <col min="12553" max="12553" width="23.6640625" style="2869" customWidth="1"/>
    <col min="12554" max="12554" width="2.109375" style="2869" customWidth="1"/>
    <col min="12555" max="12555" width="23.6640625" style="2869" customWidth="1"/>
    <col min="12556" max="12556" width="2.109375" style="2869" customWidth="1"/>
    <col min="12557" max="12557" width="23.6640625" style="2869" customWidth="1"/>
    <col min="12558" max="12558" width="2.109375" style="2869" customWidth="1"/>
    <col min="12559" max="12559" width="23.6640625" style="2869" customWidth="1"/>
    <col min="12560" max="12560" width="2.6640625" style="2869" bestFit="1" customWidth="1"/>
    <col min="12561" max="12799" width="8.6640625" style="2869"/>
    <col min="12800" max="12801" width="8.6640625" style="2869" customWidth="1"/>
    <col min="12802" max="12802" width="10.109375" style="2869" customWidth="1"/>
    <col min="12803" max="12803" width="2.109375" style="2869" customWidth="1"/>
    <col min="12804" max="12804" width="50.44140625" style="2869" customWidth="1"/>
    <col min="12805" max="12805" width="8.6640625" style="2869"/>
    <col min="12806" max="12806" width="2.109375" style="2869" customWidth="1"/>
    <col min="12807" max="12807" width="23.6640625" style="2869" customWidth="1"/>
    <col min="12808" max="12808" width="2.109375" style="2869" customWidth="1"/>
    <col min="12809" max="12809" width="23.6640625" style="2869" customWidth="1"/>
    <col min="12810" max="12810" width="2.109375" style="2869" customWidth="1"/>
    <col min="12811" max="12811" width="23.6640625" style="2869" customWidth="1"/>
    <col min="12812" max="12812" width="2.109375" style="2869" customWidth="1"/>
    <col min="12813" max="12813" width="23.6640625" style="2869" customWidth="1"/>
    <col min="12814" max="12814" width="2.109375" style="2869" customWidth="1"/>
    <col min="12815" max="12815" width="23.6640625" style="2869" customWidth="1"/>
    <col min="12816" max="12816" width="2.6640625" style="2869" bestFit="1" customWidth="1"/>
    <col min="12817" max="13055" width="8.6640625" style="2869"/>
    <col min="13056" max="13057" width="8.6640625" style="2869" customWidth="1"/>
    <col min="13058" max="13058" width="10.109375" style="2869" customWidth="1"/>
    <col min="13059" max="13059" width="2.109375" style="2869" customWidth="1"/>
    <col min="13060" max="13060" width="50.44140625" style="2869" customWidth="1"/>
    <col min="13061" max="13061" width="8.6640625" style="2869"/>
    <col min="13062" max="13062" width="2.109375" style="2869" customWidth="1"/>
    <col min="13063" max="13063" width="23.6640625" style="2869" customWidth="1"/>
    <col min="13064" max="13064" width="2.109375" style="2869" customWidth="1"/>
    <col min="13065" max="13065" width="23.6640625" style="2869" customWidth="1"/>
    <col min="13066" max="13066" width="2.109375" style="2869" customWidth="1"/>
    <col min="13067" max="13067" width="23.6640625" style="2869" customWidth="1"/>
    <col min="13068" max="13068" width="2.109375" style="2869" customWidth="1"/>
    <col min="13069" max="13069" width="23.6640625" style="2869" customWidth="1"/>
    <col min="13070" max="13070" width="2.109375" style="2869" customWidth="1"/>
    <col min="13071" max="13071" width="23.6640625" style="2869" customWidth="1"/>
    <col min="13072" max="13072" width="2.6640625" style="2869" bestFit="1" customWidth="1"/>
    <col min="13073" max="13311" width="8.6640625" style="2869"/>
    <col min="13312" max="13313" width="8.6640625" style="2869" customWidth="1"/>
    <col min="13314" max="13314" width="10.109375" style="2869" customWidth="1"/>
    <col min="13315" max="13315" width="2.109375" style="2869" customWidth="1"/>
    <col min="13316" max="13316" width="50.44140625" style="2869" customWidth="1"/>
    <col min="13317" max="13317" width="8.6640625" style="2869"/>
    <col min="13318" max="13318" width="2.109375" style="2869" customWidth="1"/>
    <col min="13319" max="13319" width="23.6640625" style="2869" customWidth="1"/>
    <col min="13320" max="13320" width="2.109375" style="2869" customWidth="1"/>
    <col min="13321" max="13321" width="23.6640625" style="2869" customWidth="1"/>
    <col min="13322" max="13322" width="2.109375" style="2869" customWidth="1"/>
    <col min="13323" max="13323" width="23.6640625" style="2869" customWidth="1"/>
    <col min="13324" max="13324" width="2.109375" style="2869" customWidth="1"/>
    <col min="13325" max="13325" width="23.6640625" style="2869" customWidth="1"/>
    <col min="13326" max="13326" width="2.109375" style="2869" customWidth="1"/>
    <col min="13327" max="13327" width="23.6640625" style="2869" customWidth="1"/>
    <col min="13328" max="13328" width="2.6640625" style="2869" bestFit="1" customWidth="1"/>
    <col min="13329" max="13567" width="8.6640625" style="2869"/>
    <col min="13568" max="13569" width="8.6640625" style="2869" customWidth="1"/>
    <col min="13570" max="13570" width="10.109375" style="2869" customWidth="1"/>
    <col min="13571" max="13571" width="2.109375" style="2869" customWidth="1"/>
    <col min="13572" max="13572" width="50.44140625" style="2869" customWidth="1"/>
    <col min="13573" max="13573" width="8.6640625" style="2869"/>
    <col min="13574" max="13574" width="2.109375" style="2869" customWidth="1"/>
    <col min="13575" max="13575" width="23.6640625" style="2869" customWidth="1"/>
    <col min="13576" max="13576" width="2.109375" style="2869" customWidth="1"/>
    <col min="13577" max="13577" width="23.6640625" style="2869" customWidth="1"/>
    <col min="13578" max="13578" width="2.109375" style="2869" customWidth="1"/>
    <col min="13579" max="13579" width="23.6640625" style="2869" customWidth="1"/>
    <col min="13580" max="13580" width="2.109375" style="2869" customWidth="1"/>
    <col min="13581" max="13581" width="23.6640625" style="2869" customWidth="1"/>
    <col min="13582" max="13582" width="2.109375" style="2869" customWidth="1"/>
    <col min="13583" max="13583" width="23.6640625" style="2869" customWidth="1"/>
    <col min="13584" max="13584" width="2.6640625" style="2869" bestFit="1" customWidth="1"/>
    <col min="13585" max="13823" width="8.6640625" style="2869"/>
    <col min="13824" max="13825" width="8.6640625" style="2869" customWidth="1"/>
    <col min="13826" max="13826" width="10.109375" style="2869" customWidth="1"/>
    <col min="13827" max="13827" width="2.109375" style="2869" customWidth="1"/>
    <col min="13828" max="13828" width="50.44140625" style="2869" customWidth="1"/>
    <col min="13829" max="13829" width="8.6640625" style="2869"/>
    <col min="13830" max="13830" width="2.109375" style="2869" customWidth="1"/>
    <col min="13831" max="13831" width="23.6640625" style="2869" customWidth="1"/>
    <col min="13832" max="13832" width="2.109375" style="2869" customWidth="1"/>
    <col min="13833" max="13833" width="23.6640625" style="2869" customWidth="1"/>
    <col min="13834" max="13834" width="2.109375" style="2869" customWidth="1"/>
    <col min="13835" max="13835" width="23.6640625" style="2869" customWidth="1"/>
    <col min="13836" max="13836" width="2.109375" style="2869" customWidth="1"/>
    <col min="13837" max="13837" width="23.6640625" style="2869" customWidth="1"/>
    <col min="13838" max="13838" width="2.109375" style="2869" customWidth="1"/>
    <col min="13839" max="13839" width="23.6640625" style="2869" customWidth="1"/>
    <col min="13840" max="13840" width="2.6640625" style="2869" bestFit="1" customWidth="1"/>
    <col min="13841" max="14079" width="8.6640625" style="2869"/>
    <col min="14080" max="14081" width="8.6640625" style="2869" customWidth="1"/>
    <col min="14082" max="14082" width="10.109375" style="2869" customWidth="1"/>
    <col min="14083" max="14083" width="2.109375" style="2869" customWidth="1"/>
    <col min="14084" max="14084" width="50.44140625" style="2869" customWidth="1"/>
    <col min="14085" max="14085" width="8.6640625" style="2869"/>
    <col min="14086" max="14086" width="2.109375" style="2869" customWidth="1"/>
    <col min="14087" max="14087" width="23.6640625" style="2869" customWidth="1"/>
    <col min="14088" max="14088" width="2.109375" style="2869" customWidth="1"/>
    <col min="14089" max="14089" width="23.6640625" style="2869" customWidth="1"/>
    <col min="14090" max="14090" width="2.109375" style="2869" customWidth="1"/>
    <col min="14091" max="14091" width="23.6640625" style="2869" customWidth="1"/>
    <col min="14092" max="14092" width="2.109375" style="2869" customWidth="1"/>
    <col min="14093" max="14093" width="23.6640625" style="2869" customWidth="1"/>
    <col min="14094" max="14094" width="2.109375" style="2869" customWidth="1"/>
    <col min="14095" max="14095" width="23.6640625" style="2869" customWidth="1"/>
    <col min="14096" max="14096" width="2.6640625" style="2869" bestFit="1" customWidth="1"/>
    <col min="14097" max="14335" width="8.6640625" style="2869"/>
    <col min="14336" max="14337" width="8.6640625" style="2869" customWidth="1"/>
    <col min="14338" max="14338" width="10.109375" style="2869" customWidth="1"/>
    <col min="14339" max="14339" width="2.109375" style="2869" customWidth="1"/>
    <col min="14340" max="14340" width="50.44140625" style="2869" customWidth="1"/>
    <col min="14341" max="14341" width="8.6640625" style="2869"/>
    <col min="14342" max="14342" width="2.109375" style="2869" customWidth="1"/>
    <col min="14343" max="14343" width="23.6640625" style="2869" customWidth="1"/>
    <col min="14344" max="14344" width="2.109375" style="2869" customWidth="1"/>
    <col min="14345" max="14345" width="23.6640625" style="2869" customWidth="1"/>
    <col min="14346" max="14346" width="2.109375" style="2869" customWidth="1"/>
    <col min="14347" max="14347" width="23.6640625" style="2869" customWidth="1"/>
    <col min="14348" max="14348" width="2.109375" style="2869" customWidth="1"/>
    <col min="14349" max="14349" width="23.6640625" style="2869" customWidth="1"/>
    <col min="14350" max="14350" width="2.109375" style="2869" customWidth="1"/>
    <col min="14351" max="14351" width="23.6640625" style="2869" customWidth="1"/>
    <col min="14352" max="14352" width="2.6640625" style="2869" bestFit="1" customWidth="1"/>
    <col min="14353" max="14591" width="8.6640625" style="2869"/>
    <col min="14592" max="14593" width="8.6640625" style="2869" customWidth="1"/>
    <col min="14594" max="14594" width="10.109375" style="2869" customWidth="1"/>
    <col min="14595" max="14595" width="2.109375" style="2869" customWidth="1"/>
    <col min="14596" max="14596" width="50.44140625" style="2869" customWidth="1"/>
    <col min="14597" max="14597" width="8.6640625" style="2869"/>
    <col min="14598" max="14598" width="2.109375" style="2869" customWidth="1"/>
    <col min="14599" max="14599" width="23.6640625" style="2869" customWidth="1"/>
    <col min="14600" max="14600" width="2.109375" style="2869" customWidth="1"/>
    <col min="14601" max="14601" width="23.6640625" style="2869" customWidth="1"/>
    <col min="14602" max="14602" width="2.109375" style="2869" customWidth="1"/>
    <col min="14603" max="14603" width="23.6640625" style="2869" customWidth="1"/>
    <col min="14604" max="14604" width="2.109375" style="2869" customWidth="1"/>
    <col min="14605" max="14605" width="23.6640625" style="2869" customWidth="1"/>
    <col min="14606" max="14606" width="2.109375" style="2869" customWidth="1"/>
    <col min="14607" max="14607" width="23.6640625" style="2869" customWidth="1"/>
    <col min="14608" max="14608" width="2.6640625" style="2869" bestFit="1" customWidth="1"/>
    <col min="14609" max="14847" width="8.6640625" style="2869"/>
    <col min="14848" max="14849" width="8.6640625" style="2869" customWidth="1"/>
    <col min="14850" max="14850" width="10.109375" style="2869" customWidth="1"/>
    <col min="14851" max="14851" width="2.109375" style="2869" customWidth="1"/>
    <col min="14852" max="14852" width="50.44140625" style="2869" customWidth="1"/>
    <col min="14853" max="14853" width="8.6640625" style="2869"/>
    <col min="14854" max="14854" width="2.109375" style="2869" customWidth="1"/>
    <col min="14855" max="14855" width="23.6640625" style="2869" customWidth="1"/>
    <col min="14856" max="14856" width="2.109375" style="2869" customWidth="1"/>
    <col min="14857" max="14857" width="23.6640625" style="2869" customWidth="1"/>
    <col min="14858" max="14858" width="2.109375" style="2869" customWidth="1"/>
    <col min="14859" max="14859" width="23.6640625" style="2869" customWidth="1"/>
    <col min="14860" max="14860" width="2.109375" style="2869" customWidth="1"/>
    <col min="14861" max="14861" width="23.6640625" style="2869" customWidth="1"/>
    <col min="14862" max="14862" width="2.109375" style="2869" customWidth="1"/>
    <col min="14863" max="14863" width="23.6640625" style="2869" customWidth="1"/>
    <col min="14864" max="14864" width="2.6640625" style="2869" bestFit="1" customWidth="1"/>
    <col min="14865" max="15103" width="8.6640625" style="2869"/>
    <col min="15104" max="15105" width="8.6640625" style="2869" customWidth="1"/>
    <col min="15106" max="15106" width="10.109375" style="2869" customWidth="1"/>
    <col min="15107" max="15107" width="2.109375" style="2869" customWidth="1"/>
    <col min="15108" max="15108" width="50.44140625" style="2869" customWidth="1"/>
    <col min="15109" max="15109" width="8.6640625" style="2869"/>
    <col min="15110" max="15110" width="2.109375" style="2869" customWidth="1"/>
    <col min="15111" max="15111" width="23.6640625" style="2869" customWidth="1"/>
    <col min="15112" max="15112" width="2.109375" style="2869" customWidth="1"/>
    <col min="15113" max="15113" width="23.6640625" style="2869" customWidth="1"/>
    <col min="15114" max="15114" width="2.109375" style="2869" customWidth="1"/>
    <col min="15115" max="15115" width="23.6640625" style="2869" customWidth="1"/>
    <col min="15116" max="15116" width="2.109375" style="2869" customWidth="1"/>
    <col min="15117" max="15117" width="23.6640625" style="2869" customWidth="1"/>
    <col min="15118" max="15118" width="2.109375" style="2869" customWidth="1"/>
    <col min="15119" max="15119" width="23.6640625" style="2869" customWidth="1"/>
    <col min="15120" max="15120" width="2.6640625" style="2869" bestFit="1" customWidth="1"/>
    <col min="15121" max="15359" width="8.6640625" style="2869"/>
    <col min="15360" max="15361" width="8.6640625" style="2869" customWidth="1"/>
    <col min="15362" max="15362" width="10.109375" style="2869" customWidth="1"/>
    <col min="15363" max="15363" width="2.109375" style="2869" customWidth="1"/>
    <col min="15364" max="15364" width="50.44140625" style="2869" customWidth="1"/>
    <col min="15365" max="15365" width="8.6640625" style="2869"/>
    <col min="15366" max="15366" width="2.109375" style="2869" customWidth="1"/>
    <col min="15367" max="15367" width="23.6640625" style="2869" customWidth="1"/>
    <col min="15368" max="15368" width="2.109375" style="2869" customWidth="1"/>
    <col min="15369" max="15369" width="23.6640625" style="2869" customWidth="1"/>
    <col min="15370" max="15370" width="2.109375" style="2869" customWidth="1"/>
    <col min="15371" max="15371" width="23.6640625" style="2869" customWidth="1"/>
    <col min="15372" max="15372" width="2.109375" style="2869" customWidth="1"/>
    <col min="15373" max="15373" width="23.6640625" style="2869" customWidth="1"/>
    <col min="15374" max="15374" width="2.109375" style="2869" customWidth="1"/>
    <col min="15375" max="15375" width="23.6640625" style="2869" customWidth="1"/>
    <col min="15376" max="15376" width="2.6640625" style="2869" bestFit="1" customWidth="1"/>
    <col min="15377" max="15615" width="8.6640625" style="2869"/>
    <col min="15616" max="15617" width="8.6640625" style="2869" customWidth="1"/>
    <col min="15618" max="15618" width="10.109375" style="2869" customWidth="1"/>
    <col min="15619" max="15619" width="2.109375" style="2869" customWidth="1"/>
    <col min="15620" max="15620" width="50.44140625" style="2869" customWidth="1"/>
    <col min="15621" max="15621" width="8.6640625" style="2869"/>
    <col min="15622" max="15622" width="2.109375" style="2869" customWidth="1"/>
    <col min="15623" max="15623" width="23.6640625" style="2869" customWidth="1"/>
    <col min="15624" max="15624" width="2.109375" style="2869" customWidth="1"/>
    <col min="15625" max="15625" width="23.6640625" style="2869" customWidth="1"/>
    <col min="15626" max="15626" width="2.109375" style="2869" customWidth="1"/>
    <col min="15627" max="15627" width="23.6640625" style="2869" customWidth="1"/>
    <col min="15628" max="15628" width="2.109375" style="2869" customWidth="1"/>
    <col min="15629" max="15629" width="23.6640625" style="2869" customWidth="1"/>
    <col min="15630" max="15630" width="2.109375" style="2869" customWidth="1"/>
    <col min="15631" max="15631" width="23.6640625" style="2869" customWidth="1"/>
    <col min="15632" max="15632" width="2.6640625" style="2869" bestFit="1" customWidth="1"/>
    <col min="15633" max="15871" width="8.6640625" style="2869"/>
    <col min="15872" max="15873" width="8.6640625" style="2869" customWidth="1"/>
    <col min="15874" max="15874" width="10.109375" style="2869" customWidth="1"/>
    <col min="15875" max="15875" width="2.109375" style="2869" customWidth="1"/>
    <col min="15876" max="15876" width="50.44140625" style="2869" customWidth="1"/>
    <col min="15877" max="15877" width="8.6640625" style="2869"/>
    <col min="15878" max="15878" width="2.109375" style="2869" customWidth="1"/>
    <col min="15879" max="15879" width="23.6640625" style="2869" customWidth="1"/>
    <col min="15880" max="15880" width="2.109375" style="2869" customWidth="1"/>
    <col min="15881" max="15881" width="23.6640625" style="2869" customWidth="1"/>
    <col min="15882" max="15882" width="2.109375" style="2869" customWidth="1"/>
    <col min="15883" max="15883" width="23.6640625" style="2869" customWidth="1"/>
    <col min="15884" max="15884" width="2.109375" style="2869" customWidth="1"/>
    <col min="15885" max="15885" width="23.6640625" style="2869" customWidth="1"/>
    <col min="15886" max="15886" width="2.109375" style="2869" customWidth="1"/>
    <col min="15887" max="15887" width="23.6640625" style="2869" customWidth="1"/>
    <col min="15888" max="15888" width="2.6640625" style="2869" bestFit="1" customWidth="1"/>
    <col min="15889" max="16127" width="8.6640625" style="2869"/>
    <col min="16128" max="16129" width="8.6640625" style="2869" customWidth="1"/>
    <col min="16130" max="16130" width="10.109375" style="2869" customWidth="1"/>
    <col min="16131" max="16131" width="2.109375" style="2869" customWidth="1"/>
    <col min="16132" max="16132" width="50.44140625" style="2869" customWidth="1"/>
    <col min="16133" max="16133" width="8.6640625" style="2869"/>
    <col min="16134" max="16134" width="2.109375" style="2869" customWidth="1"/>
    <col min="16135" max="16135" width="23.6640625" style="2869" customWidth="1"/>
    <col min="16136" max="16136" width="2.109375" style="2869" customWidth="1"/>
    <col min="16137" max="16137" width="23.6640625" style="2869" customWidth="1"/>
    <col min="16138" max="16138" width="2.109375" style="2869" customWidth="1"/>
    <col min="16139" max="16139" width="23.6640625" style="2869" customWidth="1"/>
    <col min="16140" max="16140" width="2.109375" style="2869" customWidth="1"/>
    <col min="16141" max="16141" width="23.6640625" style="2869" customWidth="1"/>
    <col min="16142" max="16142" width="2.109375" style="2869" customWidth="1"/>
    <col min="16143" max="16143" width="23.6640625" style="2869" customWidth="1"/>
    <col min="16144" max="16144" width="2.6640625" style="2869" bestFit="1" customWidth="1"/>
    <col min="16145" max="16384" width="8.6640625" style="2869"/>
  </cols>
  <sheetData>
    <row r="1" spans="2:17" ht="15.75">
      <c r="B1" s="2866"/>
      <c r="C1" s="2867"/>
      <c r="D1" s="2234" t="s">
        <v>963</v>
      </c>
      <c r="E1" s="2867"/>
      <c r="F1" s="2868"/>
      <c r="G1" s="2866"/>
      <c r="H1" s="2867"/>
      <c r="I1" s="2866"/>
      <c r="J1" s="2867"/>
      <c r="K1" s="2866"/>
      <c r="L1" s="2867"/>
      <c r="M1" s="2866"/>
      <c r="N1" s="2867"/>
      <c r="P1" s="2870"/>
    </row>
    <row r="2" spans="2:17" ht="15.75">
      <c r="B2" s="2866"/>
      <c r="C2" s="2867"/>
      <c r="D2" s="2866"/>
      <c r="E2" s="2867"/>
      <c r="F2" s="2868"/>
      <c r="G2" s="2866"/>
      <c r="H2" s="2867"/>
      <c r="I2" s="2866"/>
      <c r="J2" s="2867"/>
      <c r="K2" s="2866"/>
      <c r="L2" s="2867"/>
      <c r="M2" s="2866"/>
      <c r="N2" s="2867"/>
      <c r="O2" s="3622" t="s">
        <v>545</v>
      </c>
      <c r="P2" s="2870"/>
    </row>
    <row r="3" spans="2:17" ht="15.75">
      <c r="B3" s="2866"/>
      <c r="C3" s="2867"/>
      <c r="D3" s="2866"/>
      <c r="E3" s="2867"/>
      <c r="F3" s="2868"/>
      <c r="G3" s="2866"/>
      <c r="H3" s="2867"/>
      <c r="I3" s="2866"/>
      <c r="J3" s="2867"/>
      <c r="K3" s="2866"/>
      <c r="L3" s="2867"/>
      <c r="M3" s="2866"/>
      <c r="N3" s="2867"/>
      <c r="O3" s="3623"/>
      <c r="P3" s="2871"/>
    </row>
    <row r="4" spans="2:17" ht="18">
      <c r="B4" s="2872"/>
      <c r="C4" s="2873"/>
      <c r="D4" s="2874" t="s">
        <v>0</v>
      </c>
      <c r="E4" s="2873"/>
      <c r="F4" s="2873"/>
      <c r="G4" s="2530"/>
      <c r="H4" s="2875"/>
      <c r="I4" s="2530"/>
      <c r="J4" s="2875"/>
      <c r="K4" s="2530"/>
      <c r="L4" s="2875"/>
      <c r="M4" s="2876"/>
      <c r="N4" s="2876"/>
      <c r="O4" s="3624"/>
      <c r="P4" s="2877"/>
    </row>
    <row r="5" spans="2:17" ht="18">
      <c r="B5" s="2872"/>
      <c r="C5" s="2873"/>
      <c r="D5" s="2874" t="s">
        <v>856</v>
      </c>
      <c r="E5" s="2873"/>
      <c r="F5" s="2873"/>
      <c r="G5" s="2530"/>
      <c r="H5" s="2875"/>
      <c r="I5" s="2530"/>
      <c r="J5" s="2875"/>
      <c r="K5" s="2530"/>
      <c r="L5" s="2875"/>
      <c r="M5" s="2878"/>
      <c r="N5" s="2878"/>
      <c r="O5" s="2878"/>
      <c r="P5" s="2879"/>
    </row>
    <row r="6" spans="2:17" ht="15.75">
      <c r="B6" s="2872"/>
      <c r="C6" s="2873"/>
      <c r="D6" s="2880"/>
      <c r="E6" s="2873"/>
      <c r="F6" s="2873"/>
      <c r="G6" s="2530"/>
      <c r="H6" s="2875"/>
      <c r="I6" s="2530"/>
      <c r="J6" s="2875"/>
      <c r="K6" s="2530"/>
      <c r="L6" s="2875"/>
      <c r="M6" s="2881"/>
      <c r="N6" s="2881"/>
      <c r="O6" s="2881"/>
      <c r="P6" s="2882"/>
    </row>
    <row r="7" spans="2:17" ht="15.75">
      <c r="B7" s="2872"/>
      <c r="C7" s="2883"/>
      <c r="D7" s="2884"/>
      <c r="E7" s="2885"/>
      <c r="F7" s="2885"/>
      <c r="G7" s="2530"/>
      <c r="H7" s="2875"/>
      <c r="I7" s="2530"/>
      <c r="J7" s="2875"/>
      <c r="K7" s="2530"/>
      <c r="L7" s="2875"/>
      <c r="M7" s="2886"/>
      <c r="N7" s="2886"/>
      <c r="O7" s="2886"/>
      <c r="P7" s="2887"/>
    </row>
    <row r="8" spans="2:17" s="2895" customFormat="1" ht="16.5" thickBot="1">
      <c r="B8" s="2888" t="s">
        <v>564</v>
      </c>
      <c r="C8" s="2889"/>
      <c r="D8" s="2890" t="s">
        <v>565</v>
      </c>
      <c r="E8" s="2890"/>
      <c r="F8" s="2890"/>
      <c r="G8" s="2891" t="s">
        <v>1529</v>
      </c>
      <c r="H8" s="2892"/>
      <c r="I8" s="2891" t="s">
        <v>1534</v>
      </c>
      <c r="J8" s="2892"/>
      <c r="K8" s="2891" t="s">
        <v>1535</v>
      </c>
      <c r="L8" s="2892"/>
      <c r="M8" s="2892" t="s">
        <v>566</v>
      </c>
      <c r="N8" s="2893"/>
      <c r="O8" s="3625" t="s">
        <v>1550</v>
      </c>
      <c r="P8" s="2894"/>
    </row>
    <row r="9" spans="2:17" s="2895" customFormat="1" ht="15.75">
      <c r="B9" s="2896"/>
      <c r="C9" s="2897"/>
      <c r="D9" s="2898" t="s">
        <v>146</v>
      </c>
      <c r="E9" s="2899"/>
      <c r="F9" s="2899"/>
      <c r="G9" s="2900"/>
      <c r="H9" s="2901"/>
      <c r="I9" s="2900"/>
      <c r="J9" s="2901"/>
      <c r="K9" s="2900"/>
      <c r="L9" s="2901"/>
      <c r="M9" s="2900"/>
      <c r="N9" s="2900"/>
      <c r="O9" s="3626"/>
      <c r="P9" s="2902"/>
    </row>
    <row r="10" spans="2:17" s="2895" customFormat="1" ht="15.75">
      <c r="B10" s="2903">
        <v>10050</v>
      </c>
      <c r="C10" s="2896"/>
      <c r="D10" s="2904" t="s">
        <v>964</v>
      </c>
      <c r="E10" s="2530"/>
      <c r="F10" s="2905"/>
      <c r="G10" s="2906">
        <v>0</v>
      </c>
      <c r="H10" s="2906"/>
      <c r="I10" s="2906">
        <v>0</v>
      </c>
      <c r="J10" s="2906"/>
      <c r="K10" s="2906">
        <v>0</v>
      </c>
      <c r="L10" s="2906"/>
      <c r="M10" s="2906">
        <f>ROUND(SUM(O10)-SUM(K10),2)</f>
        <v>0</v>
      </c>
      <c r="N10" s="2906"/>
      <c r="O10" s="2906">
        <v>0</v>
      </c>
      <c r="P10" s="2907" t="s">
        <v>853</v>
      </c>
      <c r="Q10" s="2908"/>
    </row>
    <row r="11" spans="2:17" s="2895" customFormat="1" ht="16.5" thickBot="1">
      <c r="B11" s="2909"/>
      <c r="C11" s="2897"/>
      <c r="D11" s="2910" t="s">
        <v>567</v>
      </c>
      <c r="E11" s="2899"/>
      <c r="F11" s="2899"/>
      <c r="G11" s="1468">
        <f>ROUND(SUM(G10),2)</f>
        <v>0</v>
      </c>
      <c r="H11" s="1469"/>
      <c r="I11" s="1468">
        <f>ROUND(SUM(I10),2)</f>
        <v>0</v>
      </c>
      <c r="J11" s="1469"/>
      <c r="K11" s="1468">
        <f>ROUND(SUM(K10),2)</f>
        <v>0</v>
      </c>
      <c r="L11" s="1469"/>
      <c r="M11" s="1468">
        <f>ROUND(SUM(M10),2)</f>
        <v>0</v>
      </c>
      <c r="N11" s="1469"/>
      <c r="O11" s="3627">
        <f>ROUND(SUM(O10),2)</f>
        <v>0</v>
      </c>
      <c r="P11" s="2907"/>
      <c r="Q11" s="2908"/>
    </row>
    <row r="12" spans="2:17" s="2895" customFormat="1" ht="16.5" thickTop="1">
      <c r="B12" s="2909"/>
      <c r="C12" s="2911"/>
      <c r="D12" s="2912"/>
      <c r="E12" s="2913"/>
      <c r="F12" s="2913"/>
      <c r="G12" s="1469"/>
      <c r="H12" s="2914"/>
      <c r="I12" s="1469"/>
      <c r="J12" s="2914"/>
      <c r="K12" s="1469"/>
      <c r="L12" s="2914"/>
      <c r="M12" s="1469"/>
      <c r="N12" s="1469"/>
      <c r="O12" s="3628"/>
      <c r="P12" s="2915"/>
      <c r="Q12" s="2908"/>
    </row>
    <row r="13" spans="2:17" s="2895" customFormat="1" ht="15.75">
      <c r="B13" s="2909"/>
      <c r="C13" s="2897"/>
      <c r="D13" s="2898" t="s">
        <v>568</v>
      </c>
      <c r="E13" s="2899"/>
      <c r="F13" s="2899"/>
      <c r="G13" s="2914"/>
      <c r="H13" s="2530"/>
      <c r="I13" s="2914"/>
      <c r="J13" s="2530"/>
      <c r="K13" s="2914"/>
      <c r="L13" s="2530"/>
      <c r="M13" s="2914"/>
      <c r="N13" s="2914"/>
      <c r="O13" s="3629"/>
      <c r="P13" s="2915"/>
      <c r="Q13" s="2908"/>
    </row>
    <row r="14" spans="2:17" s="2895" customFormat="1" ht="15.75">
      <c r="B14" s="2903">
        <v>30051</v>
      </c>
      <c r="C14" s="2866"/>
      <c r="D14" s="2904" t="s">
        <v>569</v>
      </c>
      <c r="E14" s="2866"/>
      <c r="F14" s="1213">
        <v>227042324.13</v>
      </c>
      <c r="G14" s="1213">
        <v>229640531.66999999</v>
      </c>
      <c r="H14" s="1213"/>
      <c r="I14" s="1213">
        <v>251120260.33000001</v>
      </c>
      <c r="J14" s="1213"/>
      <c r="K14" s="1213">
        <v>348649284.20999998</v>
      </c>
      <c r="L14" s="1213"/>
      <c r="M14" s="1213">
        <f>ROUND(SUM(O14)-SUM(K14),2)</f>
        <v>-19783687.030000001</v>
      </c>
      <c r="N14" s="1213"/>
      <c r="O14" s="1213">
        <v>328865597.18000001</v>
      </c>
      <c r="P14" s="2907"/>
      <c r="Q14" s="2908"/>
    </row>
    <row r="15" spans="2:17" s="2895" customFormat="1" ht="15.75">
      <c r="B15" s="2903">
        <v>30053</v>
      </c>
      <c r="C15" s="2866"/>
      <c r="D15" s="2904" t="s">
        <v>1265</v>
      </c>
      <c r="E15" s="2866"/>
      <c r="F15" s="1213"/>
      <c r="G15" s="1213">
        <v>0</v>
      </c>
      <c r="H15" s="1213"/>
      <c r="I15" s="1213">
        <v>0</v>
      </c>
      <c r="J15" s="1213"/>
      <c r="K15" s="1213">
        <v>0</v>
      </c>
      <c r="L15" s="1213"/>
      <c r="M15" s="1213">
        <f>ROUND(SUM(O15)-SUM(K15),2)</f>
        <v>0</v>
      </c>
      <c r="N15" s="1213"/>
      <c r="O15" s="1213">
        <v>0</v>
      </c>
      <c r="P15" s="2907"/>
      <c r="Q15" s="2908"/>
    </row>
    <row r="16" spans="2:17" s="2895" customFormat="1" ht="15.75">
      <c r="B16" s="2903">
        <v>30101</v>
      </c>
      <c r="C16" s="2866"/>
      <c r="D16" s="2904" t="s">
        <v>570</v>
      </c>
      <c r="E16" s="2866"/>
      <c r="F16" s="1213">
        <v>0</v>
      </c>
      <c r="G16" s="1213">
        <v>0</v>
      </c>
      <c r="H16" s="1213"/>
      <c r="I16" s="1213">
        <v>0</v>
      </c>
      <c r="J16" s="1213"/>
      <c r="K16" s="1213">
        <v>0</v>
      </c>
      <c r="L16" s="1213"/>
      <c r="M16" s="1213">
        <f>ROUND(SUM(O16)-SUM(K16),2)</f>
        <v>0</v>
      </c>
      <c r="N16" s="1213"/>
      <c r="O16" s="1213">
        <v>0</v>
      </c>
      <c r="P16" s="2915"/>
      <c r="Q16" s="2908"/>
    </row>
    <row r="17" spans="2:17" s="2895" customFormat="1" ht="15.75">
      <c r="B17" s="2903">
        <v>30102</v>
      </c>
      <c r="C17" s="2866"/>
      <c r="D17" s="2904" t="s">
        <v>571</v>
      </c>
      <c r="E17" s="2866"/>
      <c r="F17" s="1213">
        <v>0</v>
      </c>
      <c r="G17" s="1213">
        <v>0</v>
      </c>
      <c r="H17" s="1213"/>
      <c r="I17" s="1213">
        <v>0</v>
      </c>
      <c r="J17" s="1213"/>
      <c r="K17" s="1213">
        <v>0</v>
      </c>
      <c r="L17" s="1213"/>
      <c r="M17" s="1213">
        <f t="shared" ref="M17:M52" si="0">ROUND(SUM(O17)-SUM(K17),2)</f>
        <v>0</v>
      </c>
      <c r="N17" s="1213"/>
      <c r="O17" s="1213">
        <v>0</v>
      </c>
      <c r="P17" s="2915"/>
      <c r="Q17" s="2908"/>
    </row>
    <row r="18" spans="2:17" s="2895" customFormat="1" ht="15.75">
      <c r="B18" s="2903">
        <v>30103</v>
      </c>
      <c r="C18" s="2866"/>
      <c r="D18" s="2904" t="s">
        <v>572</v>
      </c>
      <c r="E18" s="2866"/>
      <c r="F18" s="1213">
        <v>0</v>
      </c>
      <c r="G18" s="1213">
        <v>0</v>
      </c>
      <c r="H18" s="1213"/>
      <c r="I18" s="1213">
        <v>0</v>
      </c>
      <c r="J18" s="1213"/>
      <c r="K18" s="1213">
        <v>0</v>
      </c>
      <c r="L18" s="1213"/>
      <c r="M18" s="1213">
        <f t="shared" si="0"/>
        <v>0</v>
      </c>
      <c r="N18" s="1213"/>
      <c r="O18" s="1213">
        <v>0</v>
      </c>
      <c r="P18" s="2915"/>
      <c r="Q18" s="2908"/>
    </row>
    <row r="19" spans="2:17" s="2895" customFormat="1" ht="15.75">
      <c r="B19" s="2903">
        <v>30104</v>
      </c>
      <c r="C19" s="2866"/>
      <c r="D19" s="2904" t="s">
        <v>573</v>
      </c>
      <c r="E19" s="2866"/>
      <c r="F19" s="1213">
        <v>140390.18</v>
      </c>
      <c r="G19" s="1213">
        <v>0</v>
      </c>
      <c r="H19" s="1213"/>
      <c r="I19" s="1213">
        <v>0</v>
      </c>
      <c r="J19" s="1213"/>
      <c r="K19" s="1213">
        <v>0</v>
      </c>
      <c r="L19" s="1213"/>
      <c r="M19" s="1213">
        <f t="shared" si="0"/>
        <v>0</v>
      </c>
      <c r="N19" s="1213"/>
      <c r="O19" s="1213">
        <v>0</v>
      </c>
      <c r="P19" s="2915"/>
      <c r="Q19" s="2908"/>
    </row>
    <row r="20" spans="2:17" s="2895" customFormat="1" ht="15.75">
      <c r="B20" s="2903">
        <v>30105</v>
      </c>
      <c r="C20" s="2866"/>
      <c r="D20" s="2904" t="s">
        <v>574</v>
      </c>
      <c r="E20" s="2866"/>
      <c r="F20" s="1213">
        <v>0</v>
      </c>
      <c r="G20" s="1213">
        <v>0</v>
      </c>
      <c r="H20" s="1213"/>
      <c r="I20" s="1213">
        <v>0</v>
      </c>
      <c r="J20" s="1213"/>
      <c r="K20" s="1213">
        <v>0</v>
      </c>
      <c r="L20" s="1213"/>
      <c r="M20" s="1213">
        <f t="shared" si="0"/>
        <v>0</v>
      </c>
      <c r="N20" s="1213"/>
      <c r="O20" s="1213">
        <v>0</v>
      </c>
      <c r="P20" s="2915"/>
      <c r="Q20" s="2908"/>
    </row>
    <row r="21" spans="2:17" s="2895" customFormat="1" ht="15.75">
      <c r="B21" s="2903">
        <v>30106</v>
      </c>
      <c r="C21" s="2866"/>
      <c r="D21" s="2904" t="s">
        <v>1005</v>
      </c>
      <c r="E21" s="2866"/>
      <c r="F21" s="1213">
        <v>0</v>
      </c>
      <c r="G21" s="1213">
        <v>0</v>
      </c>
      <c r="H21" s="1213"/>
      <c r="I21" s="1213">
        <v>0</v>
      </c>
      <c r="J21" s="1213"/>
      <c r="K21" s="1213">
        <v>0</v>
      </c>
      <c r="L21" s="1213"/>
      <c r="M21" s="1213">
        <f t="shared" si="0"/>
        <v>0</v>
      </c>
      <c r="N21" s="1213"/>
      <c r="O21" s="1213">
        <v>0</v>
      </c>
      <c r="P21" s="2915"/>
      <c r="Q21" s="2908"/>
    </row>
    <row r="22" spans="2:17" s="2895" customFormat="1" ht="15.75">
      <c r="B22" s="2903">
        <v>30107</v>
      </c>
      <c r="C22" s="2866"/>
      <c r="D22" s="2904" t="s">
        <v>575</v>
      </c>
      <c r="E22" s="2866"/>
      <c r="F22" s="1213">
        <v>0</v>
      </c>
      <c r="G22" s="1213">
        <v>0</v>
      </c>
      <c r="H22" s="1213"/>
      <c r="I22" s="1213">
        <v>0</v>
      </c>
      <c r="J22" s="1213"/>
      <c r="K22" s="1213">
        <v>0</v>
      </c>
      <c r="L22" s="1213"/>
      <c r="M22" s="1213">
        <f t="shared" si="0"/>
        <v>0</v>
      </c>
      <c r="N22" s="1213"/>
      <c r="O22" s="1213">
        <v>0</v>
      </c>
      <c r="P22" s="2915"/>
      <c r="Q22" s="2908"/>
    </row>
    <row r="23" spans="2:17" s="2895" customFormat="1" ht="15.75">
      <c r="B23" s="2903">
        <v>30108</v>
      </c>
      <c r="C23" s="2866"/>
      <c r="D23" s="2904" t="s">
        <v>1006</v>
      </c>
      <c r="E23" s="2866"/>
      <c r="F23" s="1213">
        <v>0</v>
      </c>
      <c r="G23" s="1213">
        <v>0</v>
      </c>
      <c r="H23" s="1213"/>
      <c r="I23" s="1213">
        <v>0</v>
      </c>
      <c r="J23" s="1213"/>
      <c r="K23" s="1213">
        <v>0</v>
      </c>
      <c r="L23" s="1213"/>
      <c r="M23" s="1213">
        <f t="shared" si="0"/>
        <v>0</v>
      </c>
      <c r="N23" s="1213"/>
      <c r="O23" s="1213">
        <v>0</v>
      </c>
      <c r="P23" s="2915"/>
      <c r="Q23" s="2908"/>
    </row>
    <row r="24" spans="2:17" s="2895" customFormat="1" ht="15.75">
      <c r="B24" s="2903">
        <v>30109</v>
      </c>
      <c r="C24" s="2866"/>
      <c r="D24" s="2904" t="s">
        <v>576</v>
      </c>
      <c r="E24" s="2866"/>
      <c r="F24" s="1213">
        <v>0</v>
      </c>
      <c r="G24" s="1213">
        <v>0</v>
      </c>
      <c r="H24" s="1213"/>
      <c r="I24" s="1213">
        <v>0</v>
      </c>
      <c r="J24" s="1213"/>
      <c r="K24" s="1213">
        <v>0</v>
      </c>
      <c r="L24" s="1213"/>
      <c r="M24" s="1213">
        <f t="shared" si="0"/>
        <v>0</v>
      </c>
      <c r="N24" s="1213"/>
      <c r="O24" s="1213">
        <v>0</v>
      </c>
      <c r="P24" s="2915"/>
      <c r="Q24" s="2908"/>
    </row>
    <row r="25" spans="2:17" s="2895" customFormat="1" ht="15.75">
      <c r="B25" s="2903">
        <v>30110</v>
      </c>
      <c r="C25" s="2866"/>
      <c r="D25" s="2904" t="s">
        <v>577</v>
      </c>
      <c r="E25" s="2866"/>
      <c r="F25" s="1213">
        <v>0</v>
      </c>
      <c r="G25" s="1213">
        <v>0</v>
      </c>
      <c r="H25" s="1213"/>
      <c r="I25" s="1213">
        <v>0</v>
      </c>
      <c r="J25" s="1213"/>
      <c r="K25" s="1213">
        <v>0</v>
      </c>
      <c r="L25" s="1213"/>
      <c r="M25" s="1213">
        <f t="shared" si="0"/>
        <v>0</v>
      </c>
      <c r="N25" s="1213"/>
      <c r="O25" s="1213">
        <v>0</v>
      </c>
      <c r="P25" s="2915"/>
      <c r="Q25" s="2908"/>
    </row>
    <row r="26" spans="2:17" s="2895" customFormat="1" ht="15.75">
      <c r="B26" s="2903">
        <v>30111</v>
      </c>
      <c r="C26" s="2866"/>
      <c r="D26" s="2904" t="s">
        <v>578</v>
      </c>
      <c r="E26" s="2866"/>
      <c r="F26" s="1213">
        <v>0</v>
      </c>
      <c r="G26" s="1213">
        <v>0</v>
      </c>
      <c r="H26" s="1213"/>
      <c r="I26" s="1213">
        <v>0</v>
      </c>
      <c r="J26" s="1213"/>
      <c r="K26" s="1213">
        <v>0</v>
      </c>
      <c r="L26" s="1213"/>
      <c r="M26" s="1213">
        <f t="shared" si="0"/>
        <v>0</v>
      </c>
      <c r="N26" s="1213"/>
      <c r="O26" s="1213">
        <v>0</v>
      </c>
      <c r="P26" s="2915"/>
      <c r="Q26" s="2908"/>
    </row>
    <row r="27" spans="2:17" s="2895" customFormat="1" ht="15.75">
      <c r="B27" s="2903">
        <v>30112</v>
      </c>
      <c r="C27" s="2866"/>
      <c r="D27" s="2904" t="s">
        <v>579</v>
      </c>
      <c r="E27" s="2866"/>
      <c r="F27" s="1213">
        <v>0</v>
      </c>
      <c r="G27" s="1213">
        <v>0</v>
      </c>
      <c r="H27" s="1213"/>
      <c r="I27" s="1213">
        <v>0</v>
      </c>
      <c r="J27" s="1213"/>
      <c r="K27" s="1213">
        <v>0</v>
      </c>
      <c r="L27" s="1213"/>
      <c r="M27" s="1213">
        <f t="shared" si="0"/>
        <v>0</v>
      </c>
      <c r="N27" s="1213"/>
      <c r="O27" s="1213">
        <v>0</v>
      </c>
      <c r="P27" s="2915"/>
      <c r="Q27" s="2908"/>
    </row>
    <row r="28" spans="2:17" s="2895" customFormat="1" ht="15.75">
      <c r="B28" s="2903">
        <v>30113</v>
      </c>
      <c r="C28" s="2866"/>
      <c r="D28" s="2904" t="s">
        <v>580</v>
      </c>
      <c r="E28" s="2866"/>
      <c r="F28" s="1213">
        <v>0</v>
      </c>
      <c r="G28" s="1213">
        <v>0</v>
      </c>
      <c r="H28" s="1213"/>
      <c r="I28" s="1213">
        <v>0</v>
      </c>
      <c r="J28" s="1213"/>
      <c r="K28" s="1213">
        <v>0</v>
      </c>
      <c r="L28" s="1213"/>
      <c r="M28" s="1213">
        <f t="shared" si="0"/>
        <v>0</v>
      </c>
      <c r="N28" s="1213"/>
      <c r="O28" s="1213">
        <v>0</v>
      </c>
      <c r="P28" s="2915"/>
      <c r="Q28" s="2908"/>
    </row>
    <row r="29" spans="2:17" s="2895" customFormat="1" ht="15.75">
      <c r="B29" s="2903">
        <v>30114</v>
      </c>
      <c r="C29" s="2866"/>
      <c r="D29" s="2904" t="s">
        <v>581</v>
      </c>
      <c r="E29" s="2866"/>
      <c r="F29" s="1213">
        <v>0</v>
      </c>
      <c r="G29" s="1213">
        <v>0</v>
      </c>
      <c r="H29" s="1213"/>
      <c r="I29" s="1213">
        <v>0</v>
      </c>
      <c r="J29" s="1213"/>
      <c r="K29" s="1213">
        <v>0</v>
      </c>
      <c r="L29" s="1213"/>
      <c r="M29" s="1213">
        <f t="shared" si="0"/>
        <v>0</v>
      </c>
      <c r="N29" s="1213"/>
      <c r="O29" s="1213">
        <v>0</v>
      </c>
      <c r="P29" s="2915"/>
      <c r="Q29" s="2908"/>
    </row>
    <row r="30" spans="2:17" s="2895" customFormat="1" ht="15.75">
      <c r="B30" s="2903">
        <v>30115</v>
      </c>
      <c r="C30" s="2866"/>
      <c r="D30" s="2904" t="s">
        <v>582</v>
      </c>
      <c r="E30" s="2866"/>
      <c r="F30" s="1213">
        <v>0</v>
      </c>
      <c r="G30" s="1213">
        <v>0</v>
      </c>
      <c r="H30" s="1213"/>
      <c r="I30" s="1213">
        <v>0</v>
      </c>
      <c r="J30" s="1213"/>
      <c r="K30" s="1213">
        <v>0</v>
      </c>
      <c r="L30" s="1213"/>
      <c r="M30" s="1213">
        <f t="shared" si="0"/>
        <v>0</v>
      </c>
      <c r="N30" s="1213"/>
      <c r="O30" s="1213">
        <v>0</v>
      </c>
      <c r="P30" s="2915"/>
      <c r="Q30" s="2908"/>
    </row>
    <row r="31" spans="2:17" s="2895" customFormat="1" ht="15.75">
      <c r="B31" s="2903">
        <v>30116</v>
      </c>
      <c r="C31" s="2866"/>
      <c r="D31" s="2904" t="s">
        <v>583</v>
      </c>
      <c r="E31" s="2866"/>
      <c r="F31" s="1213">
        <v>0</v>
      </c>
      <c r="G31" s="1213">
        <v>0</v>
      </c>
      <c r="H31" s="1213"/>
      <c r="I31" s="1213">
        <v>0</v>
      </c>
      <c r="J31" s="1213"/>
      <c r="K31" s="1213">
        <v>0</v>
      </c>
      <c r="L31" s="1213"/>
      <c r="M31" s="1213">
        <f t="shared" si="0"/>
        <v>0</v>
      </c>
      <c r="N31" s="1213"/>
      <c r="O31" s="1213">
        <v>0</v>
      </c>
      <c r="P31" s="2915"/>
      <c r="Q31" s="2908"/>
    </row>
    <row r="32" spans="2:17" s="2895" customFormat="1" ht="15.75">
      <c r="B32" s="2903">
        <v>30117</v>
      </c>
      <c r="C32" s="2866"/>
      <c r="D32" s="2904" t="s">
        <v>584</v>
      </c>
      <c r="E32" s="2866"/>
      <c r="F32" s="1213">
        <v>0</v>
      </c>
      <c r="G32" s="1213">
        <v>0</v>
      </c>
      <c r="H32" s="1213"/>
      <c r="I32" s="1213">
        <v>0</v>
      </c>
      <c r="J32" s="1213"/>
      <c r="K32" s="1213">
        <v>0</v>
      </c>
      <c r="L32" s="1213"/>
      <c r="M32" s="1213">
        <f t="shared" si="0"/>
        <v>0</v>
      </c>
      <c r="N32" s="1213"/>
      <c r="O32" s="1213">
        <v>0</v>
      </c>
      <c r="P32" s="2915"/>
      <c r="Q32" s="2908"/>
    </row>
    <row r="33" spans="2:17" s="2895" customFormat="1" ht="15.75">
      <c r="B33" s="2903">
        <v>30118</v>
      </c>
      <c r="C33" s="2866"/>
      <c r="D33" s="2904" t="s">
        <v>585</v>
      </c>
      <c r="E33" s="2866"/>
      <c r="F33" s="1213">
        <v>0</v>
      </c>
      <c r="G33" s="1213">
        <v>0</v>
      </c>
      <c r="H33" s="1213"/>
      <c r="I33" s="1213">
        <v>0</v>
      </c>
      <c r="J33" s="1213"/>
      <c r="K33" s="1213">
        <v>0</v>
      </c>
      <c r="L33" s="1213"/>
      <c r="M33" s="1213">
        <f t="shared" si="0"/>
        <v>0</v>
      </c>
      <c r="N33" s="1213"/>
      <c r="O33" s="1213">
        <v>0</v>
      </c>
      <c r="P33" s="2915"/>
      <c r="Q33" s="2908"/>
    </row>
    <row r="34" spans="2:17" s="2895" customFormat="1" ht="15.75">
      <c r="B34" s="2903">
        <v>30119</v>
      </c>
      <c r="C34" s="2866"/>
      <c r="D34" s="2904" t="s">
        <v>586</v>
      </c>
      <c r="E34" s="2866"/>
      <c r="F34" s="1213">
        <v>0</v>
      </c>
      <c r="G34" s="1213">
        <v>0</v>
      </c>
      <c r="H34" s="1213"/>
      <c r="I34" s="1213">
        <v>0</v>
      </c>
      <c r="J34" s="1213"/>
      <c r="K34" s="1213">
        <v>0</v>
      </c>
      <c r="L34" s="1213"/>
      <c r="M34" s="1213">
        <f t="shared" si="0"/>
        <v>0</v>
      </c>
      <c r="N34" s="1213"/>
      <c r="O34" s="1213">
        <v>0</v>
      </c>
      <c r="P34" s="2915"/>
      <c r="Q34" s="2908"/>
    </row>
    <row r="35" spans="2:17" s="2895" customFormat="1" ht="15.75">
      <c r="B35" s="2903">
        <v>30120</v>
      </c>
      <c r="C35" s="2866"/>
      <c r="D35" s="2904" t="s">
        <v>587</v>
      </c>
      <c r="E35" s="2866"/>
      <c r="F35" s="1213">
        <v>0</v>
      </c>
      <c r="G35" s="1213">
        <v>0</v>
      </c>
      <c r="H35" s="1213"/>
      <c r="I35" s="1213">
        <v>0</v>
      </c>
      <c r="J35" s="1213"/>
      <c r="K35" s="1213">
        <v>0</v>
      </c>
      <c r="L35" s="1213"/>
      <c r="M35" s="1213">
        <f t="shared" si="0"/>
        <v>0</v>
      </c>
      <c r="N35" s="1213"/>
      <c r="O35" s="1213">
        <v>0</v>
      </c>
      <c r="P35" s="2915"/>
      <c r="Q35" s="2908"/>
    </row>
    <row r="36" spans="2:17" s="2895" customFormat="1" ht="15.75">
      <c r="B36" s="2903">
        <v>30121</v>
      </c>
      <c r="C36" s="2866"/>
      <c r="D36" s="2904" t="s">
        <v>588</v>
      </c>
      <c r="E36" s="2866"/>
      <c r="F36" s="1213">
        <v>0</v>
      </c>
      <c r="G36" s="1213">
        <v>0</v>
      </c>
      <c r="H36" s="1213"/>
      <c r="I36" s="1213">
        <v>0</v>
      </c>
      <c r="J36" s="1213"/>
      <c r="K36" s="1213">
        <v>0</v>
      </c>
      <c r="L36" s="1213"/>
      <c r="M36" s="1213">
        <f t="shared" si="0"/>
        <v>0</v>
      </c>
      <c r="N36" s="1213"/>
      <c r="O36" s="1213">
        <v>0</v>
      </c>
      <c r="P36" s="2915"/>
      <c r="Q36" s="2908"/>
    </row>
    <row r="37" spans="2:17" s="2895" customFormat="1" ht="15.75">
      <c r="B37" s="2903">
        <v>30122</v>
      </c>
      <c r="C37" s="2866"/>
      <c r="D37" s="2904" t="s">
        <v>589</v>
      </c>
      <c r="E37" s="2866"/>
      <c r="F37" s="1213">
        <v>0</v>
      </c>
      <c r="G37" s="1213">
        <v>0</v>
      </c>
      <c r="H37" s="1213"/>
      <c r="I37" s="1213">
        <v>0</v>
      </c>
      <c r="J37" s="1213"/>
      <c r="K37" s="1213">
        <v>0</v>
      </c>
      <c r="L37" s="1213"/>
      <c r="M37" s="1213">
        <f t="shared" si="0"/>
        <v>0</v>
      </c>
      <c r="N37" s="1213"/>
      <c r="O37" s="1213">
        <v>0</v>
      </c>
      <c r="P37" s="2915"/>
      <c r="Q37" s="2908"/>
    </row>
    <row r="38" spans="2:17" s="2895" customFormat="1" ht="15.75">
      <c r="B38" s="2903">
        <v>30123</v>
      </c>
      <c r="C38" s="2866"/>
      <c r="D38" s="2904" t="s">
        <v>590</v>
      </c>
      <c r="E38" s="2866"/>
      <c r="F38" s="1213">
        <v>0</v>
      </c>
      <c r="G38" s="1213">
        <v>0</v>
      </c>
      <c r="H38" s="1213"/>
      <c r="I38" s="1213">
        <v>0</v>
      </c>
      <c r="J38" s="1213"/>
      <c r="K38" s="1213">
        <v>0</v>
      </c>
      <c r="L38" s="1213"/>
      <c r="M38" s="1213">
        <f t="shared" si="0"/>
        <v>0</v>
      </c>
      <c r="N38" s="1213"/>
      <c r="O38" s="1213">
        <v>0</v>
      </c>
      <c r="P38" s="2915"/>
      <c r="Q38" s="2908"/>
    </row>
    <row r="39" spans="2:17" s="2895" customFormat="1" ht="15.75">
      <c r="B39" s="2903">
        <v>30124</v>
      </c>
      <c r="C39" s="2866"/>
      <c r="D39" s="2904" t="s">
        <v>591</v>
      </c>
      <c r="E39" s="2866"/>
      <c r="F39" s="1213">
        <v>0</v>
      </c>
      <c r="G39" s="1213">
        <v>0</v>
      </c>
      <c r="H39" s="1213"/>
      <c r="I39" s="1213">
        <v>0</v>
      </c>
      <c r="J39" s="1213"/>
      <c r="K39" s="1213">
        <v>0</v>
      </c>
      <c r="L39" s="1213"/>
      <c r="M39" s="1213">
        <f t="shared" si="0"/>
        <v>0</v>
      </c>
      <c r="N39" s="1213"/>
      <c r="O39" s="1213">
        <v>0</v>
      </c>
      <c r="P39" s="2915"/>
      <c r="Q39" s="2908"/>
    </row>
    <row r="40" spans="2:17" s="2895" customFormat="1" ht="15.75">
      <c r="B40" s="2903">
        <v>30125</v>
      </c>
      <c r="C40" s="2866"/>
      <c r="D40" s="2904" t="s">
        <v>592</v>
      </c>
      <c r="E40" s="2866"/>
      <c r="F40" s="1213">
        <v>0</v>
      </c>
      <c r="G40" s="1213">
        <v>0</v>
      </c>
      <c r="H40" s="1213"/>
      <c r="I40" s="1213">
        <v>0</v>
      </c>
      <c r="J40" s="1213"/>
      <c r="K40" s="1213">
        <v>0</v>
      </c>
      <c r="L40" s="1213"/>
      <c r="M40" s="1213">
        <f t="shared" si="0"/>
        <v>0</v>
      </c>
      <c r="N40" s="1213"/>
      <c r="O40" s="1213">
        <v>0</v>
      </c>
      <c r="P40" s="2915"/>
      <c r="Q40" s="2908"/>
    </row>
    <row r="41" spans="2:17" s="2895" customFormat="1" ht="15.75">
      <c r="B41" s="2903">
        <v>30126</v>
      </c>
      <c r="C41" s="2866"/>
      <c r="D41" s="2904" t="s">
        <v>593</v>
      </c>
      <c r="E41" s="2866"/>
      <c r="F41" s="1213">
        <v>0</v>
      </c>
      <c r="G41" s="1213">
        <v>0</v>
      </c>
      <c r="H41" s="1213"/>
      <c r="I41" s="1213">
        <v>0</v>
      </c>
      <c r="J41" s="1213"/>
      <c r="K41" s="1213">
        <v>0</v>
      </c>
      <c r="L41" s="1213"/>
      <c r="M41" s="1213">
        <f t="shared" si="0"/>
        <v>0</v>
      </c>
      <c r="N41" s="1213"/>
      <c r="O41" s="1213">
        <v>0</v>
      </c>
      <c r="P41" s="2915"/>
      <c r="Q41" s="2908"/>
    </row>
    <row r="42" spans="2:17" s="2895" customFormat="1" ht="15.75">
      <c r="B42" s="2903">
        <v>30127</v>
      </c>
      <c r="C42" s="2866"/>
      <c r="D42" s="2904" t="s">
        <v>594</v>
      </c>
      <c r="E42" s="2866"/>
      <c r="F42" s="1213">
        <v>0</v>
      </c>
      <c r="G42" s="1213">
        <v>0</v>
      </c>
      <c r="H42" s="1213"/>
      <c r="I42" s="1213">
        <v>0</v>
      </c>
      <c r="J42" s="1213"/>
      <c r="K42" s="1213">
        <v>0</v>
      </c>
      <c r="L42" s="1213"/>
      <c r="M42" s="1213">
        <f t="shared" si="0"/>
        <v>0</v>
      </c>
      <c r="N42" s="1213"/>
      <c r="O42" s="1213">
        <v>0</v>
      </c>
      <c r="P42" s="2915"/>
      <c r="Q42" s="2908"/>
    </row>
    <row r="43" spans="2:17" s="2895" customFormat="1" ht="15.75">
      <c r="B43" s="2903">
        <v>30128</v>
      </c>
      <c r="C43" s="2866"/>
      <c r="D43" s="2904" t="s">
        <v>595</v>
      </c>
      <c r="E43" s="2866"/>
      <c r="F43" s="1213">
        <v>0</v>
      </c>
      <c r="G43" s="1213">
        <v>0</v>
      </c>
      <c r="H43" s="1213"/>
      <c r="I43" s="1213">
        <v>0</v>
      </c>
      <c r="J43" s="1213"/>
      <c r="K43" s="1213">
        <v>0</v>
      </c>
      <c r="L43" s="1213"/>
      <c r="M43" s="1213">
        <f t="shared" si="0"/>
        <v>0</v>
      </c>
      <c r="N43" s="1213"/>
      <c r="O43" s="1213">
        <v>0</v>
      </c>
      <c r="P43" s="2915"/>
      <c r="Q43" s="2908"/>
    </row>
    <row r="44" spans="2:17" s="2895" customFormat="1" ht="15.75">
      <c r="B44" s="2903">
        <v>30129</v>
      </c>
      <c r="C44" s="2866"/>
      <c r="D44" s="2904" t="s">
        <v>596</v>
      </c>
      <c r="E44" s="2866"/>
      <c r="F44" s="1213">
        <v>0</v>
      </c>
      <c r="G44" s="1213">
        <v>0</v>
      </c>
      <c r="H44" s="1213"/>
      <c r="I44" s="1213">
        <v>0</v>
      </c>
      <c r="J44" s="1213"/>
      <c r="K44" s="1213">
        <v>0</v>
      </c>
      <c r="L44" s="1213"/>
      <c r="M44" s="1213">
        <f t="shared" si="0"/>
        <v>0</v>
      </c>
      <c r="N44" s="1213"/>
      <c r="O44" s="1213">
        <v>0</v>
      </c>
      <c r="P44" s="2915"/>
      <c r="Q44" s="2908"/>
    </row>
    <row r="45" spans="2:17" s="2895" customFormat="1" ht="15.75">
      <c r="B45" s="2903">
        <v>30130</v>
      </c>
      <c r="C45" s="2866"/>
      <c r="D45" s="2904" t="s">
        <v>597</v>
      </c>
      <c r="E45" s="2866"/>
      <c r="F45" s="1213">
        <v>0</v>
      </c>
      <c r="G45" s="1213">
        <v>0</v>
      </c>
      <c r="H45" s="1213"/>
      <c r="I45" s="1213">
        <v>0</v>
      </c>
      <c r="J45" s="1213"/>
      <c r="K45" s="1213">
        <v>0</v>
      </c>
      <c r="L45" s="1213"/>
      <c r="M45" s="1213">
        <f t="shared" si="0"/>
        <v>0</v>
      </c>
      <c r="N45" s="1213"/>
      <c r="O45" s="1213">
        <v>0</v>
      </c>
      <c r="P45" s="2915"/>
      <c r="Q45" s="2908"/>
    </row>
    <row r="46" spans="2:17" s="2895" customFormat="1" ht="15.75">
      <c r="B46" s="2903">
        <v>30131</v>
      </c>
      <c r="C46" s="2866"/>
      <c r="D46" s="2904" t="s">
        <v>598</v>
      </c>
      <c r="E46" s="2866"/>
      <c r="F46" s="1213">
        <v>0</v>
      </c>
      <c r="G46" s="1213">
        <v>0</v>
      </c>
      <c r="H46" s="1213"/>
      <c r="I46" s="1213">
        <v>0</v>
      </c>
      <c r="J46" s="1213"/>
      <c r="K46" s="1213">
        <v>0</v>
      </c>
      <c r="L46" s="1213"/>
      <c r="M46" s="1213">
        <f t="shared" si="0"/>
        <v>0</v>
      </c>
      <c r="N46" s="1213"/>
      <c r="O46" s="1213">
        <v>0</v>
      </c>
      <c r="P46" s="2915"/>
      <c r="Q46" s="2908"/>
    </row>
    <row r="47" spans="2:17" s="2895" customFormat="1" ht="15.75">
      <c r="B47" s="2903">
        <v>30132</v>
      </c>
      <c r="C47" s="2866"/>
      <c r="D47" s="2904" t="s">
        <v>599</v>
      </c>
      <c r="E47" s="2866"/>
      <c r="F47" s="1213">
        <v>0</v>
      </c>
      <c r="G47" s="1213">
        <v>0</v>
      </c>
      <c r="H47" s="1213"/>
      <c r="I47" s="1213">
        <v>0</v>
      </c>
      <c r="J47" s="1213"/>
      <c r="K47" s="1213">
        <v>0</v>
      </c>
      <c r="L47" s="1213"/>
      <c r="M47" s="1213">
        <f t="shared" si="0"/>
        <v>0</v>
      </c>
      <c r="N47" s="1213"/>
      <c r="O47" s="1213">
        <v>0</v>
      </c>
      <c r="P47" s="2915"/>
      <c r="Q47" s="2908"/>
    </row>
    <row r="48" spans="2:17" s="2895" customFormat="1" ht="15.75">
      <c r="B48" s="2903">
        <v>30133</v>
      </c>
      <c r="C48" s="2866"/>
      <c r="D48" s="2904" t="s">
        <v>600</v>
      </c>
      <c r="E48" s="2866"/>
      <c r="F48" s="1213">
        <v>0</v>
      </c>
      <c r="G48" s="1213">
        <v>0</v>
      </c>
      <c r="H48" s="1213"/>
      <c r="I48" s="1213">
        <v>0</v>
      </c>
      <c r="J48" s="1213"/>
      <c r="K48" s="1213">
        <v>0</v>
      </c>
      <c r="L48" s="1213"/>
      <c r="M48" s="1213">
        <f t="shared" si="0"/>
        <v>0</v>
      </c>
      <c r="N48" s="1213"/>
      <c r="O48" s="1213">
        <v>0</v>
      </c>
      <c r="P48" s="2915"/>
      <c r="Q48" s="2908"/>
    </row>
    <row r="49" spans="2:17" s="2895" customFormat="1" ht="15.75">
      <c r="B49" s="2903">
        <v>30134</v>
      </c>
      <c r="C49" s="2866"/>
      <c r="D49" s="2904" t="s">
        <v>601</v>
      </c>
      <c r="E49" s="2866"/>
      <c r="F49" s="1213">
        <v>0</v>
      </c>
      <c r="G49" s="1213">
        <v>0</v>
      </c>
      <c r="H49" s="1213"/>
      <c r="I49" s="1213">
        <v>0</v>
      </c>
      <c r="J49" s="1213"/>
      <c r="K49" s="1213">
        <v>0</v>
      </c>
      <c r="L49" s="1213"/>
      <c r="M49" s="1213">
        <f t="shared" si="0"/>
        <v>0</v>
      </c>
      <c r="N49" s="1213"/>
      <c r="O49" s="1213">
        <v>0</v>
      </c>
      <c r="P49" s="2915"/>
      <c r="Q49" s="2908"/>
    </row>
    <row r="50" spans="2:17" s="2895" customFormat="1" ht="15.75">
      <c r="B50" s="2903">
        <v>30135</v>
      </c>
      <c r="C50" s="2866"/>
      <c r="D50" s="2904" t="s">
        <v>602</v>
      </c>
      <c r="E50" s="2866"/>
      <c r="F50" s="1213">
        <v>0</v>
      </c>
      <c r="G50" s="1213">
        <v>0</v>
      </c>
      <c r="H50" s="1213"/>
      <c r="I50" s="1213">
        <v>0</v>
      </c>
      <c r="J50" s="1213"/>
      <c r="K50" s="1213">
        <v>0</v>
      </c>
      <c r="L50" s="1213"/>
      <c r="M50" s="1213">
        <f t="shared" si="0"/>
        <v>0</v>
      </c>
      <c r="N50" s="1213"/>
      <c r="O50" s="1213">
        <v>0</v>
      </c>
      <c r="P50" s="2915"/>
      <c r="Q50" s="2908"/>
    </row>
    <row r="51" spans="2:17" s="2895" customFormat="1" ht="15.75">
      <c r="B51" s="2903">
        <v>30136</v>
      </c>
      <c r="C51" s="2866"/>
      <c r="D51" s="2904" t="s">
        <v>603</v>
      </c>
      <c r="E51" s="2866"/>
      <c r="F51" s="1213">
        <v>0</v>
      </c>
      <c r="G51" s="1213">
        <v>0</v>
      </c>
      <c r="H51" s="1213"/>
      <c r="I51" s="1213">
        <v>0</v>
      </c>
      <c r="J51" s="1213"/>
      <c r="K51" s="1213">
        <v>0</v>
      </c>
      <c r="L51" s="1213"/>
      <c r="M51" s="1213">
        <f t="shared" si="0"/>
        <v>0</v>
      </c>
      <c r="N51" s="1213"/>
      <c r="O51" s="1213">
        <v>0</v>
      </c>
      <c r="P51" s="2915"/>
      <c r="Q51" s="2908"/>
    </row>
    <row r="52" spans="2:17" s="2895" customFormat="1" ht="15.75">
      <c r="B52" s="2903">
        <v>30137</v>
      </c>
      <c r="C52" s="2866"/>
      <c r="D52" s="2904" t="s">
        <v>604</v>
      </c>
      <c r="E52" s="2866"/>
      <c r="F52" s="1213">
        <v>2867.69</v>
      </c>
      <c r="G52" s="1213">
        <v>0</v>
      </c>
      <c r="H52" s="1213"/>
      <c r="I52" s="1213">
        <v>0</v>
      </c>
      <c r="J52" s="1213"/>
      <c r="K52" s="1213">
        <v>0</v>
      </c>
      <c r="L52" s="1213"/>
      <c r="M52" s="1213">
        <f t="shared" si="0"/>
        <v>0</v>
      </c>
      <c r="N52" s="1213"/>
      <c r="O52" s="1213">
        <v>0</v>
      </c>
      <c r="P52" s="2915"/>
      <c r="Q52" s="2908"/>
    </row>
    <row r="53" spans="2:17" s="2895" customFormat="1" ht="15.75">
      <c r="B53" s="2903">
        <v>30138</v>
      </c>
      <c r="C53" s="2866"/>
      <c r="D53" s="2904" t="s">
        <v>605</v>
      </c>
      <c r="E53" s="2866"/>
      <c r="F53" s="1213">
        <v>0</v>
      </c>
      <c r="G53" s="1213">
        <v>0</v>
      </c>
      <c r="H53" s="1213"/>
      <c r="I53" s="1213">
        <v>0</v>
      </c>
      <c r="J53" s="1213"/>
      <c r="K53" s="1213">
        <v>0</v>
      </c>
      <c r="L53" s="1213"/>
      <c r="M53" s="1213">
        <f t="shared" ref="M53:M75" si="1">ROUND(SUM(O53)-SUM(K53),2)</f>
        <v>0</v>
      </c>
      <c r="N53" s="1213"/>
      <c r="O53" s="1213">
        <v>0</v>
      </c>
      <c r="P53" s="2915"/>
      <c r="Q53" s="2908"/>
    </row>
    <row r="54" spans="2:17" s="2895" customFormat="1" ht="15.75">
      <c r="B54" s="2903">
        <v>30139</v>
      </c>
      <c r="C54" s="2866"/>
      <c r="D54" s="2904" t="s">
        <v>606</v>
      </c>
      <c r="E54" s="2866"/>
      <c r="F54" s="1213">
        <v>0</v>
      </c>
      <c r="G54" s="1213">
        <v>0</v>
      </c>
      <c r="H54" s="1213"/>
      <c r="I54" s="1213">
        <v>0</v>
      </c>
      <c r="J54" s="1213"/>
      <c r="K54" s="1213">
        <v>0</v>
      </c>
      <c r="L54" s="1213"/>
      <c r="M54" s="1213">
        <f t="shared" si="1"/>
        <v>0</v>
      </c>
      <c r="N54" s="1213"/>
      <c r="O54" s="1213">
        <v>0</v>
      </c>
      <c r="P54" s="2915"/>
      <c r="Q54" s="2908"/>
    </row>
    <row r="55" spans="2:17" s="2895" customFormat="1" ht="15.75">
      <c r="B55" s="2903">
        <v>30140</v>
      </c>
      <c r="C55" s="2866"/>
      <c r="D55" s="2904" t="s">
        <v>607</v>
      </c>
      <c r="E55" s="2866"/>
      <c r="F55" s="1213">
        <v>0</v>
      </c>
      <c r="G55" s="1213">
        <v>0</v>
      </c>
      <c r="H55" s="1213"/>
      <c r="I55" s="1213">
        <v>0</v>
      </c>
      <c r="J55" s="1213"/>
      <c r="K55" s="1213">
        <v>0</v>
      </c>
      <c r="L55" s="1213"/>
      <c r="M55" s="1213">
        <f t="shared" si="1"/>
        <v>0</v>
      </c>
      <c r="N55" s="1213"/>
      <c r="O55" s="1213">
        <v>0</v>
      </c>
      <c r="P55" s="2915"/>
      <c r="Q55" s="2908"/>
    </row>
    <row r="56" spans="2:17" s="2895" customFormat="1" ht="15.75">
      <c r="B56" s="2903">
        <v>30141</v>
      </c>
      <c r="C56" s="2866"/>
      <c r="D56" s="2904" t="s">
        <v>608</v>
      </c>
      <c r="E56" s="2866"/>
      <c r="F56" s="1213">
        <v>0</v>
      </c>
      <c r="G56" s="1213">
        <v>0</v>
      </c>
      <c r="H56" s="1213"/>
      <c r="I56" s="1213">
        <v>0</v>
      </c>
      <c r="J56" s="1213"/>
      <c r="K56" s="1213">
        <v>0</v>
      </c>
      <c r="L56" s="1213"/>
      <c r="M56" s="1213">
        <f t="shared" si="1"/>
        <v>0</v>
      </c>
      <c r="N56" s="1213"/>
      <c r="O56" s="1213">
        <v>0</v>
      </c>
      <c r="P56" s="2915"/>
      <c r="Q56" s="2908"/>
    </row>
    <row r="57" spans="2:17" s="2895" customFormat="1" ht="15.75">
      <c r="B57" s="2903">
        <v>30142</v>
      </c>
      <c r="C57" s="2866"/>
      <c r="D57" s="2904" t="s">
        <v>609</v>
      </c>
      <c r="E57" s="2866"/>
      <c r="F57" s="1213">
        <v>0</v>
      </c>
      <c r="G57" s="1213">
        <v>0</v>
      </c>
      <c r="H57" s="1213"/>
      <c r="I57" s="1213">
        <v>0</v>
      </c>
      <c r="J57" s="1213"/>
      <c r="K57" s="1213">
        <v>0</v>
      </c>
      <c r="L57" s="1213"/>
      <c r="M57" s="1213">
        <f t="shared" si="1"/>
        <v>0</v>
      </c>
      <c r="N57" s="1213"/>
      <c r="O57" s="1213">
        <v>0</v>
      </c>
      <c r="P57" s="2915"/>
      <c r="Q57" s="2908"/>
    </row>
    <row r="58" spans="2:17" s="2895" customFormat="1" ht="15.75">
      <c r="B58" s="2903">
        <v>30143</v>
      </c>
      <c r="C58" s="2866"/>
      <c r="D58" s="2904" t="s">
        <v>610</v>
      </c>
      <c r="E58" s="2866"/>
      <c r="F58" s="1213">
        <v>0</v>
      </c>
      <c r="G58" s="1213">
        <v>0</v>
      </c>
      <c r="H58" s="1213"/>
      <c r="I58" s="1213">
        <v>0</v>
      </c>
      <c r="J58" s="1213"/>
      <c r="K58" s="1213">
        <v>0</v>
      </c>
      <c r="L58" s="1213"/>
      <c r="M58" s="1213">
        <f t="shared" si="1"/>
        <v>0</v>
      </c>
      <c r="N58" s="1213"/>
      <c r="O58" s="1213">
        <v>0</v>
      </c>
      <c r="P58" s="2915"/>
      <c r="Q58" s="2908"/>
    </row>
    <row r="59" spans="2:17" s="2895" customFormat="1" ht="15.75">
      <c r="B59" s="2903">
        <v>30144</v>
      </c>
      <c r="C59" s="2866"/>
      <c r="D59" s="2904" t="s">
        <v>611</v>
      </c>
      <c r="E59" s="2866"/>
      <c r="F59" s="1213">
        <v>0</v>
      </c>
      <c r="G59" s="1213">
        <v>0</v>
      </c>
      <c r="H59" s="1213"/>
      <c r="I59" s="1213">
        <v>0</v>
      </c>
      <c r="J59" s="1213"/>
      <c r="K59" s="1213">
        <v>0</v>
      </c>
      <c r="L59" s="1213"/>
      <c r="M59" s="1213">
        <f t="shared" si="1"/>
        <v>0</v>
      </c>
      <c r="N59" s="1213"/>
      <c r="O59" s="1213">
        <v>0</v>
      </c>
      <c r="P59" s="2915"/>
      <c r="Q59" s="2908"/>
    </row>
    <row r="60" spans="2:17" s="2895" customFormat="1" ht="15.75">
      <c r="B60" s="2903">
        <v>30145</v>
      </c>
      <c r="C60" s="2866"/>
      <c r="D60" s="2904" t="s">
        <v>612</v>
      </c>
      <c r="E60" s="2866"/>
      <c r="F60" s="1213">
        <v>0</v>
      </c>
      <c r="G60" s="1213">
        <v>0</v>
      </c>
      <c r="H60" s="1213"/>
      <c r="I60" s="1213">
        <v>0</v>
      </c>
      <c r="J60" s="1213"/>
      <c r="K60" s="1213">
        <v>0</v>
      </c>
      <c r="L60" s="1213"/>
      <c r="M60" s="1213">
        <f t="shared" si="1"/>
        <v>0</v>
      </c>
      <c r="N60" s="1213"/>
      <c r="O60" s="1213">
        <v>0</v>
      </c>
      <c r="P60" s="2915"/>
      <c r="Q60" s="2908"/>
    </row>
    <row r="61" spans="2:17" s="2895" customFormat="1" ht="15.75">
      <c r="B61" s="2903">
        <v>30146</v>
      </c>
      <c r="C61" s="2866"/>
      <c r="D61" s="2904" t="s">
        <v>613</v>
      </c>
      <c r="E61" s="2866"/>
      <c r="F61" s="1213">
        <v>0</v>
      </c>
      <c r="G61" s="1213">
        <v>0</v>
      </c>
      <c r="H61" s="1213"/>
      <c r="I61" s="1213">
        <v>0</v>
      </c>
      <c r="J61" s="1213"/>
      <c r="K61" s="1213">
        <v>0</v>
      </c>
      <c r="L61" s="1213"/>
      <c r="M61" s="1213">
        <f t="shared" si="1"/>
        <v>0</v>
      </c>
      <c r="N61" s="1213"/>
      <c r="O61" s="1213">
        <v>0</v>
      </c>
      <c r="P61" s="2915"/>
      <c r="Q61" s="2908"/>
    </row>
    <row r="62" spans="2:17" s="2895" customFormat="1" ht="15.75">
      <c r="B62" s="2903">
        <v>30147</v>
      </c>
      <c r="C62" s="2866"/>
      <c r="D62" s="2904" t="s">
        <v>614</v>
      </c>
      <c r="E62" s="2866"/>
      <c r="F62" s="1213">
        <v>0</v>
      </c>
      <c r="G62" s="1213">
        <v>801040.11</v>
      </c>
      <c r="H62" s="1213"/>
      <c r="I62" s="1213">
        <v>839392.34</v>
      </c>
      <c r="J62" s="1213"/>
      <c r="K62" s="1213">
        <v>953069.38</v>
      </c>
      <c r="L62" s="1213"/>
      <c r="M62" s="1213">
        <f t="shared" si="1"/>
        <v>182135.45</v>
      </c>
      <c r="N62" s="1213"/>
      <c r="O62" s="1213">
        <v>1135204.83</v>
      </c>
      <c r="P62" s="2915"/>
      <c r="Q62" s="2908"/>
    </row>
    <row r="63" spans="2:17" s="2895" customFormat="1" ht="15.75">
      <c r="B63" s="2903">
        <v>30148</v>
      </c>
      <c r="C63" s="2866"/>
      <c r="D63" s="2904" t="s">
        <v>615</v>
      </c>
      <c r="E63" s="2866"/>
      <c r="F63" s="1213">
        <v>0</v>
      </c>
      <c r="G63" s="1213">
        <v>0</v>
      </c>
      <c r="H63" s="1213"/>
      <c r="I63" s="1213">
        <v>0</v>
      </c>
      <c r="J63" s="1213"/>
      <c r="K63" s="1213">
        <v>0</v>
      </c>
      <c r="L63" s="1213"/>
      <c r="M63" s="1213">
        <f t="shared" si="1"/>
        <v>0</v>
      </c>
      <c r="N63" s="1213"/>
      <c r="O63" s="1213">
        <v>0</v>
      </c>
      <c r="P63" s="2915"/>
      <c r="Q63" s="2908"/>
    </row>
    <row r="64" spans="2:17" s="2895" customFormat="1" ht="15.75">
      <c r="B64" s="2903">
        <v>30149</v>
      </c>
      <c r="C64" s="2866"/>
      <c r="D64" s="2904" t="s">
        <v>616</v>
      </c>
      <c r="E64" s="2866"/>
      <c r="F64" s="1213">
        <v>0</v>
      </c>
      <c r="G64" s="1213">
        <v>0</v>
      </c>
      <c r="H64" s="1213"/>
      <c r="I64" s="1213">
        <v>0</v>
      </c>
      <c r="J64" s="1213"/>
      <c r="K64" s="1213">
        <v>0</v>
      </c>
      <c r="L64" s="1213"/>
      <c r="M64" s="1213">
        <f t="shared" si="1"/>
        <v>0</v>
      </c>
      <c r="N64" s="1213"/>
      <c r="O64" s="1213">
        <v>0</v>
      </c>
      <c r="P64" s="2915"/>
      <c r="Q64" s="2908"/>
    </row>
    <row r="65" spans="2:17" s="2895" customFormat="1" ht="15.75">
      <c r="B65" s="2903">
        <v>30150</v>
      </c>
      <c r="C65" s="2866"/>
      <c r="D65" s="2904" t="s">
        <v>617</v>
      </c>
      <c r="E65" s="2866"/>
      <c r="F65" s="1213">
        <v>0</v>
      </c>
      <c r="G65" s="1213">
        <v>0</v>
      </c>
      <c r="H65" s="1213"/>
      <c r="I65" s="1213">
        <v>0</v>
      </c>
      <c r="J65" s="1213"/>
      <c r="K65" s="1213">
        <v>0</v>
      </c>
      <c r="L65" s="1213"/>
      <c r="M65" s="1213">
        <f t="shared" si="1"/>
        <v>0</v>
      </c>
      <c r="N65" s="1213"/>
      <c r="O65" s="1213">
        <v>0</v>
      </c>
      <c r="P65" s="2915"/>
      <c r="Q65" s="2908"/>
    </row>
    <row r="66" spans="2:17" s="2895" customFormat="1" ht="15.75">
      <c r="B66" s="2903">
        <v>30151</v>
      </c>
      <c r="C66" s="2866"/>
      <c r="D66" s="2904" t="s">
        <v>618</v>
      </c>
      <c r="E66" s="2866"/>
      <c r="F66" s="1213">
        <v>0</v>
      </c>
      <c r="G66" s="1213">
        <v>0</v>
      </c>
      <c r="H66" s="1213"/>
      <c r="I66" s="1213">
        <v>0</v>
      </c>
      <c r="J66" s="1213"/>
      <c r="K66" s="1213">
        <v>0</v>
      </c>
      <c r="L66" s="1213"/>
      <c r="M66" s="1213">
        <f t="shared" si="1"/>
        <v>0</v>
      </c>
      <c r="N66" s="1213"/>
      <c r="O66" s="1213">
        <v>0</v>
      </c>
      <c r="P66" s="2915"/>
      <c r="Q66" s="2908"/>
    </row>
    <row r="67" spans="2:17" s="2895" customFormat="1" ht="15.75">
      <c r="B67" s="2903">
        <v>30152</v>
      </c>
      <c r="C67" s="2866"/>
      <c r="D67" s="2904" t="s">
        <v>619</v>
      </c>
      <c r="E67" s="2866"/>
      <c r="F67" s="1213">
        <v>0</v>
      </c>
      <c r="G67" s="1213">
        <v>0</v>
      </c>
      <c r="H67" s="1213"/>
      <c r="I67" s="1213">
        <v>0</v>
      </c>
      <c r="J67" s="1213"/>
      <c r="K67" s="1213">
        <v>0</v>
      </c>
      <c r="L67" s="1213"/>
      <c r="M67" s="1213">
        <f t="shared" si="1"/>
        <v>0</v>
      </c>
      <c r="N67" s="1213"/>
      <c r="O67" s="1213">
        <v>0</v>
      </c>
      <c r="P67" s="2915"/>
      <c r="Q67" s="2908"/>
    </row>
    <row r="68" spans="2:17" s="2895" customFormat="1" ht="15.75">
      <c r="B68" s="2903">
        <v>30153</v>
      </c>
      <c r="C68" s="2866"/>
      <c r="D68" s="2904" t="s">
        <v>620</v>
      </c>
      <c r="E68" s="2866"/>
      <c r="F68" s="1213">
        <v>0</v>
      </c>
      <c r="G68" s="1213">
        <v>0</v>
      </c>
      <c r="H68" s="1213"/>
      <c r="I68" s="1213">
        <v>0</v>
      </c>
      <c r="J68" s="1213"/>
      <c r="K68" s="1213">
        <v>0</v>
      </c>
      <c r="L68" s="1213"/>
      <c r="M68" s="1213">
        <f t="shared" si="1"/>
        <v>0</v>
      </c>
      <c r="N68" s="1213"/>
      <c r="O68" s="1213">
        <v>0</v>
      </c>
      <c r="P68" s="2915"/>
      <c r="Q68" s="2908"/>
    </row>
    <row r="69" spans="2:17" s="2895" customFormat="1" ht="15.75">
      <c r="B69" s="2903">
        <v>30154</v>
      </c>
      <c r="C69" s="2866"/>
      <c r="D69" s="2904" t="s">
        <v>621</v>
      </c>
      <c r="E69" s="2866"/>
      <c r="F69" s="1213">
        <v>0</v>
      </c>
      <c r="G69" s="1213">
        <v>0</v>
      </c>
      <c r="H69" s="1213"/>
      <c r="I69" s="1213">
        <v>0</v>
      </c>
      <c r="J69" s="1213"/>
      <c r="K69" s="1213">
        <v>0</v>
      </c>
      <c r="L69" s="1213"/>
      <c r="M69" s="1213">
        <f t="shared" si="1"/>
        <v>0</v>
      </c>
      <c r="N69" s="1213"/>
      <c r="O69" s="1213">
        <v>0</v>
      </c>
      <c r="P69" s="2915"/>
      <c r="Q69" s="2908"/>
    </row>
    <row r="70" spans="2:17" s="2895" customFormat="1" ht="15.75">
      <c r="B70" s="2903">
        <v>30351</v>
      </c>
      <c r="C70" s="2866"/>
      <c r="D70" s="2904" t="s">
        <v>622</v>
      </c>
      <c r="E70" s="2866"/>
      <c r="F70" s="1213">
        <v>72792259.140000001</v>
      </c>
      <c r="G70" s="1213">
        <v>34853969.609999999</v>
      </c>
      <c r="H70" s="1213"/>
      <c r="I70" s="1213">
        <v>48651826.340000004</v>
      </c>
      <c r="J70" s="1213"/>
      <c r="K70" s="1213">
        <v>55768416.640000001</v>
      </c>
      <c r="L70" s="1213"/>
      <c r="M70" s="1213">
        <f t="shared" si="1"/>
        <v>-2638133.8199999998</v>
      </c>
      <c r="N70" s="1213"/>
      <c r="O70" s="1213">
        <v>53130282.82</v>
      </c>
      <c r="P70" s="2915"/>
      <c r="Q70" s="2908"/>
    </row>
    <row r="71" spans="2:17" s="2895" customFormat="1" ht="15.75">
      <c r="B71" s="2903">
        <v>30501</v>
      </c>
      <c r="C71" s="2866"/>
      <c r="D71" s="2904" t="s">
        <v>623</v>
      </c>
      <c r="E71" s="2866"/>
      <c r="F71" s="1213">
        <v>169.29</v>
      </c>
      <c r="G71" s="1213">
        <v>0</v>
      </c>
      <c r="H71" s="1213"/>
      <c r="I71" s="1213">
        <v>0</v>
      </c>
      <c r="J71" s="1213"/>
      <c r="K71" s="1213">
        <v>0</v>
      </c>
      <c r="L71" s="1213"/>
      <c r="M71" s="1213">
        <f t="shared" si="1"/>
        <v>0</v>
      </c>
      <c r="N71" s="1213"/>
      <c r="O71" s="1213">
        <v>0</v>
      </c>
      <c r="P71" s="2915"/>
      <c r="Q71" s="2908"/>
    </row>
    <row r="72" spans="2:17" s="2895" customFormat="1" ht="15.75">
      <c r="B72" s="2903">
        <v>30502</v>
      </c>
      <c r="C72" s="2866"/>
      <c r="D72" s="2904" t="s">
        <v>624</v>
      </c>
      <c r="E72" s="2866"/>
      <c r="F72" s="1213">
        <v>0</v>
      </c>
      <c r="G72" s="1213">
        <v>0</v>
      </c>
      <c r="H72" s="1213"/>
      <c r="I72" s="1213">
        <v>0</v>
      </c>
      <c r="J72" s="1213"/>
      <c r="K72" s="1213">
        <v>0</v>
      </c>
      <c r="L72" s="1213"/>
      <c r="M72" s="1213">
        <f t="shared" si="1"/>
        <v>0</v>
      </c>
      <c r="N72" s="1213"/>
      <c r="O72" s="1213">
        <v>0</v>
      </c>
      <c r="P72" s="2915"/>
      <c r="Q72" s="2908"/>
    </row>
    <row r="73" spans="2:17" s="2895" customFormat="1" ht="15.75">
      <c r="B73" s="2903">
        <v>30503</v>
      </c>
      <c r="C73" s="2866"/>
      <c r="D73" s="2904" t="s">
        <v>625</v>
      </c>
      <c r="E73" s="2866"/>
      <c r="F73" s="1213">
        <v>0</v>
      </c>
      <c r="G73" s="1213">
        <v>0</v>
      </c>
      <c r="H73" s="1213"/>
      <c r="I73" s="1213">
        <v>0</v>
      </c>
      <c r="J73" s="1213"/>
      <c r="K73" s="1213">
        <v>0</v>
      </c>
      <c r="L73" s="1213"/>
      <c r="M73" s="1213">
        <f t="shared" si="1"/>
        <v>0</v>
      </c>
      <c r="N73" s="1213"/>
      <c r="O73" s="1213">
        <v>0</v>
      </c>
      <c r="P73" s="2915"/>
      <c r="Q73" s="2908"/>
    </row>
    <row r="74" spans="2:17" s="2895" customFormat="1" ht="15.75">
      <c r="B74" s="2903">
        <v>30504</v>
      </c>
      <c r="C74" s="2866"/>
      <c r="D74" s="2916" t="s">
        <v>626</v>
      </c>
      <c r="E74" s="2866"/>
      <c r="F74" s="1213">
        <v>0</v>
      </c>
      <c r="G74" s="1213">
        <v>0</v>
      </c>
      <c r="H74" s="1213"/>
      <c r="I74" s="1213">
        <v>0</v>
      </c>
      <c r="J74" s="1213"/>
      <c r="K74" s="1213">
        <v>0</v>
      </c>
      <c r="L74" s="1213"/>
      <c r="M74" s="1213">
        <f t="shared" si="1"/>
        <v>0</v>
      </c>
      <c r="N74" s="1213"/>
      <c r="O74" s="1213">
        <v>0</v>
      </c>
      <c r="P74" s="2915"/>
      <c r="Q74" s="2908"/>
    </row>
    <row r="75" spans="2:17" s="2895" customFormat="1" ht="15.75">
      <c r="B75" s="2903">
        <v>31506</v>
      </c>
      <c r="C75" s="2917"/>
      <c r="D75" s="2918" t="s">
        <v>627</v>
      </c>
      <c r="E75" s="2919"/>
      <c r="F75" s="1213">
        <v>109849194.79000001</v>
      </c>
      <c r="G75" s="1213">
        <v>90789823.060000002</v>
      </c>
      <c r="H75" s="1213"/>
      <c r="I75" s="1213">
        <v>99450386.329999998</v>
      </c>
      <c r="J75" s="1213"/>
      <c r="K75" s="1213">
        <v>106962837.42</v>
      </c>
      <c r="L75" s="1213"/>
      <c r="M75" s="1213">
        <f t="shared" si="1"/>
        <v>13261925.369999999</v>
      </c>
      <c r="N75" s="1213"/>
      <c r="O75" s="1213">
        <v>120224762.79000001</v>
      </c>
      <c r="P75" s="2915"/>
      <c r="Q75" s="2908"/>
    </row>
    <row r="76" spans="2:17" s="2895" customFormat="1" ht="15.75">
      <c r="B76" s="2903">
        <v>31701</v>
      </c>
      <c r="C76" s="2866"/>
      <c r="D76" s="2904" t="s">
        <v>628</v>
      </c>
      <c r="E76" s="2866"/>
      <c r="F76" s="1213">
        <v>7423246.6200000001</v>
      </c>
      <c r="G76" s="1213">
        <v>17191103.280000001</v>
      </c>
      <c r="H76" s="1213"/>
      <c r="I76" s="1213">
        <v>17665916.530000001</v>
      </c>
      <c r="J76" s="1213"/>
      <c r="K76" s="1213">
        <v>12387821.98</v>
      </c>
      <c r="L76" s="1213"/>
      <c r="M76" s="1213">
        <f t="shared" ref="M76:M83" si="2">ROUND(SUM(O76)-SUM(K76),2)</f>
        <v>623536.42000000004</v>
      </c>
      <c r="N76" s="1213"/>
      <c r="O76" s="1213">
        <v>13011358.4</v>
      </c>
      <c r="P76" s="2915"/>
      <c r="Q76" s="2908"/>
    </row>
    <row r="77" spans="2:17" s="2895" customFormat="1" ht="15.75">
      <c r="B77" s="2903">
        <v>31801</v>
      </c>
      <c r="C77" s="2866"/>
      <c r="D77" s="2904" t="s">
        <v>629</v>
      </c>
      <c r="E77" s="2866"/>
      <c r="F77" s="1213">
        <v>13150846.050000001</v>
      </c>
      <c r="G77" s="1213">
        <v>12941967.060000001</v>
      </c>
      <c r="H77" s="1213"/>
      <c r="I77" s="1213">
        <v>12941967.060000001</v>
      </c>
      <c r="J77" s="1213"/>
      <c r="K77" s="1213">
        <v>12941967.060000001</v>
      </c>
      <c r="L77" s="1213"/>
      <c r="M77" s="1213">
        <f t="shared" si="2"/>
        <v>0</v>
      </c>
      <c r="N77" s="1213"/>
      <c r="O77" s="1213">
        <v>12941967.060000001</v>
      </c>
      <c r="P77" s="2915"/>
      <c r="Q77" s="2908"/>
    </row>
    <row r="78" spans="2:17" s="2895" customFormat="1" ht="15.75">
      <c r="B78" s="2903">
        <v>31851</v>
      </c>
      <c r="C78" s="2866"/>
      <c r="D78" s="2916" t="s">
        <v>630</v>
      </c>
      <c r="E78" s="2866"/>
      <c r="F78" s="1213">
        <v>0</v>
      </c>
      <c r="G78" s="1213">
        <v>299615002.56</v>
      </c>
      <c r="H78" s="1213"/>
      <c r="I78" s="1213">
        <v>302876002.56</v>
      </c>
      <c r="J78" s="1213"/>
      <c r="K78" s="1213">
        <v>116954523.31999999</v>
      </c>
      <c r="L78" s="1213"/>
      <c r="M78" s="1213">
        <f t="shared" si="2"/>
        <v>12312413.130000001</v>
      </c>
      <c r="N78" s="1213"/>
      <c r="O78" s="1213">
        <v>129266936.45</v>
      </c>
      <c r="P78" s="2915"/>
      <c r="Q78" s="2908"/>
    </row>
    <row r="79" spans="2:17" s="2895" customFormat="1" ht="15.75">
      <c r="B79" s="2903">
        <v>31852</v>
      </c>
      <c r="C79" s="2866"/>
      <c r="D79" s="2904" t="s">
        <v>631</v>
      </c>
      <c r="E79" s="2866"/>
      <c r="F79" s="1213">
        <v>40679225.310000002</v>
      </c>
      <c r="G79" s="1213">
        <v>44736658.810000002</v>
      </c>
      <c r="H79" s="1213"/>
      <c r="I79" s="1213">
        <v>44736658.810000002</v>
      </c>
      <c r="J79" s="1213"/>
      <c r="K79" s="1213">
        <v>38695121.719999999</v>
      </c>
      <c r="L79" s="1213"/>
      <c r="M79" s="1213">
        <f t="shared" si="2"/>
        <v>0</v>
      </c>
      <c r="N79" s="1213"/>
      <c r="O79" s="1213">
        <v>38695121.719999999</v>
      </c>
      <c r="P79" s="2915"/>
      <c r="Q79" s="2908"/>
    </row>
    <row r="80" spans="2:17" s="2895" customFormat="1" ht="15.75">
      <c r="B80" s="2903">
        <v>31853</v>
      </c>
      <c r="C80" s="2866"/>
      <c r="D80" s="2916" t="s">
        <v>632</v>
      </c>
      <c r="E80" s="2866"/>
      <c r="F80" s="1213">
        <v>76297899.909999996</v>
      </c>
      <c r="G80" s="1213">
        <v>104339684.37</v>
      </c>
      <c r="H80" s="1213"/>
      <c r="I80" s="1213">
        <v>108739684.37</v>
      </c>
      <c r="J80" s="1213"/>
      <c r="K80" s="1213">
        <v>99246517.140000001</v>
      </c>
      <c r="L80" s="1213"/>
      <c r="M80" s="1213">
        <f t="shared" si="2"/>
        <v>3200000</v>
      </c>
      <c r="N80" s="1213"/>
      <c r="O80" s="1213">
        <v>102446517.14</v>
      </c>
      <c r="P80" s="2915"/>
      <c r="Q80" s="2908"/>
    </row>
    <row r="81" spans="2:17" s="2895" customFormat="1" ht="15.75">
      <c r="B81" s="2903">
        <v>31854</v>
      </c>
      <c r="C81" s="2866"/>
      <c r="D81" s="2904" t="s">
        <v>633</v>
      </c>
      <c r="E81" s="2866"/>
      <c r="F81" s="1213">
        <v>0</v>
      </c>
      <c r="G81" s="1213">
        <v>0</v>
      </c>
      <c r="H81" s="1213"/>
      <c r="I81" s="1213">
        <v>0</v>
      </c>
      <c r="J81" s="1213"/>
      <c r="K81" s="1213">
        <v>0</v>
      </c>
      <c r="L81" s="1213"/>
      <c r="M81" s="1213">
        <f t="shared" si="2"/>
        <v>0</v>
      </c>
      <c r="N81" s="1213"/>
      <c r="O81" s="1213">
        <v>0</v>
      </c>
      <c r="P81" s="2915"/>
      <c r="Q81" s="2908"/>
    </row>
    <row r="82" spans="2:17" s="2895" customFormat="1" ht="15.75">
      <c r="B82" s="2903">
        <v>31951</v>
      </c>
      <c r="C82" s="2866"/>
      <c r="D82" s="2916" t="s">
        <v>634</v>
      </c>
      <c r="E82" s="2866"/>
      <c r="F82" s="1213">
        <v>12348115.710000001</v>
      </c>
      <c r="G82" s="1213">
        <v>11956479.77</v>
      </c>
      <c r="H82" s="1213"/>
      <c r="I82" s="1213">
        <v>11956479.77</v>
      </c>
      <c r="J82" s="1213"/>
      <c r="K82" s="1213">
        <v>11956479.77</v>
      </c>
      <c r="L82" s="1213"/>
      <c r="M82" s="1213">
        <f t="shared" si="2"/>
        <v>0</v>
      </c>
      <c r="N82" s="1213"/>
      <c r="O82" s="1213">
        <v>11956479.77</v>
      </c>
      <c r="P82" s="2915"/>
      <c r="Q82" s="2908"/>
    </row>
    <row r="83" spans="2:17" s="2895" customFormat="1" ht="15.75">
      <c r="B83" s="2903">
        <v>32213</v>
      </c>
      <c r="C83" s="2866"/>
      <c r="D83" s="2904" t="s">
        <v>635</v>
      </c>
      <c r="E83" s="2866"/>
      <c r="F83" s="1213">
        <v>153750</v>
      </c>
      <c r="G83" s="1213">
        <v>153750</v>
      </c>
      <c r="H83" s="1213"/>
      <c r="I83" s="1213">
        <v>153750</v>
      </c>
      <c r="J83" s="1213"/>
      <c r="K83" s="1213">
        <v>153750</v>
      </c>
      <c r="L83" s="1213"/>
      <c r="M83" s="1213">
        <f t="shared" si="2"/>
        <v>0</v>
      </c>
      <c r="N83" s="1213"/>
      <c r="O83" s="1213">
        <v>153750</v>
      </c>
      <c r="P83" s="2915"/>
      <c r="Q83" s="2908"/>
    </row>
    <row r="84" spans="2:17" s="2895" customFormat="1" ht="15.75">
      <c r="B84" s="2903">
        <v>32214</v>
      </c>
      <c r="C84" s="2866"/>
      <c r="D84" s="2904" t="s">
        <v>1266</v>
      </c>
      <c r="E84" s="2866"/>
      <c r="F84" s="1213"/>
      <c r="G84" s="1213">
        <v>0</v>
      </c>
      <c r="H84" s="1213"/>
      <c r="I84" s="1213">
        <v>0</v>
      </c>
      <c r="J84" s="1213"/>
      <c r="K84" s="1213">
        <v>0</v>
      </c>
      <c r="L84" s="1213"/>
      <c r="M84" s="1213">
        <f t="shared" ref="M84" si="3">ROUND(SUM(O84)-SUM(K84),2)</f>
        <v>0</v>
      </c>
      <c r="N84" s="1213"/>
      <c r="O84" s="1213">
        <v>0</v>
      </c>
      <c r="P84" s="2915"/>
      <c r="Q84" s="2908"/>
    </row>
    <row r="85" spans="2:17" s="2895" customFormat="1" ht="15.75">
      <c r="B85" s="2903">
        <v>32215</v>
      </c>
      <c r="C85" s="2866"/>
      <c r="D85" s="2904" t="s">
        <v>1240</v>
      </c>
      <c r="E85" s="2866"/>
      <c r="F85" s="1213"/>
      <c r="G85" s="1213">
        <v>3394250.29</v>
      </c>
      <c r="H85" s="1213"/>
      <c r="I85" s="1213">
        <v>3825768.96</v>
      </c>
      <c r="J85" s="1213"/>
      <c r="K85" s="1213">
        <v>4765153.9000000004</v>
      </c>
      <c r="L85" s="1213"/>
      <c r="M85" s="1213">
        <f>ROUND(SUM(O85)-SUM(K85),2)</f>
        <v>460950.11</v>
      </c>
      <c r="N85" s="1213"/>
      <c r="O85" s="1213">
        <v>5226104.01</v>
      </c>
      <c r="P85" s="2915"/>
      <c r="Q85" s="2908"/>
    </row>
    <row r="86" spans="2:17" s="2895" customFormat="1" ht="15.75">
      <c r="B86" s="2903">
        <v>32219</v>
      </c>
      <c r="C86" s="2866"/>
      <c r="D86" s="2904" t="s">
        <v>1298</v>
      </c>
      <c r="E86" s="2866"/>
      <c r="F86" s="1213"/>
      <c r="G86" s="1213">
        <v>0</v>
      </c>
      <c r="H86" s="1213"/>
      <c r="I86" s="1213">
        <v>0</v>
      </c>
      <c r="J86" s="1213"/>
      <c r="K86" s="1213">
        <v>180</v>
      </c>
      <c r="L86" s="1213"/>
      <c r="M86" s="1213">
        <f>ROUND(SUM(O86)-SUM(K86),2)</f>
        <v>-180</v>
      </c>
      <c r="N86" s="1213"/>
      <c r="O86" s="1213">
        <v>0</v>
      </c>
      <c r="P86" s="2915"/>
      <c r="Q86" s="2908"/>
    </row>
    <row r="87" spans="2:17" s="2895" customFormat="1" ht="15.75">
      <c r="B87" s="2903">
        <v>32301</v>
      </c>
      <c r="C87" s="2866"/>
      <c r="D87" s="2916" t="s">
        <v>636</v>
      </c>
      <c r="E87" s="2919"/>
      <c r="F87" s="1213">
        <v>0</v>
      </c>
      <c r="G87" s="1213">
        <v>0</v>
      </c>
      <c r="H87" s="1213"/>
      <c r="I87" s="1213">
        <v>0</v>
      </c>
      <c r="J87" s="1213"/>
      <c r="K87" s="1213">
        <v>0</v>
      </c>
      <c r="L87" s="1213"/>
      <c r="M87" s="1213">
        <f t="shared" ref="M87:M101" si="4">ROUND(SUM(O87)-SUM(K87),2)</f>
        <v>0</v>
      </c>
      <c r="N87" s="1213"/>
      <c r="O87" s="1213">
        <v>0</v>
      </c>
      <c r="P87" s="2915"/>
      <c r="Q87" s="2908"/>
    </row>
    <row r="88" spans="2:17" s="2895" customFormat="1" ht="15.75">
      <c r="B88" s="2903">
        <v>32302</v>
      </c>
      <c r="C88" s="2866"/>
      <c r="D88" s="2916" t="s">
        <v>1007</v>
      </c>
      <c r="E88" s="2919"/>
      <c r="F88" s="1213">
        <v>0</v>
      </c>
      <c r="G88" s="1213">
        <v>0</v>
      </c>
      <c r="H88" s="1213"/>
      <c r="I88" s="1213">
        <v>0</v>
      </c>
      <c r="J88" s="1213"/>
      <c r="K88" s="1213">
        <v>0</v>
      </c>
      <c r="L88" s="1213"/>
      <c r="M88" s="1213">
        <f t="shared" si="4"/>
        <v>0</v>
      </c>
      <c r="N88" s="1213"/>
      <c r="O88" s="1213">
        <v>0</v>
      </c>
      <c r="P88" s="2915"/>
      <c r="Q88" s="2908"/>
    </row>
    <row r="89" spans="2:17" s="2895" customFormat="1" ht="15.75">
      <c r="B89" s="2903">
        <v>32303</v>
      </c>
      <c r="C89" s="2866"/>
      <c r="D89" s="2904" t="s">
        <v>637</v>
      </c>
      <c r="E89" s="2919"/>
      <c r="F89" s="1213">
        <v>87723047.260000005</v>
      </c>
      <c r="G89" s="1213">
        <v>70034608.010000005</v>
      </c>
      <c r="H89" s="1213"/>
      <c r="I89" s="1213">
        <v>70371273.019999996</v>
      </c>
      <c r="J89" s="1213"/>
      <c r="K89" s="1213">
        <v>71862321.370000005</v>
      </c>
      <c r="L89" s="1213"/>
      <c r="M89" s="1213">
        <f t="shared" si="4"/>
        <v>409060.39</v>
      </c>
      <c r="N89" s="1213"/>
      <c r="O89" s="1213">
        <v>72271381.760000005</v>
      </c>
      <c r="P89" s="2915"/>
      <c r="Q89" s="2908"/>
    </row>
    <row r="90" spans="2:17" s="2895" customFormat="1" ht="15.75">
      <c r="B90" s="2903">
        <v>32304</v>
      </c>
      <c r="C90" s="2866"/>
      <c r="D90" s="2904" t="s">
        <v>638</v>
      </c>
      <c r="E90" s="2919"/>
      <c r="F90" s="1213">
        <v>0</v>
      </c>
      <c r="G90" s="1213">
        <v>0</v>
      </c>
      <c r="H90" s="1213"/>
      <c r="I90" s="1213">
        <v>0</v>
      </c>
      <c r="J90" s="1213"/>
      <c r="K90" s="1213">
        <v>0</v>
      </c>
      <c r="L90" s="1213"/>
      <c r="M90" s="1213">
        <f t="shared" si="4"/>
        <v>0</v>
      </c>
      <c r="N90" s="1213"/>
      <c r="O90" s="1213">
        <v>0</v>
      </c>
      <c r="P90" s="2915"/>
      <c r="Q90" s="2908"/>
    </row>
    <row r="91" spans="2:17" s="2895" customFormat="1" ht="15.75">
      <c r="B91" s="2903">
        <v>32305</v>
      </c>
      <c r="C91" s="2866"/>
      <c r="D91" s="2904" t="s">
        <v>1008</v>
      </c>
      <c r="E91" s="2919"/>
      <c r="F91" s="1213">
        <v>172362230.61000001</v>
      </c>
      <c r="G91" s="1213">
        <v>181628539.69</v>
      </c>
      <c r="H91" s="1213"/>
      <c r="I91" s="1213">
        <v>182617289.69</v>
      </c>
      <c r="J91" s="1213"/>
      <c r="K91" s="1213">
        <v>185432642.59</v>
      </c>
      <c r="L91" s="1213"/>
      <c r="M91" s="1213">
        <f t="shared" si="4"/>
        <v>-1027075.62</v>
      </c>
      <c r="N91" s="1213"/>
      <c r="O91" s="1213">
        <v>184405566.97</v>
      </c>
      <c r="P91" s="2915"/>
      <c r="Q91" s="2908"/>
    </row>
    <row r="92" spans="2:17" s="2895" customFormat="1" ht="15.75">
      <c r="B92" s="2903">
        <v>32306</v>
      </c>
      <c r="C92" s="2866"/>
      <c r="D92" s="2916" t="s">
        <v>639</v>
      </c>
      <c r="E92" s="2919"/>
      <c r="F92" s="1213">
        <v>26767629.280000001</v>
      </c>
      <c r="G92" s="1213">
        <v>0</v>
      </c>
      <c r="H92" s="1213"/>
      <c r="I92" s="1213">
        <v>0</v>
      </c>
      <c r="J92" s="1213"/>
      <c r="K92" s="1213">
        <v>0</v>
      </c>
      <c r="L92" s="1213"/>
      <c r="M92" s="1213">
        <f t="shared" si="4"/>
        <v>0</v>
      </c>
      <c r="N92" s="1213"/>
      <c r="O92" s="1213">
        <v>0</v>
      </c>
      <c r="P92" s="2915"/>
      <c r="Q92" s="2908"/>
    </row>
    <row r="93" spans="2:17" s="2895" customFormat="1" ht="15.75">
      <c r="B93" s="2903">
        <v>32307</v>
      </c>
      <c r="C93" s="2866"/>
      <c r="D93" s="2916" t="s">
        <v>640</v>
      </c>
      <c r="E93" s="2919"/>
      <c r="F93" s="1213">
        <v>5430710.0300000003</v>
      </c>
      <c r="G93" s="1213">
        <v>7828273.3899999997</v>
      </c>
      <c r="H93" s="1213"/>
      <c r="I93" s="1213">
        <v>7828273.3899999997</v>
      </c>
      <c r="J93" s="1213"/>
      <c r="K93" s="1213">
        <v>11650968.390000001</v>
      </c>
      <c r="L93" s="1213"/>
      <c r="M93" s="1213">
        <f t="shared" si="4"/>
        <v>0</v>
      </c>
      <c r="N93" s="1213"/>
      <c r="O93" s="1213">
        <v>11650968.390000001</v>
      </c>
      <c r="P93" s="2915"/>
      <c r="Q93" s="2908"/>
    </row>
    <row r="94" spans="2:17" s="2895" customFormat="1" ht="15.75">
      <c r="B94" s="2903">
        <v>32308</v>
      </c>
      <c r="C94" s="2866"/>
      <c r="D94" s="2916" t="s">
        <v>641</v>
      </c>
      <c r="E94" s="2919"/>
      <c r="F94" s="1213">
        <v>539890.44999999995</v>
      </c>
      <c r="G94" s="1213">
        <v>2581221.2000000002</v>
      </c>
      <c r="H94" s="1213"/>
      <c r="I94" s="1213">
        <v>2581221.2000000002</v>
      </c>
      <c r="J94" s="1213"/>
      <c r="K94" s="1213">
        <v>2581221.2000000002</v>
      </c>
      <c r="L94" s="1213"/>
      <c r="M94" s="1213">
        <f t="shared" si="4"/>
        <v>0</v>
      </c>
      <c r="N94" s="1213"/>
      <c r="O94" s="1213">
        <v>2581221.2000000002</v>
      </c>
      <c r="P94" s="2915"/>
      <c r="Q94" s="2908"/>
    </row>
    <row r="95" spans="2:17" s="2895" customFormat="1" ht="15.75">
      <c r="B95" s="2903">
        <v>32309</v>
      </c>
      <c r="C95" s="2866"/>
      <c r="D95" s="2916" t="s">
        <v>642</v>
      </c>
      <c r="E95" s="2919"/>
      <c r="F95" s="1213">
        <v>104401100.42</v>
      </c>
      <c r="G95" s="1213">
        <v>125053038.62</v>
      </c>
      <c r="H95" s="1213"/>
      <c r="I95" s="1213">
        <v>155276393.22999999</v>
      </c>
      <c r="J95" s="1213"/>
      <c r="K95" s="1213">
        <v>165417218.75999999</v>
      </c>
      <c r="L95" s="1213"/>
      <c r="M95" s="1213">
        <f t="shared" si="4"/>
        <v>12923540.51</v>
      </c>
      <c r="N95" s="1213"/>
      <c r="O95" s="1213">
        <v>178340759.27000001</v>
      </c>
      <c r="P95" s="2915"/>
      <c r="Q95" s="2908"/>
    </row>
    <row r="96" spans="2:17" s="2895" customFormat="1" ht="15.75">
      <c r="B96" s="2903">
        <v>32310</v>
      </c>
      <c r="C96" s="2866"/>
      <c r="D96" s="2916" t="s">
        <v>643</v>
      </c>
      <c r="E96" s="2919"/>
      <c r="F96" s="1213">
        <v>0</v>
      </c>
      <c r="G96" s="1213">
        <v>19371024.280000001</v>
      </c>
      <c r="H96" s="1213"/>
      <c r="I96" s="1213">
        <v>29377388.350000001</v>
      </c>
      <c r="J96" s="1213"/>
      <c r="K96" s="1213">
        <v>31697903.16</v>
      </c>
      <c r="L96" s="1213"/>
      <c r="M96" s="1213">
        <f t="shared" si="4"/>
        <v>0</v>
      </c>
      <c r="N96" s="1213"/>
      <c r="O96" s="1213">
        <v>31697903.16</v>
      </c>
      <c r="P96" s="2915"/>
      <c r="Q96" s="2908"/>
    </row>
    <row r="97" spans="2:17" s="2895" customFormat="1" ht="17.25">
      <c r="B97" s="2903">
        <v>32311</v>
      </c>
      <c r="C97" s="2866"/>
      <c r="D97" s="2920" t="s">
        <v>644</v>
      </c>
      <c r="E97" s="2919"/>
      <c r="F97" s="1213">
        <v>2486315.4700000002</v>
      </c>
      <c r="G97" s="1213">
        <v>2484056.85</v>
      </c>
      <c r="H97" s="1213"/>
      <c r="I97" s="1213">
        <v>3400362.44</v>
      </c>
      <c r="J97" s="1213"/>
      <c r="K97" s="1213">
        <v>3203257.72</v>
      </c>
      <c r="L97" s="1213"/>
      <c r="M97" s="1213">
        <f t="shared" si="4"/>
        <v>78766.53</v>
      </c>
      <c r="N97" s="1213"/>
      <c r="O97" s="1213">
        <v>3282024.25</v>
      </c>
      <c r="P97" s="2915"/>
      <c r="Q97" s="2908"/>
    </row>
    <row r="98" spans="2:17" s="2895" customFormat="1" ht="15.75">
      <c r="B98" s="2903">
        <v>32351</v>
      </c>
      <c r="C98" s="2866"/>
      <c r="D98" s="2916" t="s">
        <v>645</v>
      </c>
      <c r="E98" s="2919"/>
      <c r="F98" s="1213">
        <v>11110.01</v>
      </c>
      <c r="G98" s="1213">
        <v>0</v>
      </c>
      <c r="H98" s="1213"/>
      <c r="I98" s="1213">
        <v>0</v>
      </c>
      <c r="J98" s="1213"/>
      <c r="K98" s="1213">
        <v>0</v>
      </c>
      <c r="L98" s="1213"/>
      <c r="M98" s="1213">
        <f t="shared" si="4"/>
        <v>0</v>
      </c>
      <c r="N98" s="1213"/>
      <c r="O98" s="1213">
        <v>0</v>
      </c>
      <c r="P98" s="2915"/>
      <c r="Q98" s="2908"/>
    </row>
    <row r="99" spans="2:17" s="2895" customFormat="1" ht="15.75">
      <c r="B99" s="2921">
        <v>32352</v>
      </c>
      <c r="C99" s="2922"/>
      <c r="D99" s="2923" t="s">
        <v>646</v>
      </c>
      <c r="E99" s="2924"/>
      <c r="F99" s="1213">
        <v>65245293.57</v>
      </c>
      <c r="G99" s="1213">
        <v>232977446.81999999</v>
      </c>
      <c r="H99" s="1213"/>
      <c r="I99" s="1213">
        <v>251945041.28</v>
      </c>
      <c r="J99" s="1213"/>
      <c r="K99" s="1213">
        <v>194435239.84999999</v>
      </c>
      <c r="L99" s="1213"/>
      <c r="M99" s="1213">
        <f t="shared" ref="M99" si="5">ROUND(SUM(O99)-SUM(K99),2)</f>
        <v>20552418.559999999</v>
      </c>
      <c r="N99" s="1213"/>
      <c r="O99" s="1213">
        <v>214987658.41</v>
      </c>
      <c r="P99" s="2925"/>
      <c r="Q99" s="2908"/>
    </row>
    <row r="100" spans="2:17" s="2895" customFormat="1" ht="15.75">
      <c r="B100" s="2921">
        <v>32353</v>
      </c>
      <c r="C100" s="2922"/>
      <c r="D100" s="2923" t="s">
        <v>1376</v>
      </c>
      <c r="E100" s="2924"/>
      <c r="F100" s="1213"/>
      <c r="G100" s="1213">
        <v>0.55000000000000004</v>
      </c>
      <c r="H100" s="1213"/>
      <c r="I100" s="1213">
        <v>0</v>
      </c>
      <c r="J100" s="1213"/>
      <c r="K100" s="1213">
        <v>0</v>
      </c>
      <c r="L100" s="1213"/>
      <c r="M100" s="1213">
        <f>ROUND(SUM(O100)-SUM(K100),2)</f>
        <v>0</v>
      </c>
      <c r="N100" s="1213"/>
      <c r="O100" s="1213">
        <v>0</v>
      </c>
      <c r="P100" s="2925"/>
      <c r="Q100" s="2908"/>
    </row>
    <row r="101" spans="2:17" s="2895" customFormat="1" ht="15.75">
      <c r="B101" s="2903">
        <v>33001</v>
      </c>
      <c r="C101" s="2866"/>
      <c r="D101" s="2904" t="s">
        <v>647</v>
      </c>
      <c r="E101" s="2919"/>
      <c r="F101" s="1213">
        <v>10000000</v>
      </c>
      <c r="G101" s="1213">
        <v>53597768.109999999</v>
      </c>
      <c r="H101" s="1213"/>
      <c r="I101" s="1213">
        <v>54495130.810000002</v>
      </c>
      <c r="J101" s="1213"/>
      <c r="K101" s="1213">
        <v>55576380.020000003</v>
      </c>
      <c r="L101" s="1213"/>
      <c r="M101" s="1213">
        <f t="shared" si="4"/>
        <v>224188.95</v>
      </c>
      <c r="N101" s="1213"/>
      <c r="O101" s="1213">
        <v>55800568.969999999</v>
      </c>
      <c r="P101" s="2915"/>
      <c r="Q101" s="2908"/>
    </row>
    <row r="102" spans="2:17" s="2895" customFormat="1" ht="16.5" thickBot="1">
      <c r="B102" s="2926"/>
      <c r="C102" s="2927"/>
      <c r="D102" s="2910" t="s">
        <v>648</v>
      </c>
      <c r="E102" s="2899"/>
      <c r="F102" s="2899"/>
      <c r="G102" s="1581">
        <f>ROUND(SUM(G14:G101),2)</f>
        <v>1545970238.1099999</v>
      </c>
      <c r="H102" s="2126"/>
      <c r="I102" s="1581">
        <f>ROUND(SUM(I14:I101),2)</f>
        <v>1660850466.8099999</v>
      </c>
      <c r="J102" s="2126"/>
      <c r="K102" s="1581">
        <f>ROUND(SUM(K14:K101),2)</f>
        <v>1531292275.5999999</v>
      </c>
      <c r="L102" s="2542"/>
      <c r="M102" s="1215">
        <f>ROUND(SUM(M14:M101),2)</f>
        <v>40779858.950000003</v>
      </c>
      <c r="N102" s="2542"/>
      <c r="O102" s="1581">
        <f>ROUND(SUM(O14:O101),2)</f>
        <v>1572072134.55</v>
      </c>
      <c r="P102" s="2915"/>
      <c r="Q102" s="2908"/>
    </row>
    <row r="103" spans="2:17" s="2895" customFormat="1" ht="16.5" thickTop="1">
      <c r="B103" s="2928"/>
      <c r="C103" s="2928"/>
      <c r="D103" s="2929"/>
      <c r="E103" s="2902"/>
      <c r="F103" s="2902"/>
      <c r="G103" s="808"/>
      <c r="H103" s="809"/>
      <c r="I103" s="2930"/>
      <c r="J103" s="809"/>
      <c r="K103" s="2930"/>
      <c r="L103" s="809"/>
      <c r="M103" s="808"/>
      <c r="N103" s="809"/>
      <c r="O103" s="3630"/>
      <c r="P103" s="2931"/>
      <c r="Q103" s="2908"/>
    </row>
    <row r="104" spans="2:17" s="2895" customFormat="1" ht="15.75">
      <c r="B104" s="2896"/>
      <c r="C104" s="2927"/>
      <c r="D104" s="2932" t="s">
        <v>649</v>
      </c>
      <c r="E104" s="2933"/>
      <c r="F104" s="2933"/>
      <c r="G104" s="2934"/>
      <c r="H104" s="2934"/>
      <c r="I104" s="2935"/>
      <c r="J104" s="2934"/>
      <c r="K104" s="2935"/>
      <c r="L104" s="2934"/>
      <c r="M104" s="1487"/>
      <c r="N104" s="1487"/>
      <c r="O104" s="3631"/>
      <c r="P104" s="2902"/>
      <c r="Q104" s="2908"/>
    </row>
    <row r="105" spans="2:17" s="3092" customFormat="1" ht="15.75">
      <c r="B105" s="2903">
        <v>20401</v>
      </c>
      <c r="C105" s="3517"/>
      <c r="D105" s="2923" t="s">
        <v>1356</v>
      </c>
      <c r="E105" s="3518"/>
      <c r="F105" s="3518"/>
      <c r="G105" s="1213">
        <v>0</v>
      </c>
      <c r="H105" s="3113"/>
      <c r="I105" s="1213">
        <v>0</v>
      </c>
      <c r="J105" s="3113"/>
      <c r="K105" s="1213">
        <v>0</v>
      </c>
      <c r="L105" s="3113"/>
      <c r="M105" s="1213">
        <f t="shared" ref="M105:M167" si="6">ROUND(SUM(O105)-SUM(K105),2)</f>
        <v>0</v>
      </c>
      <c r="N105" s="3519"/>
      <c r="O105" s="1213">
        <v>0</v>
      </c>
      <c r="P105" s="3520"/>
      <c r="Q105" s="3091"/>
    </row>
    <row r="106" spans="2:17" s="2895" customFormat="1" ht="15.75">
      <c r="B106" s="2903">
        <v>20452</v>
      </c>
      <c r="C106" s="2896"/>
      <c r="D106" s="2904" t="s">
        <v>650</v>
      </c>
      <c r="E106" s="2530"/>
      <c r="F106" s="2896"/>
      <c r="G106" s="1213">
        <v>0</v>
      </c>
      <c r="H106" s="1213"/>
      <c r="I106" s="1213">
        <v>0</v>
      </c>
      <c r="J106" s="1213"/>
      <c r="K106" s="1213">
        <v>0</v>
      </c>
      <c r="L106" s="1213"/>
      <c r="M106" s="1213">
        <f t="shared" si="6"/>
        <v>0</v>
      </c>
      <c r="N106" s="1213"/>
      <c r="O106" s="1213">
        <v>0</v>
      </c>
      <c r="P106" s="2915"/>
      <c r="Q106" s="2908"/>
    </row>
    <row r="107" spans="2:17" s="2895" customFormat="1" ht="15.75">
      <c r="B107" s="2903">
        <v>20501</v>
      </c>
      <c r="C107" s="2936"/>
      <c r="D107" s="2904" t="s">
        <v>651</v>
      </c>
      <c r="E107" s="2937"/>
      <c r="F107" s="2937"/>
      <c r="G107" s="1213">
        <v>0</v>
      </c>
      <c r="H107" s="1213"/>
      <c r="I107" s="1213">
        <v>0</v>
      </c>
      <c r="J107" s="1213"/>
      <c r="K107" s="1213">
        <v>0</v>
      </c>
      <c r="L107" s="1213"/>
      <c r="M107" s="1213">
        <f t="shared" si="6"/>
        <v>0</v>
      </c>
      <c r="N107" s="1213"/>
      <c r="O107" s="1213">
        <v>0</v>
      </c>
      <c r="P107" s="2915"/>
      <c r="Q107" s="2908"/>
    </row>
    <row r="108" spans="2:17" s="2895" customFormat="1" ht="15.75">
      <c r="B108" s="2903">
        <v>20810</v>
      </c>
      <c r="C108" s="2917"/>
      <c r="D108" s="2938" t="s">
        <v>652</v>
      </c>
      <c r="E108" s="2919"/>
      <c r="F108" s="2919"/>
      <c r="G108" s="1213">
        <v>0</v>
      </c>
      <c r="H108" s="1213"/>
      <c r="I108" s="1213">
        <v>23122890.059999999</v>
      </c>
      <c r="J108" s="1213"/>
      <c r="K108" s="1213">
        <v>0</v>
      </c>
      <c r="L108" s="1213"/>
      <c r="M108" s="1213">
        <f t="shared" si="6"/>
        <v>43991008.240000002</v>
      </c>
      <c r="N108" s="1213"/>
      <c r="O108" s="1213">
        <v>43991008.240000002</v>
      </c>
      <c r="P108" s="2156"/>
      <c r="Q108" s="2908"/>
    </row>
    <row r="109" spans="2:17" s="2895" customFormat="1" ht="15.75">
      <c r="B109" s="2903">
        <v>20818</v>
      </c>
      <c r="C109" s="2917"/>
      <c r="D109" s="2938" t="s">
        <v>653</v>
      </c>
      <c r="E109" s="2919"/>
      <c r="F109" s="2919"/>
      <c r="G109" s="1213">
        <v>10282047.949999999</v>
      </c>
      <c r="H109" s="1213"/>
      <c r="I109" s="1213">
        <v>15622758.029999999</v>
      </c>
      <c r="J109" s="1213"/>
      <c r="K109" s="1213">
        <v>0</v>
      </c>
      <c r="L109" s="1213"/>
      <c r="M109" s="1213">
        <f t="shared" si="6"/>
        <v>0</v>
      </c>
      <c r="N109" s="1213"/>
      <c r="O109" s="1213">
        <v>0</v>
      </c>
      <c r="P109" s="2156"/>
      <c r="Q109" s="2908"/>
    </row>
    <row r="110" spans="2:17" s="2895" customFormat="1" ht="15.75">
      <c r="B110" s="2903">
        <v>20901</v>
      </c>
      <c r="C110" s="2917"/>
      <c r="D110" s="2938" t="s">
        <v>654</v>
      </c>
      <c r="E110" s="2919"/>
      <c r="F110" s="2919"/>
      <c r="G110" s="1213">
        <v>1412369107.3299999</v>
      </c>
      <c r="H110" s="1213"/>
      <c r="I110" s="1213">
        <v>1260608694.01</v>
      </c>
      <c r="J110" s="1213"/>
      <c r="K110" s="1213">
        <v>1068708130.42</v>
      </c>
      <c r="L110" s="1213"/>
      <c r="M110" s="1213">
        <f t="shared" si="6"/>
        <v>-215146242.72999999</v>
      </c>
      <c r="N110" s="1213"/>
      <c r="O110" s="1213">
        <v>853561887.69000006</v>
      </c>
      <c r="P110" s="2156"/>
      <c r="Q110" s="2908"/>
    </row>
    <row r="111" spans="2:17" s="2895" customFormat="1" ht="15.75">
      <c r="B111" s="2903">
        <v>20904</v>
      </c>
      <c r="C111" s="2939"/>
      <c r="D111" s="2940" t="s">
        <v>655</v>
      </c>
      <c r="E111" s="2924"/>
      <c r="F111" s="2924"/>
      <c r="G111" s="1213">
        <v>156105093.55000001</v>
      </c>
      <c r="H111" s="1213"/>
      <c r="I111" s="1213">
        <v>252710310.93000001</v>
      </c>
      <c r="J111" s="1213"/>
      <c r="K111" s="1213">
        <v>345538604.22000003</v>
      </c>
      <c r="L111" s="1213"/>
      <c r="M111" s="1213">
        <f t="shared" si="6"/>
        <v>91869997.969999999</v>
      </c>
      <c r="N111" s="1213"/>
      <c r="O111" s="1213">
        <v>437408602.19</v>
      </c>
      <c r="P111" s="2156"/>
      <c r="Q111" s="2908"/>
    </row>
    <row r="112" spans="2:17" s="2895" customFormat="1" ht="15.75">
      <c r="B112" s="2903">
        <v>21001</v>
      </c>
      <c r="C112" s="2917"/>
      <c r="D112" s="2941" t="s">
        <v>656</v>
      </c>
      <c r="E112" s="2919"/>
      <c r="F112" s="2919"/>
      <c r="G112" s="1213">
        <v>0</v>
      </c>
      <c r="H112" s="1213"/>
      <c r="I112" s="1213">
        <v>0</v>
      </c>
      <c r="J112" s="1213"/>
      <c r="K112" s="1213">
        <v>0</v>
      </c>
      <c r="L112" s="1213"/>
      <c r="M112" s="1213">
        <f t="shared" si="6"/>
        <v>0</v>
      </c>
      <c r="N112" s="1213"/>
      <c r="O112" s="1213">
        <v>0</v>
      </c>
      <c r="P112" s="2156"/>
      <c r="Q112" s="2908"/>
    </row>
    <row r="113" spans="2:17" s="2895" customFormat="1" ht="15.75">
      <c r="B113" s="2903">
        <v>21002</v>
      </c>
      <c r="C113" s="2917"/>
      <c r="D113" s="2938" t="s">
        <v>1310</v>
      </c>
      <c r="E113" s="2919"/>
      <c r="F113" s="2919"/>
      <c r="G113" s="1213">
        <v>3799431.43</v>
      </c>
      <c r="H113" s="1213"/>
      <c r="I113" s="1213">
        <v>3851203.21</v>
      </c>
      <c r="J113" s="1213"/>
      <c r="K113" s="1213">
        <v>3912591.7</v>
      </c>
      <c r="L113" s="1213"/>
      <c r="M113" s="1213">
        <f t="shared" si="6"/>
        <v>51771.78</v>
      </c>
      <c r="N113" s="1213"/>
      <c r="O113" s="1213">
        <v>3964363.48</v>
      </c>
      <c r="P113" s="2156"/>
      <c r="Q113" s="2908"/>
    </row>
    <row r="114" spans="2:17" s="2895" customFormat="1" ht="15.75">
      <c r="B114" s="2903">
        <v>21061</v>
      </c>
      <c r="C114" s="2917"/>
      <c r="D114" s="2938" t="s">
        <v>657</v>
      </c>
      <c r="E114" s="2919"/>
      <c r="F114" s="2919"/>
      <c r="G114" s="1213">
        <v>0</v>
      </c>
      <c r="H114" s="1213"/>
      <c r="I114" s="1213">
        <v>0</v>
      </c>
      <c r="J114" s="1213"/>
      <c r="K114" s="1213">
        <v>0</v>
      </c>
      <c r="L114" s="1213"/>
      <c r="M114" s="1213">
        <f t="shared" si="6"/>
        <v>0</v>
      </c>
      <c r="N114" s="1213"/>
      <c r="O114" s="1213">
        <v>0</v>
      </c>
      <c r="P114" s="2156"/>
      <c r="Q114" s="2908"/>
    </row>
    <row r="115" spans="2:17" s="2895" customFormat="1" ht="15.75">
      <c r="B115" s="2903">
        <v>21064</v>
      </c>
      <c r="C115" s="2917"/>
      <c r="D115" s="2938" t="s">
        <v>1299</v>
      </c>
      <c r="E115" s="2919"/>
      <c r="F115" s="2919"/>
      <c r="G115" s="1213">
        <v>1672099.99</v>
      </c>
      <c r="H115" s="1213"/>
      <c r="I115" s="1213">
        <v>1672099.99</v>
      </c>
      <c r="J115" s="1213"/>
      <c r="K115" s="1213">
        <v>1672099.99</v>
      </c>
      <c r="L115" s="1213"/>
      <c r="M115" s="1213">
        <f t="shared" ref="M115" si="7">ROUND(SUM(O115)-SUM(K115),2)</f>
        <v>1652100</v>
      </c>
      <c r="N115" s="1213"/>
      <c r="O115" s="1213">
        <v>3324199.99</v>
      </c>
      <c r="P115" s="2156"/>
      <c r="Q115" s="2908"/>
    </row>
    <row r="116" spans="2:17" s="2895" customFormat="1" ht="15.75">
      <c r="B116" s="2903">
        <v>21065</v>
      </c>
      <c r="C116" s="2917"/>
      <c r="D116" s="2938" t="s">
        <v>658</v>
      </c>
      <c r="E116" s="2919"/>
      <c r="F116" s="2919"/>
      <c r="G116" s="1213">
        <v>1669475.98</v>
      </c>
      <c r="H116" s="1213"/>
      <c r="I116" s="1213">
        <v>2337334.86</v>
      </c>
      <c r="J116" s="1213"/>
      <c r="K116" s="1213">
        <v>762637.76</v>
      </c>
      <c r="L116" s="1213"/>
      <c r="M116" s="1213">
        <f t="shared" si="6"/>
        <v>659336.17000000004</v>
      </c>
      <c r="N116" s="1213"/>
      <c r="O116" s="1213">
        <v>1421973.93</v>
      </c>
      <c r="P116" s="2156"/>
      <c r="Q116" s="2908"/>
    </row>
    <row r="117" spans="2:17" s="2895" customFormat="1" ht="15.75">
      <c r="B117" s="2903">
        <v>21066</v>
      </c>
      <c r="C117" s="2917"/>
      <c r="D117" s="2918" t="s">
        <v>659</v>
      </c>
      <c r="E117" s="2919"/>
      <c r="F117" s="2919"/>
      <c r="G117" s="1213">
        <v>3943450.99</v>
      </c>
      <c r="H117" s="1213"/>
      <c r="I117" s="1213">
        <v>4118797.02</v>
      </c>
      <c r="J117" s="1213"/>
      <c r="K117" s="1213">
        <v>3945486.63</v>
      </c>
      <c r="L117" s="1213"/>
      <c r="M117" s="1213">
        <f t="shared" si="6"/>
        <v>170762.55</v>
      </c>
      <c r="N117" s="1213"/>
      <c r="O117" s="1213">
        <v>4116249.18</v>
      </c>
      <c r="P117" s="2156"/>
      <c r="Q117" s="2908"/>
    </row>
    <row r="118" spans="2:17" s="2895" customFormat="1" ht="15.75">
      <c r="B118" s="2903">
        <v>21067</v>
      </c>
      <c r="C118" s="2917"/>
      <c r="D118" s="2918" t="s">
        <v>660</v>
      </c>
      <c r="E118" s="2919"/>
      <c r="F118" s="2919"/>
      <c r="G118" s="1213">
        <v>0</v>
      </c>
      <c r="H118" s="1213"/>
      <c r="I118" s="1213">
        <v>0</v>
      </c>
      <c r="J118" s="1213"/>
      <c r="K118" s="1213">
        <v>0</v>
      </c>
      <c r="L118" s="1213"/>
      <c r="M118" s="1213">
        <f t="shared" si="6"/>
        <v>0</v>
      </c>
      <c r="N118" s="1213"/>
      <c r="O118" s="1213">
        <v>0</v>
      </c>
      <c r="P118" s="2156"/>
      <c r="Q118" s="2908"/>
    </row>
    <row r="119" spans="2:17" s="2895" customFormat="1" ht="15.75">
      <c r="B119" s="2903">
        <v>21077</v>
      </c>
      <c r="C119" s="2917"/>
      <c r="D119" s="2938" t="s">
        <v>661</v>
      </c>
      <c r="E119" s="2919"/>
      <c r="F119" s="2919"/>
      <c r="G119" s="1213">
        <v>0</v>
      </c>
      <c r="H119" s="1213"/>
      <c r="I119" s="1213">
        <v>0</v>
      </c>
      <c r="J119" s="1213"/>
      <c r="K119" s="1213">
        <v>0</v>
      </c>
      <c r="L119" s="1213"/>
      <c r="M119" s="1213">
        <f t="shared" si="6"/>
        <v>0</v>
      </c>
      <c r="N119" s="1213"/>
      <c r="O119" s="1213">
        <v>0</v>
      </c>
      <c r="P119" s="2156"/>
      <c r="Q119" s="2908"/>
    </row>
    <row r="120" spans="2:17" s="2895" customFormat="1" ht="15.75">
      <c r="B120" s="2903">
        <v>21081</v>
      </c>
      <c r="C120" s="2917"/>
      <c r="D120" s="2918" t="s">
        <v>662</v>
      </c>
      <c r="E120" s="2919"/>
      <c r="F120" s="2919"/>
      <c r="G120" s="1213">
        <v>60296707.170000002</v>
      </c>
      <c r="H120" s="1213"/>
      <c r="I120" s="1213">
        <v>59172374.859999999</v>
      </c>
      <c r="J120" s="1213"/>
      <c r="K120" s="1213">
        <v>60694009.619999997</v>
      </c>
      <c r="L120" s="1213"/>
      <c r="M120" s="1213">
        <f t="shared" si="6"/>
        <v>-10788.88</v>
      </c>
      <c r="N120" s="1213"/>
      <c r="O120" s="1213">
        <v>60683220.740000002</v>
      </c>
      <c r="P120" s="2156"/>
      <c r="Q120" s="2908"/>
    </row>
    <row r="121" spans="2:17" s="2895" customFormat="1" ht="15.75">
      <c r="B121" s="2903">
        <v>21082</v>
      </c>
      <c r="C121" s="2917"/>
      <c r="D121" s="2938" t="s">
        <v>663</v>
      </c>
      <c r="E121" s="2919"/>
      <c r="F121" s="2919"/>
      <c r="G121" s="1213">
        <v>14265932.359999999</v>
      </c>
      <c r="H121" s="1213"/>
      <c r="I121" s="1213">
        <v>14337266.949999999</v>
      </c>
      <c r="J121" s="1213"/>
      <c r="K121" s="1213">
        <v>14690320.199999999</v>
      </c>
      <c r="L121" s="1213"/>
      <c r="M121" s="1213">
        <f t="shared" si="6"/>
        <v>-208307.74</v>
      </c>
      <c r="N121" s="1213"/>
      <c r="O121" s="1213">
        <v>14482012.460000001</v>
      </c>
      <c r="P121" s="2156"/>
      <c r="Q121" s="2908"/>
    </row>
    <row r="122" spans="2:17" s="2895" customFormat="1" ht="15.75">
      <c r="B122" s="2903">
        <v>21084</v>
      </c>
      <c r="C122" s="2917"/>
      <c r="D122" s="2938" t="s">
        <v>664</v>
      </c>
      <c r="E122" s="2919"/>
      <c r="F122" s="2919"/>
      <c r="G122" s="1213">
        <v>0</v>
      </c>
      <c r="H122" s="1213"/>
      <c r="I122" s="1213">
        <v>0</v>
      </c>
      <c r="J122" s="1213"/>
      <c r="K122" s="1213">
        <v>0</v>
      </c>
      <c r="L122" s="1213"/>
      <c r="M122" s="1213">
        <f t="shared" si="6"/>
        <v>0</v>
      </c>
      <c r="N122" s="1213"/>
      <c r="O122" s="1213">
        <v>0</v>
      </c>
      <c r="P122" s="2156"/>
      <c r="Q122" s="2908"/>
    </row>
    <row r="123" spans="2:17" s="2895" customFormat="1" ht="15.75">
      <c r="B123" s="2903">
        <v>21087</v>
      </c>
      <c r="C123" s="2917"/>
      <c r="D123" s="2938" t="s">
        <v>665</v>
      </c>
      <c r="E123" s="2919"/>
      <c r="F123" s="2919"/>
      <c r="G123" s="1213">
        <v>0</v>
      </c>
      <c r="H123" s="1213"/>
      <c r="I123" s="1213">
        <v>0</v>
      </c>
      <c r="J123" s="1213"/>
      <c r="K123" s="1213">
        <v>0</v>
      </c>
      <c r="L123" s="1213"/>
      <c r="M123" s="1213">
        <f t="shared" si="6"/>
        <v>0</v>
      </c>
      <c r="N123" s="1213"/>
      <c r="O123" s="1213">
        <v>0</v>
      </c>
      <c r="P123" s="2156"/>
      <c r="Q123" s="2908"/>
    </row>
    <row r="124" spans="2:17" s="2895" customFormat="1" ht="15.75">
      <c r="B124" s="2903">
        <v>21201</v>
      </c>
      <c r="C124" s="2917"/>
      <c r="D124" s="2938" t="s">
        <v>666</v>
      </c>
      <c r="E124" s="2919"/>
      <c r="F124" s="2919"/>
      <c r="G124" s="1213">
        <v>0</v>
      </c>
      <c r="H124" s="1213"/>
      <c r="I124" s="1213">
        <v>0</v>
      </c>
      <c r="J124" s="1213"/>
      <c r="K124" s="1213">
        <v>11957.03</v>
      </c>
      <c r="L124" s="1213"/>
      <c r="M124" s="1213">
        <f t="shared" si="6"/>
        <v>-11931.63</v>
      </c>
      <c r="N124" s="1213"/>
      <c r="O124" s="1213">
        <v>25.4</v>
      </c>
      <c r="P124" s="2156"/>
      <c r="Q124" s="2908"/>
    </row>
    <row r="125" spans="2:17" s="2895" customFormat="1" ht="15.75">
      <c r="B125" s="2903">
        <v>21202</v>
      </c>
      <c r="C125" s="2917"/>
      <c r="D125" s="2938" t="s">
        <v>667</v>
      </c>
      <c r="E125" s="2919"/>
      <c r="F125" s="2919"/>
      <c r="G125" s="1213">
        <v>0</v>
      </c>
      <c r="H125" s="1213"/>
      <c r="I125" s="1213">
        <v>0</v>
      </c>
      <c r="J125" s="1213"/>
      <c r="K125" s="1213">
        <v>2318.4299999999998</v>
      </c>
      <c r="L125" s="1213"/>
      <c r="M125" s="1213">
        <f t="shared" si="6"/>
        <v>-2318.4299999999998</v>
      </c>
      <c r="N125" s="1213"/>
      <c r="O125" s="1213">
        <v>0</v>
      </c>
      <c r="P125" s="2156"/>
      <c r="Q125" s="2908"/>
    </row>
    <row r="126" spans="2:17" s="2895" customFormat="1" ht="15.75">
      <c r="B126" s="2903">
        <v>21203</v>
      </c>
      <c r="C126" s="2917"/>
      <c r="D126" s="2938" t="s">
        <v>668</v>
      </c>
      <c r="E126" s="2919"/>
      <c r="F126" s="2919"/>
      <c r="G126" s="1213">
        <v>0</v>
      </c>
      <c r="H126" s="1213"/>
      <c r="I126" s="1213">
        <v>0</v>
      </c>
      <c r="J126" s="1213"/>
      <c r="K126" s="1213">
        <v>270435.84999999998</v>
      </c>
      <c r="L126" s="1213"/>
      <c r="M126" s="1213">
        <f t="shared" si="6"/>
        <v>-183143.97</v>
      </c>
      <c r="N126" s="1213"/>
      <c r="O126" s="1213">
        <v>87291.88</v>
      </c>
      <c r="P126" s="2156"/>
      <c r="Q126" s="2908"/>
    </row>
    <row r="127" spans="2:17" s="2895" customFormat="1" ht="15.75">
      <c r="B127" s="2903">
        <v>21204</v>
      </c>
      <c r="C127" s="2917"/>
      <c r="D127" s="2938" t="s">
        <v>669</v>
      </c>
      <c r="E127" s="2919"/>
      <c r="F127" s="2919"/>
      <c r="G127" s="1213">
        <v>0</v>
      </c>
      <c r="H127" s="1213"/>
      <c r="I127" s="1213">
        <v>0</v>
      </c>
      <c r="J127" s="1213"/>
      <c r="K127" s="1213">
        <v>0</v>
      </c>
      <c r="L127" s="1213"/>
      <c r="M127" s="1213">
        <f t="shared" si="6"/>
        <v>0</v>
      </c>
      <c r="N127" s="1213"/>
      <c r="O127" s="1213">
        <v>0</v>
      </c>
      <c r="P127" s="2156"/>
      <c r="Q127" s="2908"/>
    </row>
    <row r="128" spans="2:17" s="2895" customFormat="1" ht="15.75">
      <c r="B128" s="2903">
        <v>21205</v>
      </c>
      <c r="C128" s="2917"/>
      <c r="D128" s="2938" t="s">
        <v>670</v>
      </c>
      <c r="E128" s="2919"/>
      <c r="F128" s="2919"/>
      <c r="G128" s="1213">
        <v>0</v>
      </c>
      <c r="H128" s="1213"/>
      <c r="I128" s="1213">
        <v>0</v>
      </c>
      <c r="J128" s="1213"/>
      <c r="K128" s="1213">
        <v>0</v>
      </c>
      <c r="L128" s="1213"/>
      <c r="M128" s="1213">
        <f t="shared" si="6"/>
        <v>0</v>
      </c>
      <c r="N128" s="1213"/>
      <c r="O128" s="1213">
        <v>0</v>
      </c>
      <c r="P128" s="2156"/>
      <c r="Q128" s="2908"/>
    </row>
    <row r="129" spans="2:17" s="2895" customFormat="1" ht="15.75">
      <c r="B129" s="2921">
        <v>21401</v>
      </c>
      <c r="C129" s="2939"/>
      <c r="D129" s="2942" t="s">
        <v>671</v>
      </c>
      <c r="E129" s="2924"/>
      <c r="F129" s="2924"/>
      <c r="G129" s="1213">
        <v>0</v>
      </c>
      <c r="H129" s="1213"/>
      <c r="I129" s="1213">
        <v>0</v>
      </c>
      <c r="J129" s="1213"/>
      <c r="K129" s="1213">
        <v>0</v>
      </c>
      <c r="L129" s="1213"/>
      <c r="M129" s="1213">
        <f t="shared" si="6"/>
        <v>0</v>
      </c>
      <c r="N129" s="1213"/>
      <c r="O129" s="1213">
        <v>0</v>
      </c>
      <c r="P129" s="2156"/>
      <c r="Q129" s="2908"/>
    </row>
    <row r="130" spans="2:17" s="2895" customFormat="1" ht="15.75">
      <c r="B130" s="2921">
        <v>21402</v>
      </c>
      <c r="C130" s="2939"/>
      <c r="D130" s="2942" t="s">
        <v>672</v>
      </c>
      <c r="E130" s="2924"/>
      <c r="F130" s="2924"/>
      <c r="G130" s="1213">
        <v>0</v>
      </c>
      <c r="H130" s="1213"/>
      <c r="I130" s="1213">
        <v>0</v>
      </c>
      <c r="J130" s="1213"/>
      <c r="K130" s="1213">
        <v>99446088.439999998</v>
      </c>
      <c r="L130" s="1213"/>
      <c r="M130" s="1213">
        <f t="shared" si="6"/>
        <v>-99446088.439999998</v>
      </c>
      <c r="N130" s="1213"/>
      <c r="O130" s="1213">
        <v>0</v>
      </c>
      <c r="P130" s="2156"/>
      <c r="Q130" s="2908"/>
    </row>
    <row r="131" spans="2:17" s="2895" customFormat="1" ht="15.75">
      <c r="B131" s="2903">
        <v>21451</v>
      </c>
      <c r="C131" s="2917"/>
      <c r="D131" s="2918" t="s">
        <v>673</v>
      </c>
      <c r="E131" s="2919"/>
      <c r="F131" s="2919"/>
      <c r="G131" s="1213">
        <v>31987548.530000001</v>
      </c>
      <c r="H131" s="1213"/>
      <c r="I131" s="1213">
        <v>32206812.949999999</v>
      </c>
      <c r="J131" s="1213"/>
      <c r="K131" s="1213">
        <v>32937539.5</v>
      </c>
      <c r="L131" s="1213"/>
      <c r="M131" s="1213">
        <f t="shared" si="6"/>
        <v>448757.34</v>
      </c>
      <c r="N131" s="1213"/>
      <c r="O131" s="1213">
        <v>33386296.84</v>
      </c>
      <c r="P131" s="2156"/>
      <c r="Q131" s="2908"/>
    </row>
    <row r="132" spans="2:17" s="2895" customFormat="1" ht="15.75">
      <c r="B132" s="2903">
        <v>21452</v>
      </c>
      <c r="C132" s="2917"/>
      <c r="D132" s="2938" t="s">
        <v>674</v>
      </c>
      <c r="E132" s="2919"/>
      <c r="F132" s="2919"/>
      <c r="G132" s="1213">
        <v>0</v>
      </c>
      <c r="H132" s="1213"/>
      <c r="I132" s="1213">
        <v>0</v>
      </c>
      <c r="J132" s="1213"/>
      <c r="K132" s="1213">
        <v>0</v>
      </c>
      <c r="L132" s="1213"/>
      <c r="M132" s="1213">
        <f t="shared" si="6"/>
        <v>0</v>
      </c>
      <c r="N132" s="1213"/>
      <c r="O132" s="1213">
        <v>0</v>
      </c>
      <c r="P132" s="2156"/>
      <c r="Q132" s="2908"/>
    </row>
    <row r="133" spans="2:17" s="2895" customFormat="1" ht="15.75">
      <c r="B133" s="2903">
        <v>21902</v>
      </c>
      <c r="C133" s="2917"/>
      <c r="D133" s="2918" t="s">
        <v>1241</v>
      </c>
      <c r="E133" s="2919"/>
      <c r="F133" s="2919"/>
      <c r="G133" s="1213">
        <v>0</v>
      </c>
      <c r="H133" s="1213"/>
      <c r="I133" s="1213">
        <v>0</v>
      </c>
      <c r="J133" s="1213"/>
      <c r="K133" s="1213">
        <v>0</v>
      </c>
      <c r="L133" s="1213"/>
      <c r="M133" s="1213">
        <f t="shared" si="6"/>
        <v>0</v>
      </c>
      <c r="N133" s="1213"/>
      <c r="O133" s="1213">
        <v>0</v>
      </c>
      <c r="P133" s="2156"/>
      <c r="Q133" s="2908"/>
    </row>
    <row r="134" spans="2:17" s="2895" customFormat="1" ht="15.75">
      <c r="B134" s="2903">
        <v>21905</v>
      </c>
      <c r="C134" s="2917"/>
      <c r="D134" s="3103" t="s">
        <v>1244</v>
      </c>
      <c r="E134" s="2919"/>
      <c r="F134" s="2919"/>
      <c r="G134" s="1213">
        <v>6628040.9299999997</v>
      </c>
      <c r="H134" s="1213"/>
      <c r="I134" s="1213">
        <v>4385613.5</v>
      </c>
      <c r="J134" s="1213"/>
      <c r="K134" s="1213">
        <v>2912861.4999999902</v>
      </c>
      <c r="L134" s="1213"/>
      <c r="M134" s="1213">
        <f t="shared" si="6"/>
        <v>4136198.61</v>
      </c>
      <c r="N134" s="1213"/>
      <c r="O134" s="1213">
        <v>7049060.1100000096</v>
      </c>
      <c r="P134" s="2156"/>
      <c r="Q134" s="2908"/>
    </row>
    <row r="135" spans="2:17" s="2895" customFormat="1" ht="15.75">
      <c r="B135" s="2903">
        <v>21907</v>
      </c>
      <c r="C135" s="2917"/>
      <c r="D135" s="2938" t="s">
        <v>675</v>
      </c>
      <c r="E135" s="2919"/>
      <c r="F135" s="2919"/>
      <c r="G135" s="1213">
        <v>0</v>
      </c>
      <c r="H135" s="1213"/>
      <c r="I135" s="1213">
        <v>0</v>
      </c>
      <c r="J135" s="1213"/>
      <c r="K135" s="1213">
        <v>0</v>
      </c>
      <c r="L135" s="1213"/>
      <c r="M135" s="1213">
        <f t="shared" si="6"/>
        <v>0</v>
      </c>
      <c r="N135" s="1213"/>
      <c r="O135" s="1213">
        <v>0</v>
      </c>
      <c r="P135" s="2156"/>
      <c r="Q135" s="2908"/>
    </row>
    <row r="136" spans="2:17" s="2895" customFormat="1" ht="15.75">
      <c r="B136" s="2903">
        <v>21909</v>
      </c>
      <c r="C136" s="2917"/>
      <c r="D136" s="2938" t="s">
        <v>676</v>
      </c>
      <c r="E136" s="2919"/>
      <c r="F136" s="2919"/>
      <c r="G136" s="1213">
        <v>0</v>
      </c>
      <c r="H136" s="1213"/>
      <c r="I136" s="1213">
        <v>0</v>
      </c>
      <c r="J136" s="1213"/>
      <c r="K136" s="1213">
        <v>0</v>
      </c>
      <c r="L136" s="1213"/>
      <c r="M136" s="1213">
        <f t="shared" si="6"/>
        <v>0</v>
      </c>
      <c r="N136" s="1213"/>
      <c r="O136" s="1213">
        <v>0</v>
      </c>
      <c r="P136" s="2156"/>
      <c r="Q136" s="2908"/>
    </row>
    <row r="137" spans="2:17" s="2895" customFormat="1" ht="15.75">
      <c r="B137" s="2903">
        <v>21911</v>
      </c>
      <c r="C137" s="2917"/>
      <c r="D137" s="2938" t="s">
        <v>677</v>
      </c>
      <c r="E137" s="2919"/>
      <c r="F137" s="2919"/>
      <c r="G137" s="1213">
        <v>227316.04</v>
      </c>
      <c r="H137" s="1213"/>
      <c r="I137" s="1213">
        <v>392548.02</v>
      </c>
      <c r="J137" s="1213"/>
      <c r="K137" s="1213">
        <v>579539.4</v>
      </c>
      <c r="L137" s="1213"/>
      <c r="M137" s="1213">
        <f t="shared" si="6"/>
        <v>-378553.27</v>
      </c>
      <c r="N137" s="1213"/>
      <c r="O137" s="1213">
        <v>200986.13</v>
      </c>
      <c r="P137" s="2156"/>
      <c r="Q137" s="2908"/>
    </row>
    <row r="138" spans="2:17" s="2895" customFormat="1" ht="15.75">
      <c r="B138" s="2903">
        <v>21912</v>
      </c>
      <c r="C138" s="2917"/>
      <c r="D138" s="2918" t="s">
        <v>678</v>
      </c>
      <c r="E138" s="2919"/>
      <c r="F138" s="2919"/>
      <c r="G138" s="1213">
        <v>2327842.19</v>
      </c>
      <c r="H138" s="1213"/>
      <c r="I138" s="1213">
        <v>2676642.2000000002</v>
      </c>
      <c r="J138" s="1213"/>
      <c r="K138" s="1213">
        <v>3294263.41</v>
      </c>
      <c r="L138" s="1213"/>
      <c r="M138" s="1213">
        <f t="shared" si="6"/>
        <v>18733.93</v>
      </c>
      <c r="N138" s="1213"/>
      <c r="O138" s="1213">
        <v>3312997.34</v>
      </c>
      <c r="P138" s="2156"/>
      <c r="Q138" s="2908"/>
    </row>
    <row r="139" spans="2:17" s="2895" customFormat="1" ht="15.75">
      <c r="B139" s="2903">
        <v>21937</v>
      </c>
      <c r="C139" s="2917"/>
      <c r="D139" s="2938" t="s">
        <v>679</v>
      </c>
      <c r="E139" s="2919"/>
      <c r="F139" s="2919"/>
      <c r="G139" s="1213">
        <v>841883.38</v>
      </c>
      <c r="H139" s="1213"/>
      <c r="I139" s="1213">
        <v>176978.44</v>
      </c>
      <c r="J139" s="1213"/>
      <c r="K139" s="1213">
        <v>119644.65</v>
      </c>
      <c r="L139" s="1213"/>
      <c r="M139" s="1213">
        <f t="shared" si="6"/>
        <v>256303.08</v>
      </c>
      <c r="N139" s="1213"/>
      <c r="O139" s="1213">
        <v>375947.73</v>
      </c>
      <c r="P139" s="2156"/>
      <c r="Q139" s="2908"/>
    </row>
    <row r="140" spans="2:17" s="2895" customFormat="1" ht="15.75">
      <c r="B140" s="2903">
        <v>21945</v>
      </c>
      <c r="C140" s="2917"/>
      <c r="D140" s="2918" t="s">
        <v>680</v>
      </c>
      <c r="E140" s="2919"/>
      <c r="F140" s="2919"/>
      <c r="G140" s="1213">
        <v>0</v>
      </c>
      <c r="H140" s="1213"/>
      <c r="I140" s="1213">
        <v>0</v>
      </c>
      <c r="J140" s="1213"/>
      <c r="K140" s="1213">
        <v>0</v>
      </c>
      <c r="L140" s="1213"/>
      <c r="M140" s="1213">
        <f t="shared" si="6"/>
        <v>0</v>
      </c>
      <c r="N140" s="1213"/>
      <c r="O140" s="1213">
        <v>0</v>
      </c>
      <c r="P140" s="2156"/>
      <c r="Q140" s="2908"/>
    </row>
    <row r="141" spans="2:17" s="2895" customFormat="1" ht="15.75">
      <c r="B141" s="2903">
        <v>21959</v>
      </c>
      <c r="C141" s="2917"/>
      <c r="D141" s="2938" t="s">
        <v>681</v>
      </c>
      <c r="E141" s="2919"/>
      <c r="F141" s="2919"/>
      <c r="G141" s="1213">
        <v>0</v>
      </c>
      <c r="H141" s="1213"/>
      <c r="I141" s="1213">
        <v>0</v>
      </c>
      <c r="J141" s="1213"/>
      <c r="K141" s="1213">
        <v>0</v>
      </c>
      <c r="L141" s="1213"/>
      <c r="M141" s="1213">
        <f t="shared" si="6"/>
        <v>0</v>
      </c>
      <c r="N141" s="1213"/>
      <c r="O141" s="1213">
        <v>0</v>
      </c>
      <c r="P141" s="2156"/>
      <c r="Q141" s="2908"/>
    </row>
    <row r="142" spans="2:17" s="3092" customFormat="1" ht="15.75">
      <c r="B142" s="2921">
        <v>21961</v>
      </c>
      <c r="C142" s="2939"/>
      <c r="D142" s="2940" t="s">
        <v>1357</v>
      </c>
      <c r="E142" s="2924"/>
      <c r="F142" s="2924"/>
      <c r="G142" s="1213">
        <v>587324.51</v>
      </c>
      <c r="H142" s="1213"/>
      <c r="I142" s="1213">
        <v>628138.35</v>
      </c>
      <c r="J142" s="1213"/>
      <c r="K142" s="1213">
        <v>657890.68999999994</v>
      </c>
      <c r="L142" s="1213"/>
      <c r="M142" s="1213">
        <f t="shared" si="6"/>
        <v>-109761.93</v>
      </c>
      <c r="N142" s="1213"/>
      <c r="O142" s="1213">
        <v>548128.76</v>
      </c>
      <c r="P142" s="2156"/>
      <c r="Q142" s="3091"/>
    </row>
    <row r="143" spans="2:17" s="2895" customFormat="1" ht="15.75">
      <c r="B143" s="2903">
        <v>21962</v>
      </c>
      <c r="C143" s="2917"/>
      <c r="D143" s="2938" t="s">
        <v>682</v>
      </c>
      <c r="E143" s="2919"/>
      <c r="F143" s="2919"/>
      <c r="G143" s="1213">
        <v>12262552.029999999</v>
      </c>
      <c r="H143" s="1213"/>
      <c r="I143" s="1213">
        <v>11089563.460000001</v>
      </c>
      <c r="J143" s="1213"/>
      <c r="K143" s="1213">
        <v>11548187.439999999</v>
      </c>
      <c r="L143" s="1213"/>
      <c r="M143" s="1213">
        <f t="shared" si="6"/>
        <v>-2254463.2999999998</v>
      </c>
      <c r="N143" s="1213"/>
      <c r="O143" s="1213">
        <v>9293724.1400000006</v>
      </c>
      <c r="P143" s="2156"/>
      <c r="Q143" s="2908"/>
    </row>
    <row r="144" spans="2:17" s="2895" customFormat="1" ht="15.75">
      <c r="B144" s="2903">
        <v>21978</v>
      </c>
      <c r="C144" s="2917"/>
      <c r="D144" s="2918" t="s">
        <v>683</v>
      </c>
      <c r="E144" s="2919"/>
      <c r="F144" s="2919"/>
      <c r="G144" s="1213">
        <v>0</v>
      </c>
      <c r="H144" s="1213"/>
      <c r="I144" s="1213">
        <v>0</v>
      </c>
      <c r="J144" s="1213"/>
      <c r="K144" s="1213">
        <v>0</v>
      </c>
      <c r="L144" s="1213"/>
      <c r="M144" s="1213">
        <f t="shared" si="6"/>
        <v>0</v>
      </c>
      <c r="N144" s="1213"/>
      <c r="O144" s="1213">
        <v>0</v>
      </c>
      <c r="P144" s="2156"/>
      <c r="Q144" s="2908"/>
    </row>
    <row r="145" spans="2:17" s="2895" customFormat="1" ht="15.75">
      <c r="B145" s="2903">
        <v>21979</v>
      </c>
      <c r="C145" s="2917"/>
      <c r="D145" s="2918" t="s">
        <v>684</v>
      </c>
      <c r="E145" s="2919"/>
      <c r="F145" s="2919"/>
      <c r="G145" s="1213">
        <v>0</v>
      </c>
      <c r="H145" s="1213"/>
      <c r="I145" s="1213">
        <v>0</v>
      </c>
      <c r="J145" s="1213"/>
      <c r="K145" s="1213">
        <v>0</v>
      </c>
      <c r="L145" s="1213"/>
      <c r="M145" s="1213">
        <f t="shared" si="6"/>
        <v>0</v>
      </c>
      <c r="N145" s="1213"/>
      <c r="O145" s="1213">
        <v>0</v>
      </c>
      <c r="P145" s="2156"/>
      <c r="Q145" s="2908"/>
    </row>
    <row r="146" spans="2:17" s="2895" customFormat="1" ht="15.75">
      <c r="B146" s="2903">
        <v>21989</v>
      </c>
      <c r="C146" s="2917"/>
      <c r="D146" s="2918" t="s">
        <v>685</v>
      </c>
      <c r="E146" s="2919"/>
      <c r="F146" s="2919"/>
      <c r="G146" s="1213">
        <v>0</v>
      </c>
      <c r="H146" s="1213"/>
      <c r="I146" s="1213">
        <v>0</v>
      </c>
      <c r="J146" s="1213"/>
      <c r="K146" s="1213">
        <v>0</v>
      </c>
      <c r="L146" s="1213"/>
      <c r="M146" s="1213">
        <f t="shared" si="6"/>
        <v>0</v>
      </c>
      <c r="N146" s="1213"/>
      <c r="O146" s="1213">
        <v>0</v>
      </c>
      <c r="P146" s="2156"/>
      <c r="Q146" s="2908"/>
    </row>
    <row r="147" spans="2:17" s="2895" customFormat="1" ht="15.75">
      <c r="B147" s="2903">
        <v>22003</v>
      </c>
      <c r="C147" s="2917"/>
      <c r="D147" s="2918" t="s">
        <v>686</v>
      </c>
      <c r="E147" s="2919"/>
      <c r="F147" s="2919"/>
      <c r="G147" s="1213">
        <v>0</v>
      </c>
      <c r="H147" s="1213"/>
      <c r="I147" s="1213">
        <v>0</v>
      </c>
      <c r="J147" s="1213"/>
      <c r="K147" s="1213">
        <v>0</v>
      </c>
      <c r="L147" s="1213"/>
      <c r="M147" s="1213">
        <f t="shared" si="6"/>
        <v>0</v>
      </c>
      <c r="N147" s="1213"/>
      <c r="O147" s="1213">
        <v>0</v>
      </c>
      <c r="P147" s="2156"/>
      <c r="Q147" s="2908"/>
    </row>
    <row r="148" spans="2:17" s="2895" customFormat="1" ht="15.75">
      <c r="B148" s="2903">
        <v>22004</v>
      </c>
      <c r="C148" s="2917"/>
      <c r="D148" s="2938" t="s">
        <v>687</v>
      </c>
      <c r="E148" s="2919"/>
      <c r="F148" s="2919"/>
      <c r="G148" s="1213">
        <v>0</v>
      </c>
      <c r="H148" s="1213"/>
      <c r="I148" s="1213">
        <v>0</v>
      </c>
      <c r="J148" s="1213"/>
      <c r="K148" s="1213">
        <v>0</v>
      </c>
      <c r="L148" s="1213"/>
      <c r="M148" s="1213">
        <f t="shared" si="6"/>
        <v>0</v>
      </c>
      <c r="N148" s="1213"/>
      <c r="O148" s="1213">
        <v>0</v>
      </c>
      <c r="P148" s="2156"/>
      <c r="Q148" s="2908"/>
    </row>
    <row r="149" spans="2:17" s="2895" customFormat="1" ht="15.75">
      <c r="B149" s="2903">
        <v>22006</v>
      </c>
      <c r="C149" s="2917"/>
      <c r="D149" s="2918" t="s">
        <v>688</v>
      </c>
      <c r="E149" s="2919"/>
      <c r="F149" s="2919"/>
      <c r="G149" s="1213">
        <v>0</v>
      </c>
      <c r="H149" s="1213"/>
      <c r="I149" s="1213">
        <v>0</v>
      </c>
      <c r="J149" s="1213"/>
      <c r="K149" s="1213">
        <v>0</v>
      </c>
      <c r="L149" s="1213"/>
      <c r="M149" s="1213">
        <f t="shared" si="6"/>
        <v>0</v>
      </c>
      <c r="N149" s="1213"/>
      <c r="O149" s="1213">
        <v>0</v>
      </c>
      <c r="P149" s="2156"/>
      <c r="Q149" s="2908"/>
    </row>
    <row r="150" spans="2:17" s="2895" customFormat="1" ht="15.75">
      <c r="B150" s="2903">
        <v>22007</v>
      </c>
      <c r="C150" s="2917"/>
      <c r="D150" s="2938" t="s">
        <v>689</v>
      </c>
      <c r="E150" s="2919"/>
      <c r="F150" s="2919"/>
      <c r="G150" s="1213">
        <v>0</v>
      </c>
      <c r="H150" s="1213"/>
      <c r="I150" s="1213">
        <v>0</v>
      </c>
      <c r="J150" s="1213"/>
      <c r="K150" s="1213">
        <v>0</v>
      </c>
      <c r="L150" s="1213"/>
      <c r="M150" s="1213">
        <f t="shared" si="6"/>
        <v>0</v>
      </c>
      <c r="N150" s="1213"/>
      <c r="O150" s="1213">
        <v>0</v>
      </c>
      <c r="P150" s="2156"/>
      <c r="Q150" s="2908"/>
    </row>
    <row r="151" spans="2:17" s="2895" customFormat="1" ht="15.75">
      <c r="B151" s="2903">
        <v>22008</v>
      </c>
      <c r="C151" s="2917"/>
      <c r="D151" s="2938" t="s">
        <v>1300</v>
      </c>
      <c r="E151" s="2919"/>
      <c r="F151" s="2919"/>
      <c r="G151" s="1213">
        <v>0</v>
      </c>
      <c r="H151" s="1213"/>
      <c r="I151" s="1213">
        <v>0</v>
      </c>
      <c r="J151" s="1213"/>
      <c r="K151" s="1213">
        <v>0</v>
      </c>
      <c r="L151" s="1213"/>
      <c r="M151" s="1213">
        <f t="shared" ref="M151" si="8">ROUND(SUM(O151)-SUM(K151),2)</f>
        <v>0</v>
      </c>
      <c r="N151" s="1213"/>
      <c r="O151" s="1213">
        <v>0</v>
      </c>
      <c r="P151" s="2156"/>
      <c r="Q151" s="2908"/>
    </row>
    <row r="152" spans="2:17" s="2895" customFormat="1" ht="15.75">
      <c r="B152" s="2903">
        <v>22009</v>
      </c>
      <c r="C152" s="2917"/>
      <c r="D152" s="2938" t="s">
        <v>690</v>
      </c>
      <c r="E152" s="2919"/>
      <c r="F152" s="2919"/>
      <c r="G152" s="1213">
        <v>38751.379999999997</v>
      </c>
      <c r="H152" s="1213"/>
      <c r="I152" s="1213">
        <v>22724.52</v>
      </c>
      <c r="J152" s="1213"/>
      <c r="K152" s="1213">
        <v>24304.44</v>
      </c>
      <c r="L152" s="1213"/>
      <c r="M152" s="1213">
        <f t="shared" si="6"/>
        <v>7770.14</v>
      </c>
      <c r="N152" s="1213"/>
      <c r="O152" s="1213">
        <v>32074.58</v>
      </c>
      <c r="P152" s="2156"/>
      <c r="Q152" s="2908"/>
    </row>
    <row r="153" spans="2:17" s="3092" customFormat="1" ht="15.75">
      <c r="B153" s="2921">
        <v>22017</v>
      </c>
      <c r="C153" s="2939"/>
      <c r="D153" s="2940" t="s">
        <v>1358</v>
      </c>
      <c r="E153" s="2924"/>
      <c r="F153" s="2924"/>
      <c r="G153" s="1213">
        <v>0</v>
      </c>
      <c r="H153" s="1213"/>
      <c r="I153" s="1213">
        <v>0</v>
      </c>
      <c r="J153" s="1213"/>
      <c r="K153" s="1213">
        <v>0</v>
      </c>
      <c r="L153" s="1213"/>
      <c r="M153" s="1213">
        <f t="shared" si="6"/>
        <v>0</v>
      </c>
      <c r="N153" s="1213"/>
      <c r="O153" s="1213">
        <v>0</v>
      </c>
      <c r="P153" s="2156"/>
      <c r="Q153" s="3091"/>
    </row>
    <row r="154" spans="2:17" s="2895" customFormat="1" ht="15.75">
      <c r="B154" s="2903">
        <v>22032</v>
      </c>
      <c r="C154" s="2917"/>
      <c r="D154" s="2938" t="s">
        <v>691</v>
      </c>
      <c r="E154" s="2919"/>
      <c r="F154" s="2919"/>
      <c r="G154" s="1213">
        <v>8568731.8300000001</v>
      </c>
      <c r="H154" s="1213"/>
      <c r="I154" s="1213">
        <v>9514632.1699999999</v>
      </c>
      <c r="J154" s="1213"/>
      <c r="K154" s="1213">
        <v>10602800.050000001</v>
      </c>
      <c r="L154" s="1213"/>
      <c r="M154" s="1213">
        <f t="shared" si="6"/>
        <v>717707.76</v>
      </c>
      <c r="N154" s="1213"/>
      <c r="O154" s="1213">
        <v>11320507.810000001</v>
      </c>
      <c r="P154" s="2156"/>
      <c r="Q154" s="2908"/>
    </row>
    <row r="155" spans="2:17" s="2895" customFormat="1" ht="15.75">
      <c r="B155" s="2903">
        <v>22034</v>
      </c>
      <c r="C155" s="2917"/>
      <c r="D155" s="2938" t="s">
        <v>692</v>
      </c>
      <c r="E155" s="2919"/>
      <c r="F155" s="2919"/>
      <c r="G155" s="1213">
        <v>0</v>
      </c>
      <c r="H155" s="1213"/>
      <c r="I155" s="1213">
        <v>0</v>
      </c>
      <c r="J155" s="1213"/>
      <c r="K155" s="1213">
        <v>0</v>
      </c>
      <c r="L155" s="1213"/>
      <c r="M155" s="1213">
        <f t="shared" si="6"/>
        <v>0</v>
      </c>
      <c r="N155" s="1213"/>
      <c r="O155" s="1213">
        <v>0</v>
      </c>
      <c r="P155" s="2156"/>
      <c r="Q155" s="2908"/>
    </row>
    <row r="156" spans="2:17" s="2895" customFormat="1" ht="15.75">
      <c r="B156" s="2903">
        <v>22036</v>
      </c>
      <c r="C156" s="2917"/>
      <c r="D156" s="2938" t="s">
        <v>693</v>
      </c>
      <c r="E156" s="2919"/>
      <c r="F156" s="2919"/>
      <c r="G156" s="1213">
        <v>0</v>
      </c>
      <c r="H156" s="1213"/>
      <c r="I156" s="1213">
        <v>0</v>
      </c>
      <c r="J156" s="1213"/>
      <c r="K156" s="1213">
        <v>0</v>
      </c>
      <c r="L156" s="1213"/>
      <c r="M156" s="1213">
        <f t="shared" si="6"/>
        <v>0</v>
      </c>
      <c r="N156" s="1213"/>
      <c r="O156" s="1213">
        <v>0</v>
      </c>
      <c r="P156" s="2156"/>
      <c r="Q156" s="2908"/>
    </row>
    <row r="157" spans="2:17" s="2895" customFormat="1" ht="15.75">
      <c r="B157" s="2903">
        <v>22039</v>
      </c>
      <c r="C157" s="2917"/>
      <c r="D157" s="2938" t="s">
        <v>694</v>
      </c>
      <c r="E157" s="2919"/>
      <c r="F157" s="2919"/>
      <c r="G157" s="1213">
        <v>259686.11</v>
      </c>
      <c r="H157" s="1213"/>
      <c r="I157" s="1213">
        <v>517309.49</v>
      </c>
      <c r="J157" s="1213"/>
      <c r="K157" s="1213">
        <v>827618.02</v>
      </c>
      <c r="L157" s="1213"/>
      <c r="M157" s="1213">
        <f t="shared" si="6"/>
        <v>-552612.94999999995</v>
      </c>
      <c r="N157" s="1213"/>
      <c r="O157" s="1213">
        <v>275005.07</v>
      </c>
      <c r="P157" s="2156"/>
      <c r="Q157" s="2908"/>
    </row>
    <row r="158" spans="2:17" s="2895" customFormat="1" ht="15.75">
      <c r="B158" s="2903">
        <v>22046</v>
      </c>
      <c r="C158" s="2917"/>
      <c r="D158" s="2938" t="s">
        <v>695</v>
      </c>
      <c r="E158" s="2919"/>
      <c r="F158" s="2919"/>
      <c r="G158" s="1213">
        <v>94761447.780000001</v>
      </c>
      <c r="H158" s="1213"/>
      <c r="I158" s="1213">
        <v>95821480.920000002</v>
      </c>
      <c r="J158" s="1213"/>
      <c r="K158" s="1213">
        <v>95993465.560000002</v>
      </c>
      <c r="L158" s="1213"/>
      <c r="M158" s="1213">
        <f t="shared" si="6"/>
        <v>979765.51</v>
      </c>
      <c r="N158" s="1213"/>
      <c r="O158" s="1213">
        <v>96973231.069999993</v>
      </c>
      <c r="P158" s="2156"/>
      <c r="Q158" s="2908"/>
    </row>
    <row r="159" spans="2:17" s="2895" customFormat="1" ht="15.75">
      <c r="B159" s="2903">
        <v>22053</v>
      </c>
      <c r="C159" s="2917"/>
      <c r="D159" s="2938" t="s">
        <v>696</v>
      </c>
      <c r="E159" s="2919"/>
      <c r="F159" s="2919"/>
      <c r="G159" s="1213">
        <v>3717957.37</v>
      </c>
      <c r="H159" s="1213"/>
      <c r="I159" s="1213">
        <v>4429589.3</v>
      </c>
      <c r="J159" s="1213"/>
      <c r="K159" s="1213">
        <v>5586537.0199999996</v>
      </c>
      <c r="L159" s="1213"/>
      <c r="M159" s="1213">
        <f t="shared" si="6"/>
        <v>528284.94999999995</v>
      </c>
      <c r="N159" s="1213"/>
      <c r="O159" s="1213">
        <v>6114821.9699999997</v>
      </c>
      <c r="P159" s="2156"/>
      <c r="Q159" s="2908"/>
    </row>
    <row r="160" spans="2:17" s="2895" customFormat="1" ht="15.75">
      <c r="B160" s="2903">
        <v>22054</v>
      </c>
      <c r="C160" s="2917"/>
      <c r="D160" s="2938" t="s">
        <v>697</v>
      </c>
      <c r="E160" s="2919"/>
      <c r="F160" s="2919"/>
      <c r="G160" s="1213">
        <v>902838.61</v>
      </c>
      <c r="H160" s="1213"/>
      <c r="I160" s="1213">
        <v>859008.57</v>
      </c>
      <c r="J160" s="1213"/>
      <c r="K160" s="1213">
        <v>808753.32</v>
      </c>
      <c r="L160" s="1213"/>
      <c r="M160" s="1213">
        <f t="shared" si="6"/>
        <v>-149620.4</v>
      </c>
      <c r="N160" s="1213"/>
      <c r="O160" s="1213">
        <v>659132.92000000004</v>
      </c>
      <c r="P160" s="2156"/>
      <c r="Q160" s="2908"/>
    </row>
    <row r="161" spans="2:17" s="2895" customFormat="1" ht="15.75">
      <c r="B161" s="2903">
        <v>22055</v>
      </c>
      <c r="C161" s="2917"/>
      <c r="D161" s="2938" t="s">
        <v>698</v>
      </c>
      <c r="E161" s="2919"/>
      <c r="F161" s="2919"/>
      <c r="G161" s="1213">
        <v>31016774.620000001</v>
      </c>
      <c r="H161" s="1213"/>
      <c r="I161" s="1213">
        <v>34239897.640000001</v>
      </c>
      <c r="J161" s="1213"/>
      <c r="K161" s="1213">
        <v>37896896.770000003</v>
      </c>
      <c r="L161" s="1213"/>
      <c r="M161" s="1213">
        <f t="shared" si="6"/>
        <v>1514596.67</v>
      </c>
      <c r="N161" s="1213"/>
      <c r="O161" s="1213">
        <v>39411493.439999998</v>
      </c>
      <c r="P161" s="2156"/>
      <c r="Q161" s="2908"/>
    </row>
    <row r="162" spans="2:17" s="2895" customFormat="1" ht="15.75">
      <c r="B162" s="2903">
        <v>22056</v>
      </c>
      <c r="C162" s="2917"/>
      <c r="D162" s="2938" t="s">
        <v>699</v>
      </c>
      <c r="E162" s="2919"/>
      <c r="F162" s="2919"/>
      <c r="G162" s="1213">
        <v>1120954.74</v>
      </c>
      <c r="H162" s="1213"/>
      <c r="I162" s="1213">
        <v>1343372.58</v>
      </c>
      <c r="J162" s="1213"/>
      <c r="K162" s="1213">
        <v>1484621.43</v>
      </c>
      <c r="L162" s="1213"/>
      <c r="M162" s="1213">
        <f t="shared" si="6"/>
        <v>113981.03</v>
      </c>
      <c r="N162" s="1213"/>
      <c r="O162" s="1213">
        <v>1598602.46</v>
      </c>
      <c r="P162" s="2156"/>
      <c r="Q162" s="2908"/>
    </row>
    <row r="163" spans="2:17" s="2895" customFormat="1" ht="15.75">
      <c r="B163" s="2903">
        <v>22062</v>
      </c>
      <c r="C163" s="2917"/>
      <c r="D163" s="2938" t="s">
        <v>700</v>
      </c>
      <c r="E163" s="2919"/>
      <c r="F163" s="2919"/>
      <c r="G163" s="1213">
        <v>0</v>
      </c>
      <c r="H163" s="1213"/>
      <c r="I163" s="1213">
        <v>0</v>
      </c>
      <c r="J163" s="1213"/>
      <c r="K163" s="1213">
        <v>0</v>
      </c>
      <c r="L163" s="1213"/>
      <c r="M163" s="1213">
        <f t="shared" si="6"/>
        <v>0</v>
      </c>
      <c r="N163" s="1213"/>
      <c r="O163" s="1213">
        <v>0</v>
      </c>
      <c r="P163" s="2156"/>
      <c r="Q163" s="2908"/>
    </row>
    <row r="164" spans="2:17" s="2895" customFormat="1" ht="15.75">
      <c r="B164" s="2903">
        <v>22063</v>
      </c>
      <c r="C164" s="2917"/>
      <c r="D164" s="2938" t="s">
        <v>701</v>
      </c>
      <c r="E164" s="2919"/>
      <c r="F164" s="2919"/>
      <c r="G164" s="1213">
        <v>5490643.04</v>
      </c>
      <c r="H164" s="1213"/>
      <c r="I164" s="1213">
        <v>5432522.4199999999</v>
      </c>
      <c r="J164" s="1213"/>
      <c r="K164" s="1213">
        <v>4786470.03</v>
      </c>
      <c r="L164" s="1213"/>
      <c r="M164" s="1213">
        <f t="shared" si="6"/>
        <v>-1395247.24</v>
      </c>
      <c r="N164" s="1213"/>
      <c r="O164" s="1213">
        <v>3391222.79</v>
      </c>
      <c r="P164" s="2156"/>
      <c r="Q164" s="2908"/>
    </row>
    <row r="165" spans="2:17" s="2895" customFormat="1" ht="15.75">
      <c r="B165" s="2903">
        <v>22078</v>
      </c>
      <c r="C165" s="2917"/>
      <c r="D165" s="2938" t="s">
        <v>702</v>
      </c>
      <c r="E165" s="2919"/>
      <c r="F165" s="2919"/>
      <c r="G165" s="1213">
        <v>0</v>
      </c>
      <c r="H165" s="1213"/>
      <c r="I165" s="1213">
        <v>0</v>
      </c>
      <c r="J165" s="1213"/>
      <c r="K165" s="1213">
        <v>0</v>
      </c>
      <c r="L165" s="1213"/>
      <c r="M165" s="1213">
        <f t="shared" si="6"/>
        <v>0</v>
      </c>
      <c r="N165" s="1213"/>
      <c r="O165" s="1213">
        <v>0</v>
      </c>
      <c r="P165" s="2156"/>
      <c r="Q165" s="2908"/>
    </row>
    <row r="166" spans="2:17" s="2895" customFormat="1" ht="15.75">
      <c r="B166" s="2903">
        <v>22085</v>
      </c>
      <c r="C166" s="2917"/>
      <c r="D166" s="2938" t="s">
        <v>703</v>
      </c>
      <c r="E166" s="2919"/>
      <c r="F166" s="2919"/>
      <c r="G166" s="1213">
        <v>1581265.97</v>
      </c>
      <c r="H166" s="1213"/>
      <c r="I166" s="1213">
        <v>1722996.43</v>
      </c>
      <c r="J166" s="1213"/>
      <c r="K166" s="1213">
        <v>1929393.99</v>
      </c>
      <c r="L166" s="1213"/>
      <c r="M166" s="1213">
        <f>ROUND(SUM(O166)-SUM(K166),2)</f>
        <v>201909.2</v>
      </c>
      <c r="N166" s="1213"/>
      <c r="O166" s="1213">
        <v>2131303.19</v>
      </c>
      <c r="P166" s="2156"/>
      <c r="Q166" s="2908"/>
    </row>
    <row r="167" spans="2:17" s="2895" customFormat="1" ht="15.75">
      <c r="B167" s="2903">
        <v>22090</v>
      </c>
      <c r="C167" s="2917"/>
      <c r="D167" s="2938" t="s">
        <v>704</v>
      </c>
      <c r="E167" s="2919"/>
      <c r="F167" s="2919"/>
      <c r="G167" s="1213">
        <v>0</v>
      </c>
      <c r="H167" s="1213"/>
      <c r="I167" s="1213">
        <v>0</v>
      </c>
      <c r="J167" s="1213"/>
      <c r="K167" s="1213">
        <v>0</v>
      </c>
      <c r="L167" s="1213"/>
      <c r="M167" s="1213">
        <f t="shared" si="6"/>
        <v>0</v>
      </c>
      <c r="N167" s="1213"/>
      <c r="O167" s="1213">
        <v>0</v>
      </c>
      <c r="P167" s="2156"/>
      <c r="Q167" s="2908"/>
    </row>
    <row r="168" spans="2:17" s="2895" customFormat="1" ht="15.75">
      <c r="B168" s="2903">
        <v>22100</v>
      </c>
      <c r="C168" s="2917"/>
      <c r="D168" s="2938" t="s">
        <v>705</v>
      </c>
      <c r="E168" s="2919"/>
      <c r="F168" s="2919"/>
      <c r="G168" s="1213">
        <v>10474355.279999999</v>
      </c>
      <c r="H168" s="1213"/>
      <c r="I168" s="1213">
        <v>11155914.060000001</v>
      </c>
      <c r="J168" s="1213"/>
      <c r="K168" s="1213">
        <v>11818808.1</v>
      </c>
      <c r="L168" s="1213"/>
      <c r="M168" s="1213">
        <f t="shared" ref="M168:M184" si="9">ROUND(SUM(O168)-SUM(K168),2)</f>
        <v>559780.71</v>
      </c>
      <c r="N168" s="1213"/>
      <c r="O168" s="1213">
        <v>12378588.810000001</v>
      </c>
      <c r="P168" s="2156"/>
      <c r="Q168" s="2908"/>
    </row>
    <row r="169" spans="2:17" s="2895" customFormat="1" ht="15.75">
      <c r="B169" s="2903">
        <v>22130</v>
      </c>
      <c r="C169" s="2917"/>
      <c r="D169" s="2918" t="s">
        <v>706</v>
      </c>
      <c r="E169" s="2919"/>
      <c r="F169" s="2919"/>
      <c r="G169" s="1213">
        <v>0</v>
      </c>
      <c r="H169" s="1213"/>
      <c r="I169" s="1213">
        <v>0</v>
      </c>
      <c r="J169" s="1213"/>
      <c r="K169" s="1213">
        <v>0</v>
      </c>
      <c r="L169" s="1213"/>
      <c r="M169" s="1213">
        <f t="shared" si="9"/>
        <v>0</v>
      </c>
      <c r="N169" s="1213"/>
      <c r="O169" s="1213">
        <v>0</v>
      </c>
      <c r="P169" s="2156"/>
      <c r="Q169" s="2908"/>
    </row>
    <row r="170" spans="2:17" s="2895" customFormat="1" ht="15.75">
      <c r="B170" s="2903">
        <v>22135</v>
      </c>
      <c r="C170" s="2917"/>
      <c r="D170" s="2918" t="s">
        <v>707</v>
      </c>
      <c r="E170" s="2919"/>
      <c r="F170" s="2919"/>
      <c r="G170" s="1213">
        <v>0</v>
      </c>
      <c r="H170" s="1213"/>
      <c r="I170" s="1213">
        <v>0</v>
      </c>
      <c r="J170" s="1213"/>
      <c r="K170" s="1213">
        <v>0</v>
      </c>
      <c r="L170" s="1213"/>
      <c r="M170" s="1213">
        <f t="shared" si="9"/>
        <v>0</v>
      </c>
      <c r="N170" s="1213"/>
      <c r="O170" s="1213">
        <v>0</v>
      </c>
      <c r="P170" s="2156"/>
      <c r="Q170" s="2908"/>
    </row>
    <row r="171" spans="2:17" s="2895" customFormat="1" ht="15.75">
      <c r="B171" s="2903">
        <v>22144</v>
      </c>
      <c r="C171" s="2917"/>
      <c r="D171" s="2938" t="s">
        <v>708</v>
      </c>
      <c r="E171" s="2919"/>
      <c r="F171" s="2919"/>
      <c r="G171" s="1213">
        <v>264654.69</v>
      </c>
      <c r="H171" s="1213"/>
      <c r="I171" s="1213">
        <v>0</v>
      </c>
      <c r="J171" s="1213"/>
      <c r="K171" s="1213">
        <v>0</v>
      </c>
      <c r="L171" s="1213"/>
      <c r="M171" s="1213">
        <f t="shared" si="9"/>
        <v>0</v>
      </c>
      <c r="N171" s="1213"/>
      <c r="O171" s="1213">
        <v>0</v>
      </c>
      <c r="P171" s="2156"/>
      <c r="Q171" s="2908"/>
    </row>
    <row r="172" spans="2:17" s="2895" customFormat="1" ht="15.75">
      <c r="B172" s="2903">
        <v>22151</v>
      </c>
      <c r="C172" s="2917"/>
      <c r="D172" s="2918" t="s">
        <v>709</v>
      </c>
      <c r="E172" s="2919"/>
      <c r="F172" s="2919"/>
      <c r="G172" s="1213">
        <v>176103.57</v>
      </c>
      <c r="H172" s="1213"/>
      <c r="I172" s="1213">
        <v>56057.78</v>
      </c>
      <c r="J172" s="1213"/>
      <c r="K172" s="1213">
        <v>119092.21</v>
      </c>
      <c r="L172" s="1213"/>
      <c r="M172" s="1213">
        <f t="shared" si="9"/>
        <v>51953.4</v>
      </c>
      <c r="N172" s="1213"/>
      <c r="O172" s="1213">
        <v>171045.61</v>
      </c>
      <c r="P172" s="2156"/>
      <c r="Q172" s="2908"/>
    </row>
    <row r="173" spans="2:17" s="2895" customFormat="1" ht="15.75">
      <c r="B173" s="2903">
        <v>22156</v>
      </c>
      <c r="C173" s="2917"/>
      <c r="D173" s="2918" t="s">
        <v>710</v>
      </c>
      <c r="E173" s="2919"/>
      <c r="F173" s="2919"/>
      <c r="G173" s="1213">
        <v>4253279.07</v>
      </c>
      <c r="H173" s="1213"/>
      <c r="I173" s="1213">
        <v>7970306.5099999998</v>
      </c>
      <c r="J173" s="1213"/>
      <c r="K173" s="1213">
        <v>12415682.77</v>
      </c>
      <c r="L173" s="1213"/>
      <c r="M173" s="1213">
        <f t="shared" si="9"/>
        <v>3879758.13</v>
      </c>
      <c r="N173" s="1213"/>
      <c r="O173" s="1213">
        <v>16295440.9</v>
      </c>
      <c r="P173" s="2156"/>
      <c r="Q173" s="2908"/>
    </row>
    <row r="174" spans="2:17" s="2895" customFormat="1" ht="15.75">
      <c r="B174" s="2903">
        <v>22158</v>
      </c>
      <c r="C174" s="2917"/>
      <c r="D174" s="2938" t="s">
        <v>711</v>
      </c>
      <c r="E174" s="2919"/>
      <c r="F174" s="2919"/>
      <c r="G174" s="1213">
        <v>0</v>
      </c>
      <c r="H174" s="1213"/>
      <c r="I174" s="1213">
        <v>0</v>
      </c>
      <c r="J174" s="1213"/>
      <c r="K174" s="1213">
        <v>0</v>
      </c>
      <c r="L174" s="1213"/>
      <c r="M174" s="1213">
        <f t="shared" si="9"/>
        <v>0</v>
      </c>
      <c r="N174" s="1213"/>
      <c r="O174" s="1213">
        <v>0</v>
      </c>
      <c r="P174" s="2156"/>
      <c r="Q174" s="2908"/>
    </row>
    <row r="175" spans="2:17" s="2895" customFormat="1" ht="15.75">
      <c r="B175" s="2903">
        <v>22168</v>
      </c>
      <c r="C175" s="2917"/>
      <c r="D175" s="2938" t="s">
        <v>712</v>
      </c>
      <c r="E175" s="2919"/>
      <c r="F175" s="2919"/>
      <c r="G175" s="1213">
        <v>0</v>
      </c>
      <c r="H175" s="1213"/>
      <c r="I175" s="1213">
        <v>0</v>
      </c>
      <c r="J175" s="1213"/>
      <c r="K175" s="1213">
        <v>0</v>
      </c>
      <c r="L175" s="1213"/>
      <c r="M175" s="1213">
        <f t="shared" si="9"/>
        <v>0</v>
      </c>
      <c r="N175" s="1213"/>
      <c r="O175" s="1213">
        <v>0</v>
      </c>
      <c r="P175" s="2156"/>
      <c r="Q175" s="2908"/>
    </row>
    <row r="176" spans="2:17" s="3092" customFormat="1" ht="15.75">
      <c r="B176" s="2921">
        <v>22240</v>
      </c>
      <c r="C176" s="2939"/>
      <c r="D176" s="2940" t="s">
        <v>1359</v>
      </c>
      <c r="E176" s="2924"/>
      <c r="F176" s="2924"/>
      <c r="G176" s="1213">
        <v>1269835.22</v>
      </c>
      <c r="H176" s="1213"/>
      <c r="I176" s="1213">
        <v>1371046.36</v>
      </c>
      <c r="J176" s="1213"/>
      <c r="K176" s="1213">
        <v>1502286.6</v>
      </c>
      <c r="L176" s="1213"/>
      <c r="M176" s="1213">
        <f t="shared" si="9"/>
        <v>103897.06</v>
      </c>
      <c r="N176" s="1213"/>
      <c r="O176" s="1213">
        <v>1606183.66</v>
      </c>
      <c r="P176" s="2156"/>
      <c r="Q176" s="3091"/>
    </row>
    <row r="177" spans="2:18" s="2895" customFormat="1" ht="15.75">
      <c r="B177" s="2903">
        <v>22654</v>
      </c>
      <c r="C177" s="2917"/>
      <c r="D177" s="2918" t="s">
        <v>713</v>
      </c>
      <c r="E177" s="2919"/>
      <c r="F177" s="2919"/>
      <c r="G177" s="1213">
        <v>20667047.289999999</v>
      </c>
      <c r="H177" s="1213"/>
      <c r="I177" s="1213">
        <v>20669171.390000001</v>
      </c>
      <c r="J177" s="1213"/>
      <c r="K177" s="1213">
        <v>20671321.960000001</v>
      </c>
      <c r="L177" s="1213"/>
      <c r="M177" s="1213">
        <f t="shared" si="9"/>
        <v>2288.5100000000002</v>
      </c>
      <c r="N177" s="1213"/>
      <c r="O177" s="1213">
        <v>20673610.469999999</v>
      </c>
      <c r="P177" s="2156"/>
      <c r="Q177" s="2908"/>
    </row>
    <row r="178" spans="2:18" s="2895" customFormat="1" ht="15.75">
      <c r="B178" s="2903">
        <v>22751</v>
      </c>
      <c r="C178" s="2917"/>
      <c r="D178" s="2918" t="s">
        <v>1258</v>
      </c>
      <c r="E178" s="2919"/>
      <c r="F178" s="2919"/>
      <c r="G178" s="1213">
        <v>0</v>
      </c>
      <c r="H178" s="1213"/>
      <c r="I178" s="1213">
        <v>0</v>
      </c>
      <c r="J178" s="1213"/>
      <c r="K178" s="1213">
        <v>0</v>
      </c>
      <c r="L178" s="1213"/>
      <c r="M178" s="1213">
        <f>ROUND(SUM(O178)-SUM(K178),2)</f>
        <v>23185.21</v>
      </c>
      <c r="N178" s="1213"/>
      <c r="O178" s="1213">
        <v>23185.21</v>
      </c>
      <c r="P178" s="2156"/>
      <c r="Q178" s="2908"/>
    </row>
    <row r="179" spans="2:18" s="2895" customFormat="1" ht="15.75">
      <c r="B179" s="2903">
        <v>22802</v>
      </c>
      <c r="C179" s="2917"/>
      <c r="D179" s="2938" t="s">
        <v>714</v>
      </c>
      <c r="E179" s="2919"/>
      <c r="F179" s="2919"/>
      <c r="G179" s="1213">
        <v>0</v>
      </c>
      <c r="H179" s="1213"/>
      <c r="I179" s="1213">
        <v>0</v>
      </c>
      <c r="J179" s="1213"/>
      <c r="K179" s="1213">
        <v>0</v>
      </c>
      <c r="L179" s="1213"/>
      <c r="M179" s="1213">
        <f t="shared" si="9"/>
        <v>0</v>
      </c>
      <c r="N179" s="1213"/>
      <c r="O179" s="1213">
        <v>0</v>
      </c>
      <c r="P179" s="2156"/>
      <c r="Q179" s="2908"/>
    </row>
    <row r="180" spans="2:18" s="2895" customFormat="1" ht="15.75">
      <c r="B180" s="2903">
        <v>23001</v>
      </c>
      <c r="C180" s="2917"/>
      <c r="D180" s="2918" t="s">
        <v>715</v>
      </c>
      <c r="E180" s="2919"/>
      <c r="F180" s="2919"/>
      <c r="G180" s="1213">
        <v>16041242.689999999</v>
      </c>
      <c r="H180" s="1213"/>
      <c r="I180" s="1213">
        <v>16319265.619999999</v>
      </c>
      <c r="J180" s="1213"/>
      <c r="K180" s="1213">
        <v>16693271.869999999</v>
      </c>
      <c r="L180" s="1213"/>
      <c r="M180" s="1213">
        <f t="shared" si="9"/>
        <v>146725.10999999999</v>
      </c>
      <c r="N180" s="1213"/>
      <c r="O180" s="1213">
        <v>16839996.98</v>
      </c>
      <c r="P180" s="2156"/>
      <c r="Q180" s="2908"/>
    </row>
    <row r="181" spans="2:18" s="2895" customFormat="1" ht="15.75">
      <c r="B181" s="2903">
        <v>23102</v>
      </c>
      <c r="C181" s="2917"/>
      <c r="D181" s="2938" t="s">
        <v>716</v>
      </c>
      <c r="E181" s="2919"/>
      <c r="F181" s="2919"/>
      <c r="G181" s="1213">
        <v>5350949.7</v>
      </c>
      <c r="H181" s="1213"/>
      <c r="I181" s="1213">
        <v>5350949.7</v>
      </c>
      <c r="J181" s="1213"/>
      <c r="K181" s="1213">
        <v>5350949.7</v>
      </c>
      <c r="L181" s="1213"/>
      <c r="M181" s="1213">
        <f t="shared" si="9"/>
        <v>0</v>
      </c>
      <c r="N181" s="1213"/>
      <c r="O181" s="1213">
        <v>5350949.7</v>
      </c>
      <c r="P181" s="2156"/>
      <c r="Q181" s="2908"/>
    </row>
    <row r="182" spans="2:18" s="2895" customFormat="1" ht="15.75">
      <c r="B182" s="2903">
        <v>23151</v>
      </c>
      <c r="C182" s="2917"/>
      <c r="D182" s="2918" t="s">
        <v>717</v>
      </c>
      <c r="E182" s="2919"/>
      <c r="F182" s="2919"/>
      <c r="G182" s="1213">
        <v>46094230.009999998</v>
      </c>
      <c r="H182" s="1213"/>
      <c r="I182" s="1213">
        <v>48390644.219999999</v>
      </c>
      <c r="J182" s="1213"/>
      <c r="K182" s="1213">
        <v>50730785.310000002</v>
      </c>
      <c r="L182" s="1213"/>
      <c r="M182" s="1213">
        <f t="shared" si="9"/>
        <v>2360973.2200000002</v>
      </c>
      <c r="N182" s="1213"/>
      <c r="O182" s="1213">
        <v>53091758.530000001</v>
      </c>
      <c r="P182" s="2156"/>
      <c r="Q182" s="2908"/>
    </row>
    <row r="183" spans="2:18" s="2895" customFormat="1" ht="15.75">
      <c r="B183" s="2943">
        <v>23701</v>
      </c>
      <c r="C183" s="2917"/>
      <c r="D183" s="2918" t="s">
        <v>939</v>
      </c>
      <c r="E183" s="2919"/>
      <c r="F183" s="2919"/>
      <c r="G183" s="1213">
        <v>0</v>
      </c>
      <c r="H183" s="1213"/>
      <c r="I183" s="1213">
        <v>0</v>
      </c>
      <c r="J183" s="1213"/>
      <c r="K183" s="1213">
        <v>0</v>
      </c>
      <c r="L183" s="1213"/>
      <c r="M183" s="1213">
        <f t="shared" si="9"/>
        <v>0</v>
      </c>
      <c r="N183" s="1213"/>
      <c r="O183" s="1213">
        <v>0</v>
      </c>
      <c r="P183" s="2156"/>
      <c r="Q183" s="2908"/>
    </row>
    <row r="184" spans="2:18" s="2895" customFormat="1" ht="15.75">
      <c r="B184" s="2943">
        <v>23702</v>
      </c>
      <c r="C184" s="2917"/>
      <c r="D184" s="2938" t="s">
        <v>940</v>
      </c>
      <c r="E184" s="2919"/>
      <c r="F184" s="2919"/>
      <c r="G184" s="1213">
        <v>20509123.969999999</v>
      </c>
      <c r="H184" s="1213"/>
      <c r="I184" s="1213">
        <v>20807346.969999999</v>
      </c>
      <c r="J184" s="1213"/>
      <c r="K184" s="1213">
        <v>21181241.859999999</v>
      </c>
      <c r="L184" s="1213"/>
      <c r="M184" s="1213">
        <f t="shared" si="9"/>
        <v>314170.48</v>
      </c>
      <c r="N184" s="1213"/>
      <c r="O184" s="1213">
        <v>21495412.34</v>
      </c>
      <c r="P184" s="2156"/>
      <c r="Q184" s="2908"/>
    </row>
    <row r="185" spans="2:18" s="2895" customFormat="1" ht="15.75">
      <c r="B185" s="2943">
        <v>23801</v>
      </c>
      <c r="C185" s="2917"/>
      <c r="D185" s="2938" t="s">
        <v>1267</v>
      </c>
      <c r="E185" s="2919"/>
      <c r="F185" s="2919"/>
      <c r="G185" s="1213">
        <v>0</v>
      </c>
      <c r="H185" s="1213"/>
      <c r="I185" s="1213">
        <v>0</v>
      </c>
      <c r="J185" s="1213"/>
      <c r="K185" s="1213">
        <v>0</v>
      </c>
      <c r="L185" s="1213"/>
      <c r="M185" s="1213">
        <f>ROUND(SUM(O185)-SUM(K185),2)</f>
        <v>0</v>
      </c>
      <c r="N185" s="1213"/>
      <c r="O185" s="1213">
        <v>0</v>
      </c>
      <c r="P185" s="2915"/>
      <c r="Q185" s="2908"/>
    </row>
    <row r="186" spans="2:18" s="2895" customFormat="1" ht="15.75">
      <c r="B186" s="2943">
        <v>23806</v>
      </c>
      <c r="C186" s="2917"/>
      <c r="D186" s="2938" t="s">
        <v>1301</v>
      </c>
      <c r="E186" s="2919"/>
      <c r="F186" s="2919"/>
      <c r="G186" s="1213">
        <v>0</v>
      </c>
      <c r="H186" s="1213"/>
      <c r="I186" s="1213">
        <v>0</v>
      </c>
      <c r="J186" s="1213"/>
      <c r="K186" s="1213">
        <v>0</v>
      </c>
      <c r="L186" s="1213"/>
      <c r="M186" s="1213">
        <f t="shared" ref="M186:M187" si="10">ROUND(SUM(O186)-SUM(K186),2)</f>
        <v>0</v>
      </c>
      <c r="N186" s="1213"/>
      <c r="O186" s="1213">
        <v>0</v>
      </c>
      <c r="P186" s="2915"/>
      <c r="Q186" s="2908"/>
    </row>
    <row r="187" spans="2:18" s="2895" customFormat="1" ht="15.75">
      <c r="B187" s="2943">
        <v>24951</v>
      </c>
      <c r="C187" s="2917"/>
      <c r="D187" s="2938" t="s">
        <v>1302</v>
      </c>
      <c r="E187" s="2919"/>
      <c r="F187" s="2919"/>
      <c r="G187" s="1213">
        <v>60094.79</v>
      </c>
      <c r="H187" s="1213"/>
      <c r="I187" s="1213">
        <v>4356.79</v>
      </c>
      <c r="J187" s="1213"/>
      <c r="K187" s="1213">
        <v>37509.74</v>
      </c>
      <c r="L187" s="1213"/>
      <c r="M187" s="1213">
        <f t="shared" si="10"/>
        <v>0</v>
      </c>
      <c r="N187" s="1213"/>
      <c r="O187" s="1213">
        <v>37509.74</v>
      </c>
      <c r="P187" s="2915"/>
      <c r="Q187" s="2908"/>
    </row>
    <row r="188" spans="2:18" s="2895" customFormat="1" ht="16.5" thickBot="1">
      <c r="B188" s="2926"/>
      <c r="C188" s="2897"/>
      <c r="D188" s="2910" t="s">
        <v>718</v>
      </c>
      <c r="E188" s="2899"/>
      <c r="F188" s="2899"/>
      <c r="G188" s="1581">
        <f>ROUND(SUM(G105:G187),2)</f>
        <v>1991885822.0899999</v>
      </c>
      <c r="H188" s="1470"/>
      <c r="I188" s="1581">
        <f>ROUND(SUM(I105:I187),2)</f>
        <v>1975108620.28</v>
      </c>
      <c r="J188" s="2126"/>
      <c r="K188" s="1581">
        <f>ROUND(SUM(K105:K187),2)</f>
        <v>1952166417.6300001</v>
      </c>
      <c r="L188" s="2530"/>
      <c r="M188" s="1581">
        <f>ROUND(SUM(M105:M187),2)</f>
        <v>-165087364.15000001</v>
      </c>
      <c r="N188" s="2530"/>
      <c r="O188" s="1581">
        <f>ROUND(SUM(O105:O187),2)</f>
        <v>1787079053.48</v>
      </c>
      <c r="P188" s="2915"/>
      <c r="Q188" s="2908"/>
    </row>
    <row r="189" spans="2:18" s="2895" customFormat="1" ht="16.5" thickTop="1">
      <c r="B189" s="2944"/>
      <c r="C189" s="2928"/>
      <c r="D189" s="2945"/>
      <c r="E189" s="2917"/>
      <c r="F189" s="2917"/>
      <c r="G189" s="1213"/>
      <c r="H189" s="3113"/>
      <c r="I189" s="2156"/>
      <c r="J189" s="3113"/>
      <c r="K189" s="2156"/>
      <c r="L189" s="3113"/>
      <c r="M189" s="1213"/>
      <c r="N189" s="3113"/>
      <c r="O189" s="2156"/>
      <c r="P189" s="2915"/>
      <c r="Q189" s="2908"/>
    </row>
    <row r="190" spans="2:18" s="2895" customFormat="1" ht="15.75">
      <c r="B190" s="2944"/>
      <c r="C190" s="2897"/>
      <c r="D190" s="2910" t="s">
        <v>719</v>
      </c>
      <c r="E190" s="2899"/>
      <c r="F190" s="2899"/>
      <c r="G190" s="1213"/>
      <c r="H190" s="3113"/>
      <c r="I190" s="2156"/>
      <c r="J190" s="3113"/>
      <c r="K190" s="2156"/>
      <c r="L190" s="3113"/>
      <c r="M190" s="1214"/>
      <c r="N190" s="3519"/>
      <c r="O190" s="2156"/>
      <c r="P190" s="2915"/>
      <c r="Q190" s="3091"/>
      <c r="R190" s="3092"/>
    </row>
    <row r="191" spans="2:18" s="3092" customFormat="1" ht="15.75">
      <c r="B191" s="2951" t="s">
        <v>720</v>
      </c>
      <c r="C191" s="3114"/>
      <c r="D191" s="2942" t="s">
        <v>721</v>
      </c>
      <c r="E191" s="3090"/>
      <c r="F191" s="3090"/>
      <c r="G191" s="3610">
        <v>4118961.38</v>
      </c>
      <c r="H191" s="1213"/>
      <c r="I191" s="3610">
        <v>35147356.380000003</v>
      </c>
      <c r="J191" s="1213"/>
      <c r="K191" s="3610">
        <v>14138263.58</v>
      </c>
      <c r="L191" s="1213"/>
      <c r="M191" s="1213">
        <f>ROUND(SUM(O191)-SUM(K191),2)</f>
        <v>-8217052</v>
      </c>
      <c r="N191" s="1213"/>
      <c r="O191" s="3610">
        <v>5921211.5800000001</v>
      </c>
      <c r="P191" s="2915"/>
      <c r="Q191" s="3091"/>
    </row>
    <row r="192" spans="2:18" s="3092" customFormat="1" ht="15.75">
      <c r="B192" s="2951" t="s">
        <v>722</v>
      </c>
      <c r="C192" s="3114"/>
      <c r="D192" s="2942" t="s">
        <v>723</v>
      </c>
      <c r="E192" s="3090"/>
      <c r="F192" s="3090"/>
      <c r="G192" s="3610">
        <v>231401978.90000001</v>
      </c>
      <c r="H192" s="1213"/>
      <c r="I192" s="3610">
        <v>380493084.51999998</v>
      </c>
      <c r="J192" s="1213"/>
      <c r="K192" s="3610">
        <v>244159117.03</v>
      </c>
      <c r="L192" s="1213"/>
      <c r="M192" s="1213">
        <f t="shared" ref="M192:M195" si="11">ROUND(SUM(O192)-SUM(K192),2)</f>
        <v>219816731.16</v>
      </c>
      <c r="N192" s="1213"/>
      <c r="O192" s="3610">
        <v>463975848.19</v>
      </c>
      <c r="P192" s="2915"/>
      <c r="Q192" s="3091"/>
    </row>
    <row r="193" spans="2:18" s="3092" customFormat="1" ht="15.75">
      <c r="B193" s="2951" t="s">
        <v>724</v>
      </c>
      <c r="C193" s="3114"/>
      <c r="D193" s="2940" t="s">
        <v>725</v>
      </c>
      <c r="E193" s="3090"/>
      <c r="F193" s="3090"/>
      <c r="G193" s="3610">
        <v>35344470.68</v>
      </c>
      <c r="H193" s="1213"/>
      <c r="I193" s="3610">
        <v>43743707.939999998</v>
      </c>
      <c r="J193" s="1213"/>
      <c r="K193" s="3610">
        <v>14673179.58</v>
      </c>
      <c r="L193" s="1213"/>
      <c r="M193" s="1213">
        <f t="shared" si="11"/>
        <v>15089509.130000001</v>
      </c>
      <c r="N193" s="1213"/>
      <c r="O193" s="3610">
        <v>29762688.710000001</v>
      </c>
      <c r="P193" s="2915"/>
      <c r="Q193" s="3091"/>
    </row>
    <row r="194" spans="2:18" s="3092" customFormat="1" ht="15.75">
      <c r="B194" s="2951" t="s">
        <v>1268</v>
      </c>
      <c r="C194" s="3114"/>
      <c r="D194" s="2940" t="s">
        <v>1269</v>
      </c>
      <c r="E194" s="3090"/>
      <c r="F194" s="3090"/>
      <c r="G194" s="3610">
        <v>0</v>
      </c>
      <c r="H194" s="1213"/>
      <c r="I194" s="3610">
        <v>0</v>
      </c>
      <c r="J194" s="1213"/>
      <c r="K194" s="3610">
        <v>0</v>
      </c>
      <c r="L194" s="1213"/>
      <c r="M194" s="1213">
        <f t="shared" si="11"/>
        <v>0</v>
      </c>
      <c r="N194" s="1213"/>
      <c r="O194" s="3610">
        <v>0</v>
      </c>
      <c r="P194" s="2915"/>
      <c r="Q194" s="3091"/>
    </row>
    <row r="195" spans="2:18" s="3092" customFormat="1" ht="15.75">
      <c r="B195" s="2951" t="s">
        <v>726</v>
      </c>
      <c r="C195" s="2940"/>
      <c r="D195" s="2942" t="s">
        <v>727</v>
      </c>
      <c r="E195" s="3090"/>
      <c r="F195" s="3090"/>
      <c r="G195" s="3610">
        <v>552029917.32000005</v>
      </c>
      <c r="H195" s="1213"/>
      <c r="I195" s="3610">
        <v>473639410.89999998</v>
      </c>
      <c r="J195" s="1213"/>
      <c r="K195" s="3610">
        <v>476592572.12</v>
      </c>
      <c r="L195" s="1213"/>
      <c r="M195" s="1213">
        <f t="shared" si="11"/>
        <v>-5342971.96</v>
      </c>
      <c r="N195" s="1213"/>
      <c r="O195" s="3610">
        <v>471249600.16000003</v>
      </c>
      <c r="P195" s="2915"/>
      <c r="Q195" s="3091"/>
    </row>
    <row r="196" spans="2:18" s="3092" customFormat="1" ht="15.75">
      <c r="B196" s="2921">
        <v>31351</v>
      </c>
      <c r="C196" s="2940"/>
      <c r="D196" s="2942" t="s">
        <v>728</v>
      </c>
      <c r="E196" s="3090"/>
      <c r="F196" s="3090"/>
      <c r="G196" s="3886">
        <v>8753932.6600000001</v>
      </c>
      <c r="H196" s="1213">
        <v>0</v>
      </c>
      <c r="I196" s="3886">
        <v>8753932.6600000001</v>
      </c>
      <c r="J196" s="1213" t="s">
        <v>15</v>
      </c>
      <c r="K196" s="3886">
        <v>8753932.6600000001</v>
      </c>
      <c r="L196" s="1213"/>
      <c r="M196" s="1213">
        <f t="shared" ref="M196" si="12">ROUND(SUM(O196)-SUM(K196),2)</f>
        <v>0</v>
      </c>
      <c r="N196" s="1213"/>
      <c r="O196" s="3886">
        <v>8753932.6600000001</v>
      </c>
      <c r="P196" s="2931"/>
      <c r="Q196" s="3091"/>
    </row>
    <row r="197" spans="2:18" s="3092" customFormat="1" ht="15.75">
      <c r="B197" s="2836">
        <v>31354</v>
      </c>
      <c r="C197" s="3093"/>
      <c r="D197" s="2923" t="s">
        <v>729</v>
      </c>
      <c r="E197" s="3090"/>
      <c r="F197" s="3090"/>
      <c r="G197" s="3886">
        <v>432424080.00999999</v>
      </c>
      <c r="H197" s="1213">
        <v>0</v>
      </c>
      <c r="I197" s="3886">
        <v>369051296.51999998</v>
      </c>
      <c r="J197" s="1213" t="s">
        <v>15</v>
      </c>
      <c r="K197" s="3886">
        <v>342775368.18000001</v>
      </c>
      <c r="L197" s="1213"/>
      <c r="M197" s="1213">
        <f>ROUND(SUM(O197)-SUM(K197),2)</f>
        <v>-48490473.390000001</v>
      </c>
      <c r="N197" s="1213"/>
      <c r="O197" s="3886">
        <v>294284894.79000002</v>
      </c>
      <c r="P197" s="2946"/>
      <c r="Q197" s="3091"/>
    </row>
    <row r="198" spans="2:18" s="3092" customFormat="1" ht="15.75">
      <c r="B198" s="3094" t="s">
        <v>730</v>
      </c>
      <c r="C198" s="2939"/>
      <c r="D198" s="2942" t="s">
        <v>731</v>
      </c>
      <c r="E198" s="3090"/>
      <c r="F198" s="3090"/>
      <c r="G198" s="1213">
        <v>127990063.01000001</v>
      </c>
      <c r="H198" s="1213"/>
      <c r="I198" s="1213">
        <v>110758696.75</v>
      </c>
      <c r="J198" s="1213" t="s">
        <v>15</v>
      </c>
      <c r="K198" s="1213">
        <v>112446385.15000001</v>
      </c>
      <c r="L198" s="1213"/>
      <c r="M198" s="1213">
        <f>ROUND(SUM(O198)-SUM(K198),2)</f>
        <v>-894313.21</v>
      </c>
      <c r="N198" s="1213"/>
      <c r="O198" s="3886">
        <v>111552071.94</v>
      </c>
      <c r="P198" s="3095"/>
      <c r="Q198" s="3091"/>
    </row>
    <row r="199" spans="2:18" s="3092" customFormat="1" ht="15.75">
      <c r="B199" s="2949" t="s">
        <v>941</v>
      </c>
      <c r="C199" s="2939"/>
      <c r="D199" s="2942" t="s">
        <v>942</v>
      </c>
      <c r="E199" s="2950"/>
      <c r="F199" s="2950"/>
      <c r="G199" s="1213">
        <v>76343537.670000002</v>
      </c>
      <c r="H199" s="1213"/>
      <c r="I199" s="1213">
        <v>95365817.349999994</v>
      </c>
      <c r="J199" s="1213"/>
      <c r="K199" s="1213">
        <v>164587973.83000001</v>
      </c>
      <c r="L199" s="1213"/>
      <c r="M199" s="1213">
        <f>ROUND(SUM(O199)-SUM(K199),2)</f>
        <v>82408122.099999994</v>
      </c>
      <c r="N199" s="1213"/>
      <c r="O199" s="3886">
        <v>246996095.93000001</v>
      </c>
      <c r="P199" s="2951"/>
      <c r="Q199" s="3091"/>
    </row>
    <row r="200" spans="2:18" s="3092" customFormat="1" ht="15.75">
      <c r="B200" s="2952">
        <v>25950</v>
      </c>
      <c r="C200" s="2939"/>
      <c r="D200" s="2942" t="s">
        <v>732</v>
      </c>
      <c r="E200" s="2953"/>
      <c r="F200" s="2953"/>
      <c r="G200" s="3886">
        <v>377092</v>
      </c>
      <c r="H200" s="1213" t="s">
        <v>15</v>
      </c>
      <c r="I200" s="3886">
        <v>389236.5</v>
      </c>
      <c r="J200" s="1213" t="s">
        <v>15</v>
      </c>
      <c r="K200" s="3886">
        <v>482839</v>
      </c>
      <c r="L200" s="1213"/>
      <c r="M200" s="1213">
        <f>ROUND(SUM(O200)-SUM(K200),2)</f>
        <v>-20275.5</v>
      </c>
      <c r="N200" s="1213"/>
      <c r="O200" s="3886">
        <v>462563.5</v>
      </c>
      <c r="P200" s="2951"/>
      <c r="Q200" s="3091"/>
    </row>
    <row r="201" spans="2:18" s="3092" customFormat="1" ht="15.75">
      <c r="B201" s="2949" t="s">
        <v>1242</v>
      </c>
      <c r="C201" s="2939"/>
      <c r="D201" s="2940" t="s">
        <v>943</v>
      </c>
      <c r="E201" s="2950"/>
      <c r="F201" s="2950"/>
      <c r="G201" s="1213">
        <v>6283786.4500000002</v>
      </c>
      <c r="H201" s="1213"/>
      <c r="I201" s="2156">
        <v>1052527.92</v>
      </c>
      <c r="J201" s="1213"/>
      <c r="K201" s="2156">
        <v>4109419.63</v>
      </c>
      <c r="L201" s="1213"/>
      <c r="M201" s="1213">
        <f t="shared" ref="M201" si="13">ROUND(SUM(O201)-SUM(K201),2)</f>
        <v>8813001.2699999996</v>
      </c>
      <c r="N201" s="1213"/>
      <c r="O201" s="2156">
        <v>12922420.9</v>
      </c>
      <c r="P201" s="2951"/>
      <c r="Q201" s="3091"/>
    </row>
    <row r="202" spans="2:18" s="2895" customFormat="1" ht="16.5" thickBot="1">
      <c r="B202" s="2954"/>
      <c r="C202" s="2911"/>
      <c r="D202" s="2910" t="s">
        <v>733</v>
      </c>
      <c r="E202" s="2912"/>
      <c r="F202" s="2912"/>
      <c r="G202" s="1581">
        <f>ROUND(SUM(G191:G201),2)</f>
        <v>1475067820.0799999</v>
      </c>
      <c r="H202" s="2126"/>
      <c r="I202" s="1581">
        <f>ROUND(SUM(I191:I201),2)</f>
        <v>1518395067.4400001</v>
      </c>
      <c r="J202" s="2126"/>
      <c r="K202" s="1581">
        <f>ROUND(SUM(K191:K201),2)</f>
        <v>1382719050.76</v>
      </c>
      <c r="L202" s="2542"/>
      <c r="M202" s="1215">
        <f>ROUND(SUM(M191:M201),2)</f>
        <v>263162277.59999999</v>
      </c>
      <c r="N202" s="2542"/>
      <c r="O202" s="1581">
        <f>ROUND(SUM(O191:O201),2)</f>
        <v>1645881328.3599999</v>
      </c>
      <c r="P202" s="2946" t="s">
        <v>113</v>
      </c>
      <c r="Q202" s="3091"/>
      <c r="R202" s="3092"/>
    </row>
    <row r="203" spans="2:18" s="2895" customFormat="1" ht="16.5" thickTop="1">
      <c r="B203" s="2926"/>
      <c r="C203" s="2911"/>
      <c r="D203" s="2924"/>
      <c r="E203" s="2912"/>
      <c r="F203" s="2912"/>
      <c r="G203" s="1214"/>
      <c r="H203" s="3519"/>
      <c r="I203" s="2955"/>
      <c r="J203" s="3519"/>
      <c r="K203" s="2955"/>
      <c r="L203" s="3519"/>
      <c r="M203" s="1214"/>
      <c r="N203" s="3519"/>
      <c r="O203" s="2955"/>
      <c r="P203" s="3094"/>
      <c r="Q203" s="3091"/>
      <c r="R203" s="3092"/>
    </row>
    <row r="204" spans="2:18" s="2895" customFormat="1" ht="15.75">
      <c r="B204" s="2944"/>
      <c r="C204" s="2911"/>
      <c r="D204" s="2898" t="s">
        <v>734</v>
      </c>
      <c r="E204" s="2912"/>
      <c r="F204" s="2912"/>
      <c r="G204" s="1213"/>
      <c r="H204" s="2934"/>
      <c r="I204" s="2156"/>
      <c r="J204" s="2934"/>
      <c r="K204" s="2156"/>
      <c r="L204" s="2934"/>
      <c r="M204" s="1214"/>
      <c r="N204" s="1487"/>
      <c r="O204" s="2156"/>
      <c r="P204" s="2956"/>
      <c r="Q204" s="2908"/>
    </row>
    <row r="205" spans="2:18" s="2895" customFormat="1" ht="15.75">
      <c r="B205" s="2921">
        <v>60201</v>
      </c>
      <c r="C205" s="2897"/>
      <c r="D205" s="2918" t="s">
        <v>735</v>
      </c>
      <c r="E205" s="2912"/>
      <c r="F205" s="2912"/>
      <c r="G205" s="1213">
        <v>0</v>
      </c>
      <c r="H205" s="1213"/>
      <c r="I205" s="1213">
        <v>0</v>
      </c>
      <c r="J205" s="1213"/>
      <c r="K205" s="1213">
        <v>0</v>
      </c>
      <c r="L205" s="1213"/>
      <c r="M205" s="1213">
        <f>ROUND(SUM(O205)-SUM(K205),2)</f>
        <v>0</v>
      </c>
      <c r="N205" s="1213"/>
      <c r="O205" s="1213">
        <v>0</v>
      </c>
      <c r="P205" s="2956"/>
      <c r="Q205" s="2908"/>
    </row>
    <row r="206" spans="2:18" s="2895" customFormat="1" ht="15.75">
      <c r="B206" s="2903">
        <v>60901</v>
      </c>
      <c r="C206" s="2917"/>
      <c r="D206" s="2938" t="s">
        <v>965</v>
      </c>
      <c r="E206" s="2919"/>
      <c r="F206" s="2919"/>
      <c r="G206" s="1213">
        <v>0</v>
      </c>
      <c r="H206" s="1213"/>
      <c r="I206" s="1213">
        <v>0</v>
      </c>
      <c r="J206" s="1213"/>
      <c r="K206" s="1213">
        <v>0</v>
      </c>
      <c r="L206" s="1213"/>
      <c r="M206" s="1213">
        <f>ROUND(SUM(O206)-SUM(K206),2)</f>
        <v>0</v>
      </c>
      <c r="N206" s="1213"/>
      <c r="O206" s="1213">
        <v>0</v>
      </c>
      <c r="P206" s="2956"/>
      <c r="Q206" s="2908"/>
    </row>
    <row r="207" spans="2:18" s="2895" customFormat="1" ht="16.5" thickBot="1">
      <c r="B207" s="2943"/>
      <c r="C207" s="2897"/>
      <c r="D207" s="2898" t="s">
        <v>736</v>
      </c>
      <c r="E207" s="2912"/>
      <c r="F207" s="2912"/>
      <c r="G207" s="1581">
        <f>ROUND(SUM(G205:G206),2)</f>
        <v>0</v>
      </c>
      <c r="H207" s="1470"/>
      <c r="I207" s="1584">
        <f>ROUND(SUM(I205:I206),2)</f>
        <v>0</v>
      </c>
      <c r="J207" s="1470"/>
      <c r="K207" s="1584">
        <f>ROUND(SUM(K205:K206),2)</f>
        <v>0</v>
      </c>
      <c r="L207" s="1470"/>
      <c r="M207" s="1215">
        <f>ROUND(SUM(M205:M206),2)</f>
        <v>0</v>
      </c>
      <c r="N207" s="1470"/>
      <c r="O207" s="1584">
        <f>ROUND(SUM(O205:O206),2)</f>
        <v>0</v>
      </c>
      <c r="P207" s="2915"/>
      <c r="Q207" s="2908"/>
    </row>
    <row r="208" spans="2:18" s="2895" customFormat="1" ht="16.5" thickTop="1">
      <c r="B208" s="2943"/>
      <c r="C208" s="2957"/>
      <c r="D208" s="2957"/>
      <c r="E208" s="2958"/>
      <c r="F208" s="2958"/>
      <c r="G208" s="1213"/>
      <c r="H208" s="2934"/>
      <c r="I208" s="2156"/>
      <c r="J208" s="2934"/>
      <c r="K208" s="2156"/>
      <c r="L208" s="2934"/>
      <c r="M208" s="1213"/>
      <c r="N208" s="2934"/>
      <c r="O208" s="2156"/>
      <c r="P208" s="2909"/>
      <c r="Q208" s="2908"/>
    </row>
    <row r="209" spans="2:17" s="2895" customFormat="1" ht="15.75">
      <c r="B209" s="2943"/>
      <c r="C209" s="2927"/>
      <c r="D209" s="2898" t="s">
        <v>737</v>
      </c>
      <c r="E209" s="2933"/>
      <c r="F209" s="2933"/>
      <c r="G209" s="1213"/>
      <c r="H209" s="2934"/>
      <c r="I209" s="2156"/>
      <c r="J209" s="2934"/>
      <c r="K209" s="2156"/>
      <c r="L209" s="2934"/>
      <c r="M209" s="1216"/>
      <c r="N209" s="2959"/>
      <c r="O209" s="2156"/>
      <c r="P209" s="2947"/>
      <c r="Q209" s="2908"/>
    </row>
    <row r="210" spans="2:17" s="2895" customFormat="1" ht="15.75">
      <c r="B210" s="2903">
        <v>50318</v>
      </c>
      <c r="C210" s="2928"/>
      <c r="D210" s="2940" t="s">
        <v>738</v>
      </c>
      <c r="E210" s="2902"/>
      <c r="F210" s="2902"/>
      <c r="G210" s="1213">
        <v>754811.15</v>
      </c>
      <c r="H210" s="1213"/>
      <c r="I210" s="1213">
        <v>796325.29</v>
      </c>
      <c r="J210" s="1213"/>
      <c r="K210" s="1213">
        <v>858561.11</v>
      </c>
      <c r="L210" s="1213"/>
      <c r="M210" s="1213">
        <f>ROUND(SUM(O210)-SUM(K210),2)</f>
        <v>51387.83</v>
      </c>
      <c r="N210" s="1213"/>
      <c r="O210" s="1213">
        <v>909948.94</v>
      </c>
      <c r="P210" s="2956"/>
      <c r="Q210" s="2908"/>
    </row>
    <row r="211" spans="2:17" s="2895" customFormat="1" ht="15.75">
      <c r="B211" s="2903">
        <v>50327</v>
      </c>
      <c r="C211" s="2928"/>
      <c r="D211" s="2940" t="s">
        <v>1254</v>
      </c>
      <c r="E211" s="2902"/>
      <c r="F211" s="2902"/>
      <c r="G211" s="1213">
        <v>256470.11</v>
      </c>
      <c r="H211" s="1213"/>
      <c r="I211" s="1213">
        <v>271994</v>
      </c>
      <c r="J211" s="1213"/>
      <c r="K211" s="1213">
        <v>277839.74</v>
      </c>
      <c r="L211" s="1213"/>
      <c r="M211" s="1213">
        <f>ROUND(SUM(O211)-SUM(K211),2)</f>
        <v>801.98</v>
      </c>
      <c r="N211" s="1213"/>
      <c r="O211" s="1213">
        <v>278641.71999999997</v>
      </c>
      <c r="P211" s="2956"/>
      <c r="Q211" s="2908"/>
    </row>
    <row r="212" spans="2:17" s="2895" customFormat="1" ht="16.5" thickBot="1">
      <c r="B212" s="2960"/>
      <c r="C212" s="2897"/>
      <c r="D212" s="2910" t="s">
        <v>739</v>
      </c>
      <c r="E212" s="2899"/>
      <c r="F212" s="2899"/>
      <c r="G212" s="1581">
        <f>ROUND(SUM(G210:G211),2)</f>
        <v>1011281.26</v>
      </c>
      <c r="H212" s="1470"/>
      <c r="I212" s="2961">
        <f>ROUND(SUM(I210:I211),2)</f>
        <v>1068319.29</v>
      </c>
      <c r="J212" s="1470"/>
      <c r="K212" s="2961">
        <f>ROUND(SUM(K210:K211),2)</f>
        <v>1136400.8500000001</v>
      </c>
      <c r="L212" s="1470"/>
      <c r="M212" s="1488">
        <f>ROUND(SUM(M210:M211),2)</f>
        <v>52189.81</v>
      </c>
      <c r="N212" s="1470"/>
      <c r="O212" s="3632">
        <f>ROUND(SUM(O210:O211),2)</f>
        <v>1188590.6599999999</v>
      </c>
      <c r="P212" s="2931"/>
      <c r="Q212" s="2908"/>
    </row>
    <row r="213" spans="2:17" s="2895" customFormat="1" ht="16.5" thickTop="1">
      <c r="B213" s="2928"/>
      <c r="C213" s="2928"/>
      <c r="D213" s="2962"/>
      <c r="E213" s="2902"/>
      <c r="F213" s="2902"/>
      <c r="G213" s="1489"/>
      <c r="H213" s="1489"/>
      <c r="I213" s="2963"/>
      <c r="J213" s="1489"/>
      <c r="K213" s="2963"/>
      <c r="L213" s="1489"/>
      <c r="M213" s="1489"/>
      <c r="N213" s="1489"/>
      <c r="O213" s="2156"/>
      <c r="P213" s="2954"/>
      <c r="Q213" s="2908"/>
    </row>
    <row r="214" spans="2:17" s="2895" customFormat="1" ht="15.75">
      <c r="B214" s="2896"/>
      <c r="C214" s="2897"/>
      <c r="D214" s="2898" t="s">
        <v>220</v>
      </c>
      <c r="E214" s="2899"/>
      <c r="F214" s="2899"/>
      <c r="G214" s="2934"/>
      <c r="H214" s="2934"/>
      <c r="I214" s="2935"/>
      <c r="J214" s="2934"/>
      <c r="K214" s="2935"/>
      <c r="L214" s="2934"/>
      <c r="M214" s="1487"/>
      <c r="N214" s="1487"/>
      <c r="O214" s="3631"/>
      <c r="P214" s="2902"/>
      <c r="Q214" s="2908"/>
    </row>
    <row r="215" spans="2:17" s="2895" customFormat="1" ht="15.75">
      <c r="B215" s="2903">
        <v>55001</v>
      </c>
      <c r="C215" s="2928"/>
      <c r="D215" s="2940" t="s">
        <v>740</v>
      </c>
      <c r="E215" s="2902"/>
      <c r="F215" s="2902"/>
      <c r="G215" s="1213">
        <v>0</v>
      </c>
      <c r="H215" s="1213"/>
      <c r="I215" s="1213">
        <v>0</v>
      </c>
      <c r="J215" s="1213"/>
      <c r="K215" s="1213">
        <v>0</v>
      </c>
      <c r="L215" s="1213"/>
      <c r="M215" s="1213">
        <f t="shared" ref="M215:M257" si="14">ROUND(SUM(O215)-SUM(K215),2)</f>
        <v>0</v>
      </c>
      <c r="N215" s="1213"/>
      <c r="O215" s="1213">
        <v>0</v>
      </c>
      <c r="P215" s="2925"/>
      <c r="Q215" s="2908"/>
    </row>
    <row r="216" spans="2:17" s="2895" customFormat="1" ht="15.75">
      <c r="B216" s="2903">
        <v>55002</v>
      </c>
      <c r="C216" s="2917"/>
      <c r="D216" s="2938" t="s">
        <v>741</v>
      </c>
      <c r="E216" s="2919"/>
      <c r="F216" s="2919"/>
      <c r="G216" s="1213">
        <v>0</v>
      </c>
      <c r="H216" s="1213"/>
      <c r="I216" s="1213">
        <v>0</v>
      </c>
      <c r="J216" s="1213"/>
      <c r="K216" s="1213">
        <v>0</v>
      </c>
      <c r="L216" s="1213"/>
      <c r="M216" s="1213">
        <f t="shared" si="14"/>
        <v>0</v>
      </c>
      <c r="N216" s="1213"/>
      <c r="O216" s="1213">
        <v>0</v>
      </c>
      <c r="P216" s="2915"/>
      <c r="Q216" s="2908"/>
    </row>
    <row r="217" spans="2:17" s="2895" customFormat="1" ht="15.75">
      <c r="B217" s="2903">
        <v>55003</v>
      </c>
      <c r="C217" s="2917"/>
      <c r="D217" s="2940" t="s">
        <v>742</v>
      </c>
      <c r="E217" s="2919"/>
      <c r="F217" s="2919"/>
      <c r="G217" s="1213">
        <v>1310719.52</v>
      </c>
      <c r="H217" s="1213"/>
      <c r="I217" s="1213">
        <v>1345908.54</v>
      </c>
      <c r="J217" s="1213"/>
      <c r="K217" s="1213">
        <v>1422908.23</v>
      </c>
      <c r="L217" s="1213"/>
      <c r="M217" s="1213">
        <f t="shared" si="14"/>
        <v>-7351.76</v>
      </c>
      <c r="N217" s="1213"/>
      <c r="O217" s="1213">
        <v>1415556.47</v>
      </c>
      <c r="P217" s="2915"/>
      <c r="Q217" s="2908"/>
    </row>
    <row r="218" spans="2:17" s="2895" customFormat="1" ht="15.75">
      <c r="B218" s="2903">
        <v>55004</v>
      </c>
      <c r="C218" s="2939"/>
      <c r="D218" s="2964" t="s">
        <v>743</v>
      </c>
      <c r="E218" s="2924"/>
      <c r="F218" s="2924"/>
      <c r="G218" s="1213">
        <v>0</v>
      </c>
      <c r="H218" s="1213"/>
      <c r="I218" s="1213">
        <v>0</v>
      </c>
      <c r="J218" s="1213"/>
      <c r="K218" s="1213">
        <v>0</v>
      </c>
      <c r="L218" s="1213"/>
      <c r="M218" s="1213">
        <f t="shared" si="14"/>
        <v>134821.26999999999</v>
      </c>
      <c r="N218" s="1213"/>
      <c r="O218" s="1213">
        <v>134821.26999999999</v>
      </c>
      <c r="P218" s="2915"/>
      <c r="Q218" s="2908"/>
    </row>
    <row r="219" spans="2:17" s="2895" customFormat="1" ht="15.75">
      <c r="B219" s="2903">
        <v>55005</v>
      </c>
      <c r="C219" s="2917"/>
      <c r="D219" s="2940" t="s">
        <v>744</v>
      </c>
      <c r="E219" s="2919"/>
      <c r="F219" s="2919"/>
      <c r="G219" s="1213">
        <v>0</v>
      </c>
      <c r="H219" s="1213"/>
      <c r="I219" s="1213">
        <v>0</v>
      </c>
      <c r="J219" s="1213"/>
      <c r="K219" s="1213">
        <v>0</v>
      </c>
      <c r="L219" s="1213"/>
      <c r="M219" s="1213">
        <f t="shared" si="14"/>
        <v>0</v>
      </c>
      <c r="N219" s="1213"/>
      <c r="O219" s="1213">
        <v>0</v>
      </c>
      <c r="P219" s="2915"/>
      <c r="Q219" s="2908"/>
    </row>
    <row r="220" spans="2:17" s="2895" customFormat="1" ht="15.75">
      <c r="B220" s="2903">
        <v>55006</v>
      </c>
      <c r="C220" s="2939"/>
      <c r="D220" s="2940" t="s">
        <v>745</v>
      </c>
      <c r="E220" s="2924"/>
      <c r="F220" s="2924"/>
      <c r="G220" s="1213">
        <v>0</v>
      </c>
      <c r="H220" s="1213"/>
      <c r="I220" s="1213">
        <v>0</v>
      </c>
      <c r="J220" s="1213"/>
      <c r="K220" s="1213">
        <v>14991.22</v>
      </c>
      <c r="L220" s="1213"/>
      <c r="M220" s="1213">
        <f t="shared" si="14"/>
        <v>9484.2199999999993</v>
      </c>
      <c r="N220" s="1213"/>
      <c r="O220" s="1213">
        <v>24475.439999999999</v>
      </c>
      <c r="P220" s="2915"/>
      <c r="Q220" s="2908"/>
    </row>
    <row r="221" spans="2:17" s="2895" customFormat="1" ht="15.75">
      <c r="B221" s="2903">
        <v>55007</v>
      </c>
      <c r="C221" s="2936"/>
      <c r="D221" s="2904" t="s">
        <v>746</v>
      </c>
      <c r="E221" s="2937"/>
      <c r="F221" s="2937"/>
      <c r="G221" s="1213">
        <v>2426477.7999999998</v>
      </c>
      <c r="H221" s="1213"/>
      <c r="I221" s="1213">
        <v>2456121.37</v>
      </c>
      <c r="J221" s="1213"/>
      <c r="K221" s="1213">
        <v>2452775.52</v>
      </c>
      <c r="L221" s="1213"/>
      <c r="M221" s="1213">
        <f t="shared" si="14"/>
        <v>225824.65</v>
      </c>
      <c r="N221" s="1213"/>
      <c r="O221" s="1213">
        <v>2678600.17</v>
      </c>
      <c r="P221" s="2925"/>
      <c r="Q221" s="2908"/>
    </row>
    <row r="222" spans="2:17" s="2895" customFormat="1" ht="15.75">
      <c r="B222" s="2903">
        <v>55008</v>
      </c>
      <c r="C222" s="2917"/>
      <c r="D222" s="2942" t="s">
        <v>747</v>
      </c>
      <c r="E222" s="2919"/>
      <c r="F222" s="2919"/>
      <c r="G222" s="1213">
        <v>15954413.119999999</v>
      </c>
      <c r="H222" s="1213"/>
      <c r="I222" s="1213">
        <v>18472982.82</v>
      </c>
      <c r="J222" s="1213"/>
      <c r="K222" s="1213">
        <v>20803539.760000002</v>
      </c>
      <c r="L222" s="1213"/>
      <c r="M222" s="1213">
        <f t="shared" si="14"/>
        <v>248366.06</v>
      </c>
      <c r="N222" s="1213"/>
      <c r="O222" s="1213">
        <v>21051905.82</v>
      </c>
      <c r="P222" s="2931"/>
      <c r="Q222" s="2908"/>
    </row>
    <row r="223" spans="2:17" s="2895" customFormat="1" ht="15.75">
      <c r="B223" s="2857">
        <v>55009</v>
      </c>
      <c r="C223" s="2936"/>
      <c r="D223" s="2904" t="s">
        <v>748</v>
      </c>
      <c r="E223" s="2937"/>
      <c r="F223" s="2937"/>
      <c r="G223" s="1213">
        <v>0</v>
      </c>
      <c r="H223" s="1213"/>
      <c r="I223" s="1213">
        <v>0</v>
      </c>
      <c r="J223" s="1213"/>
      <c r="K223" s="1213">
        <v>0</v>
      </c>
      <c r="L223" s="1213"/>
      <c r="M223" s="1213">
        <f t="shared" si="14"/>
        <v>0</v>
      </c>
      <c r="N223" s="1213"/>
      <c r="O223" s="1213">
        <v>0</v>
      </c>
      <c r="P223" s="2902"/>
      <c r="Q223" s="2908"/>
    </row>
    <row r="224" spans="2:17" s="2895" customFormat="1" ht="15.75">
      <c r="B224" s="2857">
        <v>55010</v>
      </c>
      <c r="C224" s="2917"/>
      <c r="D224" s="2940" t="s">
        <v>966</v>
      </c>
      <c r="E224" s="2919"/>
      <c r="F224" s="2919"/>
      <c r="G224" s="1213">
        <v>16660902.08</v>
      </c>
      <c r="H224" s="1213"/>
      <c r="I224" s="1213">
        <v>18577496.640000001</v>
      </c>
      <c r="J224" s="1213"/>
      <c r="K224" s="1213">
        <v>18107950.66</v>
      </c>
      <c r="L224" s="1213"/>
      <c r="M224" s="1213">
        <f t="shared" si="14"/>
        <v>-28949.43</v>
      </c>
      <c r="N224" s="1213"/>
      <c r="O224" s="1213">
        <v>18079001.23</v>
      </c>
      <c r="P224" s="2902"/>
      <c r="Q224" s="2908"/>
    </row>
    <row r="225" spans="2:17" s="2895" customFormat="1" ht="15.75">
      <c r="B225" s="2903">
        <v>55011</v>
      </c>
      <c r="C225" s="2936"/>
      <c r="D225" s="2904" t="s">
        <v>749</v>
      </c>
      <c r="E225" s="2937"/>
      <c r="F225" s="2937"/>
      <c r="G225" s="1213">
        <v>6350431.7800000003</v>
      </c>
      <c r="H225" s="1213"/>
      <c r="I225" s="1213">
        <v>0</v>
      </c>
      <c r="J225" s="1213"/>
      <c r="K225" s="1213">
        <v>1164558.81</v>
      </c>
      <c r="L225" s="1213"/>
      <c r="M225" s="1213">
        <f t="shared" si="14"/>
        <v>4672547.67</v>
      </c>
      <c r="N225" s="1213"/>
      <c r="O225" s="1213">
        <v>5837106.4800000004</v>
      </c>
      <c r="P225" s="2915"/>
      <c r="Q225" s="2908"/>
    </row>
    <row r="226" spans="2:17" s="2895" customFormat="1" ht="15.75">
      <c r="B226" s="2903">
        <v>55012</v>
      </c>
      <c r="C226" s="2917"/>
      <c r="D226" s="2918" t="s">
        <v>750</v>
      </c>
      <c r="E226" s="2919"/>
      <c r="F226" s="2919"/>
      <c r="G226" s="1213">
        <v>168839.3</v>
      </c>
      <c r="H226" s="1213"/>
      <c r="I226" s="1213">
        <v>163954.29999999999</v>
      </c>
      <c r="J226" s="1213"/>
      <c r="K226" s="1213">
        <v>158832.29999999999</v>
      </c>
      <c r="L226" s="1213"/>
      <c r="M226" s="1213">
        <f t="shared" si="14"/>
        <v>7332</v>
      </c>
      <c r="N226" s="1213"/>
      <c r="O226" s="1213">
        <v>166164.29999999999</v>
      </c>
      <c r="P226" s="2915"/>
      <c r="Q226" s="2908"/>
    </row>
    <row r="227" spans="2:17" s="2895" customFormat="1" ht="15.75">
      <c r="B227" s="2903">
        <v>55013</v>
      </c>
      <c r="C227" s="2917"/>
      <c r="D227" s="2938" t="s">
        <v>751</v>
      </c>
      <c r="E227" s="2919"/>
      <c r="F227" s="2919"/>
      <c r="G227" s="1213">
        <v>0</v>
      </c>
      <c r="H227" s="1213"/>
      <c r="I227" s="1213">
        <v>0</v>
      </c>
      <c r="J227" s="1213"/>
      <c r="K227" s="1213">
        <v>0</v>
      </c>
      <c r="L227" s="1213"/>
      <c r="M227" s="1213">
        <f t="shared" si="14"/>
        <v>0</v>
      </c>
      <c r="N227" s="1213"/>
      <c r="O227" s="1213">
        <v>0</v>
      </c>
      <c r="P227" s="2915"/>
      <c r="Q227" s="2908"/>
    </row>
    <row r="228" spans="2:17" s="2895" customFormat="1" ht="15.75">
      <c r="B228" s="2903">
        <v>55014</v>
      </c>
      <c r="C228" s="2917"/>
      <c r="D228" s="2918" t="s">
        <v>752</v>
      </c>
      <c r="E228" s="2919"/>
      <c r="F228" s="2919"/>
      <c r="G228" s="1213">
        <v>0</v>
      </c>
      <c r="H228" s="1213"/>
      <c r="I228" s="1213">
        <v>0</v>
      </c>
      <c r="J228" s="1213"/>
      <c r="K228" s="1213">
        <v>0</v>
      </c>
      <c r="L228" s="1213"/>
      <c r="M228" s="1213">
        <f t="shared" si="14"/>
        <v>0</v>
      </c>
      <c r="N228" s="1213"/>
      <c r="O228" s="1213">
        <v>0</v>
      </c>
      <c r="P228" s="2915"/>
      <c r="Q228" s="2908"/>
    </row>
    <row r="229" spans="2:17" s="2895" customFormat="1" ht="15.75">
      <c r="B229" s="2903">
        <v>55015</v>
      </c>
      <c r="C229" s="2917"/>
      <c r="D229" s="2938" t="s">
        <v>753</v>
      </c>
      <c r="E229" s="2919"/>
      <c r="F229" s="2919"/>
      <c r="G229" s="1213">
        <v>0</v>
      </c>
      <c r="H229" s="1213"/>
      <c r="I229" s="1213">
        <v>0</v>
      </c>
      <c r="J229" s="1213"/>
      <c r="K229" s="1213">
        <v>0</v>
      </c>
      <c r="L229" s="1213"/>
      <c r="M229" s="1213">
        <f t="shared" si="14"/>
        <v>0</v>
      </c>
      <c r="N229" s="1213"/>
      <c r="O229" s="1213">
        <v>0</v>
      </c>
      <c r="P229" s="2915"/>
      <c r="Q229" s="2908"/>
    </row>
    <row r="230" spans="2:17" s="2895" customFormat="1" ht="15.75">
      <c r="B230" s="2903">
        <v>55016</v>
      </c>
      <c r="C230" s="2917"/>
      <c r="D230" s="2938" t="s">
        <v>754</v>
      </c>
      <c r="E230" s="2919"/>
      <c r="F230" s="2919"/>
      <c r="G230" s="1213">
        <v>1511168.3</v>
      </c>
      <c r="H230" s="1213"/>
      <c r="I230" s="1213">
        <v>1447566.51</v>
      </c>
      <c r="J230" s="1213"/>
      <c r="K230" s="1213">
        <v>1840583.09</v>
      </c>
      <c r="L230" s="1213"/>
      <c r="M230" s="1213">
        <f t="shared" si="14"/>
        <v>79381.22</v>
      </c>
      <c r="N230" s="1213"/>
      <c r="O230" s="1213">
        <v>1919964.31</v>
      </c>
      <c r="P230" s="2915"/>
      <c r="Q230" s="2908"/>
    </row>
    <row r="231" spans="2:17" s="2895" customFormat="1" ht="15.75">
      <c r="B231" s="2903">
        <v>55017</v>
      </c>
      <c r="C231" s="2917"/>
      <c r="D231" s="2938" t="s">
        <v>755</v>
      </c>
      <c r="E231" s="2919"/>
      <c r="F231" s="2919"/>
      <c r="G231" s="1213">
        <v>483425.53</v>
      </c>
      <c r="H231" s="1213"/>
      <c r="I231" s="1213">
        <v>356668.03</v>
      </c>
      <c r="J231" s="1213"/>
      <c r="K231" s="1213">
        <v>149898.26999999999</v>
      </c>
      <c r="L231" s="1213"/>
      <c r="M231" s="1213">
        <f t="shared" si="14"/>
        <v>-111014.16</v>
      </c>
      <c r="N231" s="1213"/>
      <c r="O231" s="1213">
        <v>38884.11</v>
      </c>
      <c r="P231" s="2915"/>
      <c r="Q231" s="2908"/>
    </row>
    <row r="232" spans="2:17" s="2895" customFormat="1" ht="15.75">
      <c r="B232" s="2903">
        <v>55018</v>
      </c>
      <c r="C232" s="2917"/>
      <c r="D232" s="2938" t="s">
        <v>756</v>
      </c>
      <c r="E232" s="2919"/>
      <c r="F232" s="2919"/>
      <c r="G232" s="1213">
        <v>0</v>
      </c>
      <c r="H232" s="1213"/>
      <c r="I232" s="1213">
        <v>0</v>
      </c>
      <c r="J232" s="1213"/>
      <c r="K232" s="1213">
        <v>0</v>
      </c>
      <c r="L232" s="1213"/>
      <c r="M232" s="1213">
        <f t="shared" si="14"/>
        <v>0</v>
      </c>
      <c r="N232" s="1213"/>
      <c r="O232" s="1213">
        <v>0</v>
      </c>
      <c r="P232" s="2915"/>
      <c r="Q232" s="2908"/>
    </row>
    <row r="233" spans="2:17" s="2895" customFormat="1" ht="15.75">
      <c r="B233" s="2903">
        <v>55019</v>
      </c>
      <c r="C233" s="2917"/>
      <c r="D233" s="2938" t="s">
        <v>757</v>
      </c>
      <c r="E233" s="2919"/>
      <c r="F233" s="2919"/>
      <c r="G233" s="1213">
        <v>0</v>
      </c>
      <c r="H233" s="1213"/>
      <c r="I233" s="1213">
        <v>0</v>
      </c>
      <c r="J233" s="1213"/>
      <c r="K233" s="1213">
        <v>0</v>
      </c>
      <c r="L233" s="1213"/>
      <c r="M233" s="1213">
        <f t="shared" si="14"/>
        <v>0</v>
      </c>
      <c r="N233" s="1213"/>
      <c r="O233" s="1213">
        <v>0</v>
      </c>
      <c r="P233" s="2915"/>
      <c r="Q233" s="2908"/>
    </row>
    <row r="234" spans="2:17" s="2895" customFormat="1" ht="15.75">
      <c r="B234" s="2903">
        <v>55020</v>
      </c>
      <c r="C234" s="2917"/>
      <c r="D234" s="2938" t="s">
        <v>758</v>
      </c>
      <c r="E234" s="2919"/>
      <c r="F234" s="2919"/>
      <c r="G234" s="1213">
        <v>82067941.280000001</v>
      </c>
      <c r="H234" s="1213"/>
      <c r="I234" s="1213">
        <v>87825851.340000004</v>
      </c>
      <c r="J234" s="1213"/>
      <c r="K234" s="1213">
        <v>88195248.200000003</v>
      </c>
      <c r="L234" s="1213"/>
      <c r="M234" s="1213">
        <f t="shared" si="14"/>
        <v>3469691.09</v>
      </c>
      <c r="N234" s="1213"/>
      <c r="O234" s="1213">
        <v>91664939.290000007</v>
      </c>
      <c r="P234" s="2915"/>
      <c r="Q234" s="2908"/>
    </row>
    <row r="235" spans="2:17" s="2895" customFormat="1" ht="15.75">
      <c r="B235" s="2903">
        <v>55021</v>
      </c>
      <c r="C235" s="2917"/>
      <c r="D235" s="2938" t="s">
        <v>759</v>
      </c>
      <c r="E235" s="2919"/>
      <c r="F235" s="2919"/>
      <c r="G235" s="1213">
        <v>10348439.369999999</v>
      </c>
      <c r="H235" s="1213"/>
      <c r="I235" s="1213">
        <v>10652731.630000001</v>
      </c>
      <c r="J235" s="1213"/>
      <c r="K235" s="1213">
        <v>11155297.640000001</v>
      </c>
      <c r="L235" s="1213"/>
      <c r="M235" s="1213">
        <f t="shared" si="14"/>
        <v>402993</v>
      </c>
      <c r="N235" s="1213"/>
      <c r="O235" s="1213">
        <v>11558290.640000001</v>
      </c>
      <c r="P235" s="2915"/>
      <c r="Q235" s="2908"/>
    </row>
    <row r="236" spans="2:17" s="2895" customFormat="1" ht="15.75">
      <c r="B236" s="2903">
        <v>55022</v>
      </c>
      <c r="C236" s="2917"/>
      <c r="D236" s="2918" t="s">
        <v>760</v>
      </c>
      <c r="E236" s="2919"/>
      <c r="F236" s="2919"/>
      <c r="G236" s="1213">
        <v>20014612.539999999</v>
      </c>
      <c r="H236" s="1213"/>
      <c r="I236" s="1213">
        <v>22199281.870000001</v>
      </c>
      <c r="J236" s="1213"/>
      <c r="K236" s="1213">
        <v>24238440.670000002</v>
      </c>
      <c r="L236" s="1213"/>
      <c r="M236" s="1213">
        <f t="shared" si="14"/>
        <v>1992396.54</v>
      </c>
      <c r="N236" s="1213"/>
      <c r="O236" s="1213">
        <v>26230837.210000001</v>
      </c>
      <c r="P236" s="2915"/>
      <c r="Q236" s="2908"/>
    </row>
    <row r="237" spans="2:17" s="2895" customFormat="1" ht="15.75">
      <c r="B237" s="2903">
        <v>55052</v>
      </c>
      <c r="C237" s="2917"/>
      <c r="D237" s="2918" t="s">
        <v>761</v>
      </c>
      <c r="E237" s="2919"/>
      <c r="F237" s="2919"/>
      <c r="G237" s="1213">
        <v>0</v>
      </c>
      <c r="H237" s="1213"/>
      <c r="I237" s="1213">
        <v>37676.44</v>
      </c>
      <c r="J237" s="1213"/>
      <c r="K237" s="1213">
        <v>0</v>
      </c>
      <c r="L237" s="1213"/>
      <c r="M237" s="1213">
        <f t="shared" si="14"/>
        <v>65304.11</v>
      </c>
      <c r="N237" s="1213"/>
      <c r="O237" s="1213">
        <v>65304.11</v>
      </c>
      <c r="P237" s="2915"/>
      <c r="Q237" s="2908"/>
    </row>
    <row r="238" spans="2:17" s="2895" customFormat="1" ht="15.75">
      <c r="B238" s="2903">
        <v>55053</v>
      </c>
      <c r="C238" s="2917"/>
      <c r="D238" s="2938" t="s">
        <v>762</v>
      </c>
      <c r="E238" s="2919"/>
      <c r="F238" s="2919"/>
      <c r="G238" s="1213">
        <v>0</v>
      </c>
      <c r="H238" s="1213"/>
      <c r="I238" s="1213">
        <v>0</v>
      </c>
      <c r="J238" s="1213"/>
      <c r="K238" s="1213">
        <v>0</v>
      </c>
      <c r="L238" s="1213"/>
      <c r="M238" s="1213">
        <f t="shared" si="14"/>
        <v>0</v>
      </c>
      <c r="N238" s="1213"/>
      <c r="O238" s="1213">
        <v>0</v>
      </c>
      <c r="P238" s="2915"/>
      <c r="Q238" s="2908"/>
    </row>
    <row r="239" spans="2:17" s="2895" customFormat="1" ht="15.75">
      <c r="B239" s="2903">
        <v>55056</v>
      </c>
      <c r="C239" s="2917"/>
      <c r="D239" s="2938" t="s">
        <v>763</v>
      </c>
      <c r="E239" s="2919"/>
      <c r="F239" s="2919"/>
      <c r="G239" s="1213">
        <v>0</v>
      </c>
      <c r="H239" s="1213"/>
      <c r="I239" s="1213">
        <v>0</v>
      </c>
      <c r="J239" s="1213"/>
      <c r="K239" s="1213">
        <v>0</v>
      </c>
      <c r="L239" s="1213"/>
      <c r="M239" s="1213">
        <f t="shared" si="14"/>
        <v>0</v>
      </c>
      <c r="N239" s="1213"/>
      <c r="O239" s="1213">
        <v>0</v>
      </c>
      <c r="P239" s="2915"/>
      <c r="Q239" s="2908"/>
    </row>
    <row r="240" spans="2:17" s="2895" customFormat="1" ht="15.75">
      <c r="B240" s="2903">
        <v>55057</v>
      </c>
      <c r="C240" s="2917"/>
      <c r="D240" s="2938" t="s">
        <v>764</v>
      </c>
      <c r="E240" s="2919"/>
      <c r="F240" s="2919"/>
      <c r="G240" s="1213">
        <v>133693.35</v>
      </c>
      <c r="H240" s="1213"/>
      <c r="I240" s="1213">
        <v>108593.51</v>
      </c>
      <c r="J240" s="1213"/>
      <c r="K240" s="1213">
        <v>30802.29</v>
      </c>
      <c r="L240" s="1213"/>
      <c r="M240" s="1213">
        <f t="shared" si="14"/>
        <v>7503.16</v>
      </c>
      <c r="N240" s="1213"/>
      <c r="O240" s="1213">
        <v>38305.449999999997</v>
      </c>
      <c r="P240" s="2915"/>
      <c r="Q240" s="2908"/>
    </row>
    <row r="241" spans="2:17" s="2895" customFormat="1" ht="15.75">
      <c r="B241" s="2903">
        <v>55058</v>
      </c>
      <c r="C241" s="2917"/>
      <c r="D241" s="2938" t="s">
        <v>765</v>
      </c>
      <c r="E241" s="2919"/>
      <c r="F241" s="2919"/>
      <c r="G241" s="1213">
        <v>2612513.96</v>
      </c>
      <c r="H241" s="1213"/>
      <c r="I241" s="1213">
        <v>2932271.19</v>
      </c>
      <c r="J241" s="1213"/>
      <c r="K241" s="1213">
        <v>2725647.37</v>
      </c>
      <c r="L241" s="1213"/>
      <c r="M241" s="1213">
        <f t="shared" si="14"/>
        <v>237511.94</v>
      </c>
      <c r="N241" s="1213"/>
      <c r="O241" s="1213">
        <v>2963159.31</v>
      </c>
      <c r="P241" s="2915"/>
      <c r="Q241" s="2908"/>
    </row>
    <row r="242" spans="2:17" s="2895" customFormat="1" ht="15.75">
      <c r="B242" s="2903">
        <v>55059</v>
      </c>
      <c r="C242" s="2917"/>
      <c r="D242" s="2940" t="s">
        <v>1257</v>
      </c>
      <c r="E242" s="2919"/>
      <c r="F242" s="2919"/>
      <c r="G242" s="1213">
        <v>11074396.76</v>
      </c>
      <c r="H242" s="1213"/>
      <c r="I242" s="1213">
        <v>11602383.890000001</v>
      </c>
      <c r="J242" s="1213"/>
      <c r="K242" s="1213">
        <v>11585502.98</v>
      </c>
      <c r="L242" s="1213"/>
      <c r="M242" s="1213">
        <f t="shared" ref="M242" si="15">ROUND(SUM(O242)-SUM(K242),2)</f>
        <v>2498.35</v>
      </c>
      <c r="N242" s="1213"/>
      <c r="O242" s="1213">
        <v>11588001.33</v>
      </c>
      <c r="P242" s="2915"/>
      <c r="Q242" s="2908"/>
    </row>
    <row r="243" spans="2:17" s="2895" customFormat="1" ht="15.75">
      <c r="B243" s="2903">
        <v>55060</v>
      </c>
      <c r="C243" s="2917"/>
      <c r="D243" s="2918" t="s">
        <v>766</v>
      </c>
      <c r="E243" s="2919"/>
      <c r="F243" s="2919"/>
      <c r="G243" s="1213">
        <v>4535498.04</v>
      </c>
      <c r="H243" s="1213"/>
      <c r="I243" s="1213">
        <v>4453300.1399999997</v>
      </c>
      <c r="J243" s="1213"/>
      <c r="K243" s="1213">
        <v>2734309.87</v>
      </c>
      <c r="L243" s="1213"/>
      <c r="M243" s="1213">
        <f t="shared" si="14"/>
        <v>988005.84</v>
      </c>
      <c r="N243" s="1213"/>
      <c r="O243" s="1213">
        <v>3722315.71</v>
      </c>
      <c r="P243" s="2915"/>
      <c r="Q243" s="2908"/>
    </row>
    <row r="244" spans="2:17" s="2895" customFormat="1" ht="15.75">
      <c r="B244" s="2903">
        <v>55061</v>
      </c>
      <c r="C244" s="2917"/>
      <c r="D244" s="2918" t="s">
        <v>767</v>
      </c>
      <c r="E244" s="2919"/>
      <c r="F244" s="2919"/>
      <c r="G244" s="1213">
        <v>1246980.3400000001</v>
      </c>
      <c r="H244" s="1213"/>
      <c r="I244" s="1213">
        <v>0</v>
      </c>
      <c r="J244" s="1213"/>
      <c r="K244" s="1213">
        <v>0</v>
      </c>
      <c r="L244" s="1213"/>
      <c r="M244" s="1213">
        <f t="shared" si="14"/>
        <v>0</v>
      </c>
      <c r="N244" s="1213"/>
      <c r="O244" s="1213">
        <v>0</v>
      </c>
      <c r="P244" s="2915"/>
      <c r="Q244" s="2908"/>
    </row>
    <row r="245" spans="2:17" s="2895" customFormat="1" ht="15.75">
      <c r="B245" s="2903">
        <v>55062</v>
      </c>
      <c r="C245" s="2917"/>
      <c r="D245" s="2938" t="s">
        <v>768</v>
      </c>
      <c r="E245" s="2919"/>
      <c r="F245" s="2919"/>
      <c r="G245" s="1213">
        <v>48830817.340000004</v>
      </c>
      <c r="H245" s="1213"/>
      <c r="I245" s="1213">
        <v>48830817.340000004</v>
      </c>
      <c r="J245" s="1213"/>
      <c r="K245" s="1213">
        <v>52824404.619999997</v>
      </c>
      <c r="L245" s="1213"/>
      <c r="M245" s="1213">
        <f t="shared" si="14"/>
        <v>-2765711.67</v>
      </c>
      <c r="N245" s="1213"/>
      <c r="O245" s="1213">
        <v>50058692.950000003</v>
      </c>
      <c r="P245" s="2915"/>
      <c r="Q245" s="2908"/>
    </row>
    <row r="246" spans="2:17" s="2895" customFormat="1" ht="15.75">
      <c r="B246" s="2903">
        <v>55066</v>
      </c>
      <c r="C246" s="2917"/>
      <c r="D246" s="2938" t="s">
        <v>769</v>
      </c>
      <c r="E246" s="2919"/>
      <c r="F246" s="2919"/>
      <c r="G246" s="1213">
        <v>1261584.27</v>
      </c>
      <c r="H246" s="1213"/>
      <c r="I246" s="1213">
        <v>1261584.27</v>
      </c>
      <c r="J246" s="1213"/>
      <c r="K246" s="1213">
        <v>1261584.27</v>
      </c>
      <c r="L246" s="1213"/>
      <c r="M246" s="1213">
        <f t="shared" si="14"/>
        <v>0</v>
      </c>
      <c r="N246" s="1213"/>
      <c r="O246" s="1213">
        <v>1261584.27</v>
      </c>
      <c r="P246" s="2915"/>
      <c r="Q246" s="2908"/>
    </row>
    <row r="247" spans="2:17" s="2895" customFormat="1" ht="15.75">
      <c r="B247" s="2903">
        <v>55067</v>
      </c>
      <c r="C247" s="2917"/>
      <c r="D247" s="2938" t="s">
        <v>770</v>
      </c>
      <c r="E247" s="2919"/>
      <c r="F247" s="2919"/>
      <c r="G247" s="1213">
        <v>207012.97</v>
      </c>
      <c r="H247" s="1213"/>
      <c r="I247" s="1213">
        <v>200856.41</v>
      </c>
      <c r="J247" s="1213"/>
      <c r="K247" s="1213">
        <v>225548.29</v>
      </c>
      <c r="L247" s="1213"/>
      <c r="M247" s="1213">
        <f t="shared" si="14"/>
        <v>24238.74</v>
      </c>
      <c r="N247" s="1213"/>
      <c r="O247" s="1213">
        <v>249787.03</v>
      </c>
      <c r="P247" s="2915"/>
      <c r="Q247" s="2908"/>
    </row>
    <row r="248" spans="2:17" s="2895" customFormat="1" ht="15.75">
      <c r="B248" s="2903">
        <v>55069</v>
      </c>
      <c r="C248" s="2917"/>
      <c r="D248" s="2938" t="s">
        <v>771</v>
      </c>
      <c r="E248" s="2919"/>
      <c r="F248" s="2919"/>
      <c r="G248" s="1213">
        <v>89155482.599999994</v>
      </c>
      <c r="H248" s="1213"/>
      <c r="I248" s="1213">
        <v>99463734.840000004</v>
      </c>
      <c r="J248" s="1213"/>
      <c r="K248" s="1213">
        <v>103800648.53</v>
      </c>
      <c r="L248" s="1213"/>
      <c r="M248" s="1213">
        <f t="shared" si="14"/>
        <v>-27236317.030000001</v>
      </c>
      <c r="N248" s="1213"/>
      <c r="O248" s="1213">
        <v>76564331.5</v>
      </c>
      <c r="P248" s="2915"/>
      <c r="Q248" s="2908"/>
    </row>
    <row r="249" spans="2:17" s="2895" customFormat="1" ht="15.75">
      <c r="B249" s="2943">
        <v>55071</v>
      </c>
      <c r="C249" s="2917"/>
      <c r="D249" s="2938" t="s">
        <v>944</v>
      </c>
      <c r="E249" s="2919"/>
      <c r="F249" s="2919"/>
      <c r="G249" s="1213">
        <v>5701252.7999999998</v>
      </c>
      <c r="H249" s="1213"/>
      <c r="I249" s="1213">
        <v>6466266.7000000002</v>
      </c>
      <c r="J249" s="1213"/>
      <c r="K249" s="1213">
        <v>4203491.07</v>
      </c>
      <c r="L249" s="1213"/>
      <c r="M249" s="1213">
        <f t="shared" si="14"/>
        <v>73836.160000000003</v>
      </c>
      <c r="N249" s="1213"/>
      <c r="O249" s="1213">
        <v>4277327.2300000004</v>
      </c>
      <c r="P249" s="2915"/>
      <c r="Q249" s="2908"/>
    </row>
    <row r="250" spans="2:17" s="2895" customFormat="1" ht="15.75">
      <c r="B250" s="2903">
        <v>55072</v>
      </c>
      <c r="C250" s="2917"/>
      <c r="D250" s="2938" t="s">
        <v>945</v>
      </c>
      <c r="E250" s="2919"/>
      <c r="F250" s="2919"/>
      <c r="G250" s="1213">
        <v>2651094.4500000002</v>
      </c>
      <c r="H250" s="1213"/>
      <c r="I250" s="1213">
        <v>3393732.41</v>
      </c>
      <c r="J250" s="1213"/>
      <c r="K250" s="1213">
        <v>3170869.49</v>
      </c>
      <c r="L250" s="1213"/>
      <c r="M250" s="1213">
        <f t="shared" si="14"/>
        <v>951715.35</v>
      </c>
      <c r="N250" s="1213"/>
      <c r="O250" s="1213">
        <v>4122584.84</v>
      </c>
      <c r="P250" s="2915"/>
      <c r="Q250" s="2908"/>
    </row>
    <row r="251" spans="2:17" s="2895" customFormat="1" ht="15.75">
      <c r="B251" s="2943">
        <v>55073</v>
      </c>
      <c r="C251" s="2917"/>
      <c r="D251" s="2938" t="s">
        <v>946</v>
      </c>
      <c r="E251" s="2919"/>
      <c r="F251" s="2919"/>
      <c r="G251" s="1213">
        <v>0</v>
      </c>
      <c r="H251" s="1213"/>
      <c r="I251" s="1213">
        <v>0</v>
      </c>
      <c r="J251" s="1213"/>
      <c r="K251" s="1213">
        <v>0</v>
      </c>
      <c r="L251" s="1213"/>
      <c r="M251" s="1213">
        <f t="shared" si="14"/>
        <v>0</v>
      </c>
      <c r="N251" s="1213"/>
      <c r="O251" s="1213">
        <v>0</v>
      </c>
      <c r="P251" s="2915"/>
      <c r="Q251" s="2908"/>
    </row>
    <row r="252" spans="2:17" s="2895" customFormat="1" ht="15.75">
      <c r="B252" s="2943">
        <v>55074</v>
      </c>
      <c r="C252" s="2917"/>
      <c r="D252" s="2938" t="s">
        <v>1292</v>
      </c>
      <c r="E252" s="2919"/>
      <c r="F252" s="2919"/>
      <c r="G252" s="1213">
        <v>1937226.53</v>
      </c>
      <c r="H252" s="1213"/>
      <c r="I252" s="1213">
        <v>2838791.78</v>
      </c>
      <c r="J252" s="1213"/>
      <c r="K252" s="1213">
        <v>4035844.07</v>
      </c>
      <c r="L252" s="1213"/>
      <c r="M252" s="1213">
        <f t="shared" ref="M252" si="16">ROUND(SUM(O252)-SUM(K252),2)</f>
        <v>-1367562.62</v>
      </c>
      <c r="N252" s="1213"/>
      <c r="O252" s="1213">
        <v>2668281.4500000002</v>
      </c>
      <c r="P252" s="2915"/>
      <c r="Q252" s="2908"/>
    </row>
    <row r="253" spans="2:17" s="2895" customFormat="1" ht="15.75">
      <c r="B253" s="2903">
        <v>55251</v>
      </c>
      <c r="C253" s="2917"/>
      <c r="D253" s="2918" t="s">
        <v>772</v>
      </c>
      <c r="E253" s="2919"/>
      <c r="F253" s="2919"/>
      <c r="G253" s="1213">
        <v>10531322.970000001</v>
      </c>
      <c r="H253" s="1213"/>
      <c r="I253" s="1213">
        <v>10766740.890000001</v>
      </c>
      <c r="J253" s="1213"/>
      <c r="K253" s="1213">
        <v>11038001.16</v>
      </c>
      <c r="L253" s="1213"/>
      <c r="M253" s="1213">
        <f t="shared" si="14"/>
        <v>230753.53</v>
      </c>
      <c r="N253" s="1213"/>
      <c r="O253" s="1213">
        <v>11268754.689999999</v>
      </c>
      <c r="P253" s="2915"/>
      <c r="Q253" s="2908"/>
    </row>
    <row r="254" spans="2:17" s="2895" customFormat="1" ht="15.75">
      <c r="B254" s="2903">
        <v>55252</v>
      </c>
      <c r="C254" s="2917"/>
      <c r="D254" s="2938" t="s">
        <v>773</v>
      </c>
      <c r="E254" s="2919"/>
      <c r="F254" s="2919"/>
      <c r="G254" s="1213">
        <v>50042467.439999998</v>
      </c>
      <c r="H254" s="1213"/>
      <c r="I254" s="1213">
        <v>52214425.659999996</v>
      </c>
      <c r="J254" s="1213"/>
      <c r="K254" s="1213">
        <v>44661267.149999999</v>
      </c>
      <c r="L254" s="1213"/>
      <c r="M254" s="1213">
        <f t="shared" si="14"/>
        <v>668339.06999999995</v>
      </c>
      <c r="N254" s="1213"/>
      <c r="O254" s="1213">
        <v>45329606.219999999</v>
      </c>
      <c r="P254" s="2915"/>
      <c r="Q254" s="2908"/>
    </row>
    <row r="255" spans="2:17" s="2895" customFormat="1" ht="15.75">
      <c r="B255" s="2903">
        <v>55300</v>
      </c>
      <c r="C255" s="2917"/>
      <c r="D255" s="2918" t="s">
        <v>774</v>
      </c>
      <c r="E255" s="2919"/>
      <c r="F255" s="2919"/>
      <c r="G255" s="1213">
        <v>0</v>
      </c>
      <c r="H255" s="1213"/>
      <c r="I255" s="1213">
        <v>0</v>
      </c>
      <c r="J255" s="1213"/>
      <c r="K255" s="1213">
        <v>2988283.21</v>
      </c>
      <c r="L255" s="1213"/>
      <c r="M255" s="1213">
        <f t="shared" si="14"/>
        <v>809548.74</v>
      </c>
      <c r="N255" s="1213"/>
      <c r="O255" s="1213">
        <v>3797831.95</v>
      </c>
      <c r="P255" s="2915"/>
      <c r="Q255" s="2908"/>
    </row>
    <row r="256" spans="2:17" s="2895" customFormat="1" ht="15.75">
      <c r="B256" s="2903">
        <v>55301</v>
      </c>
      <c r="C256" s="2917"/>
      <c r="D256" s="2918" t="s">
        <v>775</v>
      </c>
      <c r="E256" s="2919"/>
      <c r="F256" s="2919"/>
      <c r="G256" s="1213">
        <v>4818733.51</v>
      </c>
      <c r="H256" s="1213"/>
      <c r="I256" s="1213">
        <v>4916106.3600000003</v>
      </c>
      <c r="J256" s="1213"/>
      <c r="K256" s="1213">
        <v>5003507.8099999996</v>
      </c>
      <c r="L256" s="1213"/>
      <c r="M256" s="1213">
        <f t="shared" si="14"/>
        <v>72995.44</v>
      </c>
      <c r="N256" s="1213"/>
      <c r="O256" s="1213">
        <v>5076503.25</v>
      </c>
      <c r="P256" s="2915"/>
      <c r="Q256" s="2908"/>
    </row>
    <row r="257" spans="2:17" s="2895" customFormat="1" ht="15.75">
      <c r="B257" s="2903">
        <v>55350</v>
      </c>
      <c r="C257" s="2928"/>
      <c r="D257" s="2918" t="s">
        <v>776</v>
      </c>
      <c r="E257" s="2902"/>
      <c r="F257" s="2902"/>
      <c r="G257" s="1213">
        <v>46624140.170000002</v>
      </c>
      <c r="H257" s="1213"/>
      <c r="I257" s="1213">
        <v>48225119.939999998</v>
      </c>
      <c r="J257" s="1213"/>
      <c r="K257" s="1213">
        <v>50777391.539999999</v>
      </c>
      <c r="L257" s="1213"/>
      <c r="M257" s="1213">
        <f t="shared" si="14"/>
        <v>-34368.82</v>
      </c>
      <c r="N257" s="1213"/>
      <c r="O257" s="1213">
        <v>50743022.719999999</v>
      </c>
      <c r="P257" s="2915"/>
      <c r="Q257" s="2908"/>
    </row>
    <row r="258" spans="2:17" s="2895" customFormat="1" ht="16.5" thickBot="1">
      <c r="B258" s="2965"/>
      <c r="C258" s="2897"/>
      <c r="D258" s="2898" t="s">
        <v>777</v>
      </c>
      <c r="E258" s="2899"/>
      <c r="F258" s="2899"/>
      <c r="G258" s="1581">
        <f>ROUND(SUM(G215:G257),2)</f>
        <v>438661588.12</v>
      </c>
      <c r="H258" s="1470"/>
      <c r="I258" s="1581">
        <f>ROUND(SUM(I215:I257),2)</f>
        <v>461210964.81999999</v>
      </c>
      <c r="J258" s="1470"/>
      <c r="K258" s="1581">
        <f>ROUND(SUM(K215:K257),2)</f>
        <v>470772128.08999997</v>
      </c>
      <c r="L258" s="1470"/>
      <c r="M258" s="1215">
        <f>ROUND(SUM(M215:M257),2)</f>
        <v>-16176187.34</v>
      </c>
      <c r="N258" s="1470"/>
      <c r="O258" s="1581">
        <f>ROUND(SUM(O215:O257),2)</f>
        <v>454595940.75</v>
      </c>
      <c r="P258" s="2915"/>
      <c r="Q258" s="2908"/>
    </row>
    <row r="259" spans="2:17" s="2895" customFormat="1" ht="16.5" thickTop="1">
      <c r="B259" s="2944"/>
      <c r="C259" s="2928"/>
      <c r="D259" s="2966"/>
      <c r="E259" s="2902"/>
      <c r="F259" s="2902"/>
      <c r="G259" s="1213"/>
      <c r="H259" s="2934"/>
      <c r="I259" s="1213"/>
      <c r="J259" s="2934"/>
      <c r="K259" s="1213"/>
      <c r="L259" s="2934"/>
      <c r="M259" s="1213"/>
      <c r="N259" s="2934"/>
      <c r="O259" s="1213"/>
      <c r="P259" s="2915"/>
      <c r="Q259" s="2908"/>
    </row>
    <row r="260" spans="2:17" s="2895" customFormat="1" ht="16.5" thickBot="1">
      <c r="B260" s="2944"/>
      <c r="C260" s="2928"/>
      <c r="D260" s="2966"/>
      <c r="E260" s="2902"/>
      <c r="F260" s="2902"/>
      <c r="G260" s="1213"/>
      <c r="H260" s="2934"/>
      <c r="I260" s="1213"/>
      <c r="J260" s="2934"/>
      <c r="K260" s="1213"/>
      <c r="L260" s="2934"/>
      <c r="M260" s="1213"/>
      <c r="N260" s="2934"/>
      <c r="O260" s="1213"/>
      <c r="P260" s="2915"/>
      <c r="Q260" s="2908"/>
    </row>
    <row r="261" spans="2:17" s="2895" customFormat="1" ht="16.5" thickBot="1">
      <c r="B261" s="2965"/>
      <c r="C261" s="2967"/>
      <c r="D261" s="2968" t="s">
        <v>778</v>
      </c>
      <c r="E261" s="2899"/>
      <c r="F261" s="2969"/>
      <c r="G261" s="1582">
        <f>ROUND(SUM(G11+G102+G188+G202+G207+G212+G258),2)</f>
        <v>5452596749.6599998</v>
      </c>
      <c r="H261" s="1472"/>
      <c r="I261" s="1582">
        <f>ROUND(SUM(I11+I102+I188+I202+I207+I212+I258),2)</f>
        <v>5616633438.6400003</v>
      </c>
      <c r="J261" s="1472"/>
      <c r="K261" s="1582">
        <f>ROUND(SUM(K11+K102+K188+K202+K207+K212+K258),2)</f>
        <v>5338086272.9300003</v>
      </c>
      <c r="L261" s="1472"/>
      <c r="M261" s="1471">
        <f>ROUND(SUM(M11+M102+M188+M202+M207+M212+M258),2)</f>
        <v>122730774.87</v>
      </c>
      <c r="N261" s="1472"/>
      <c r="O261" s="1582">
        <f>ROUND(SUM(O11+O102+O188+O202+O207+O212+O258),2)</f>
        <v>5460817047.8000002</v>
      </c>
      <c r="P261" s="2915"/>
      <c r="Q261" s="2908"/>
    </row>
    <row r="262" spans="2:17" s="2895" customFormat="1" ht="15.75">
      <c r="B262" s="2944"/>
      <c r="C262" s="2928"/>
      <c r="D262" s="2966"/>
      <c r="E262" s="2902"/>
      <c r="F262" s="2902"/>
      <c r="G262" s="2530"/>
      <c r="H262" s="1487"/>
      <c r="I262" s="1214"/>
      <c r="J262" s="1487"/>
      <c r="K262" s="1214"/>
      <c r="L262" s="1487"/>
      <c r="M262" s="1217"/>
      <c r="N262" s="2928"/>
      <c r="O262" s="1217"/>
      <c r="P262" s="2915"/>
    </row>
    <row r="263" spans="2:17" s="2895" customFormat="1" ht="15.75">
      <c r="B263" s="3656" t="s">
        <v>854</v>
      </c>
      <c r="C263" s="2162" t="s">
        <v>1478</v>
      </c>
      <c r="D263" s="2970"/>
      <c r="E263" s="2971"/>
      <c r="F263" s="2971"/>
      <c r="G263" s="1214"/>
      <c r="H263" s="2972"/>
      <c r="I263" s="1218"/>
      <c r="J263" s="2973"/>
      <c r="K263" s="1218"/>
      <c r="L263" s="2974"/>
      <c r="M263" s="1218"/>
      <c r="N263" s="2974"/>
      <c r="O263" s="1218"/>
      <c r="P263" s="2915"/>
    </row>
    <row r="264" spans="2:17" s="2895" customFormat="1" ht="15.75">
      <c r="B264" s="2975"/>
      <c r="C264" s="810" t="s">
        <v>779</v>
      </c>
      <c r="D264" s="2976"/>
      <c r="E264" s="810"/>
      <c r="F264" s="810"/>
      <c r="G264" s="1218"/>
      <c r="H264" s="2977"/>
      <c r="I264" s="1218"/>
      <c r="J264" s="2974"/>
      <c r="K264" s="1218"/>
      <c r="L264" s="2974"/>
      <c r="M264" s="1218"/>
      <c r="N264" s="2974"/>
      <c r="O264" s="1218"/>
      <c r="P264" s="2915"/>
    </row>
    <row r="265" spans="2:17" s="2895" customFormat="1" ht="15.75">
      <c r="B265" s="2975"/>
      <c r="C265" s="810" t="s">
        <v>780</v>
      </c>
      <c r="D265" s="2978"/>
      <c r="E265" s="810"/>
      <c r="F265" s="810"/>
      <c r="G265" s="1218"/>
      <c r="H265" s="2977"/>
      <c r="I265" s="1219"/>
      <c r="J265" s="2979"/>
      <c r="K265" s="1219"/>
      <c r="L265" s="2979"/>
      <c r="M265" s="1219"/>
      <c r="N265" s="2979"/>
      <c r="O265" s="1219"/>
      <c r="P265" s="2915"/>
    </row>
    <row r="266" spans="2:17" s="2895" customFormat="1" ht="15.75">
      <c r="B266" s="2975"/>
      <c r="C266" s="810" t="s">
        <v>781</v>
      </c>
      <c r="D266" s="2978"/>
      <c r="E266" s="810"/>
      <c r="F266" s="810"/>
      <c r="G266" s="1219"/>
      <c r="H266" s="2977"/>
      <c r="I266" s="1219"/>
      <c r="J266" s="2979"/>
      <c r="K266" s="1219"/>
      <c r="L266" s="2979"/>
      <c r="M266" s="1219"/>
      <c r="N266" s="2979"/>
      <c r="O266" s="1219"/>
      <c r="P266" s="2915"/>
    </row>
    <row r="267" spans="2:17" s="2895" customFormat="1" ht="15.75">
      <c r="B267" s="2975"/>
      <c r="C267" s="810" t="s">
        <v>782</v>
      </c>
      <c r="D267" s="2978"/>
      <c r="E267" s="810"/>
      <c r="F267" s="810"/>
      <c r="G267" s="1219"/>
      <c r="H267" s="2977"/>
      <c r="I267" s="2980"/>
      <c r="J267" s="2981"/>
      <c r="K267" s="2980"/>
      <c r="L267" s="2981"/>
      <c r="M267" s="2980"/>
      <c r="N267" s="2981"/>
      <c r="O267" s="2980"/>
      <c r="P267" s="2915"/>
    </row>
    <row r="268" spans="2:17" s="2895" customFormat="1" ht="15.75">
      <c r="B268" s="2982"/>
      <c r="C268" s="810" t="s">
        <v>1245</v>
      </c>
      <c r="D268" s="2978"/>
      <c r="E268" s="810"/>
      <c r="F268" s="810"/>
      <c r="G268" s="2980"/>
      <c r="H268" s="2977"/>
      <c r="I268" s="2980"/>
      <c r="J268" s="2981"/>
      <c r="K268" s="2980"/>
      <c r="L268" s="2981"/>
      <c r="M268" s="2980"/>
      <c r="N268" s="2981"/>
      <c r="O268" s="2980"/>
      <c r="P268" s="2925"/>
    </row>
    <row r="269" spans="2:17" s="2895" customFormat="1" ht="15.75">
      <c r="B269" s="2982"/>
      <c r="C269" s="2977" t="s">
        <v>855</v>
      </c>
      <c r="D269" s="2983"/>
      <c r="E269" s="2977"/>
      <c r="F269" s="2977"/>
      <c r="G269" s="2980"/>
      <c r="H269" s="2977"/>
      <c r="I269" s="2980"/>
      <c r="J269" s="2981"/>
      <c r="K269" s="2980"/>
      <c r="L269" s="2981"/>
      <c r="M269" s="2980"/>
      <c r="N269" s="2981"/>
      <c r="O269" s="2980"/>
      <c r="P269" s="2915"/>
    </row>
    <row r="270" spans="2:17" s="2895" customFormat="1" ht="15.75">
      <c r="B270" s="2984" t="s">
        <v>113</v>
      </c>
      <c r="C270" s="2971" t="s">
        <v>1225</v>
      </c>
      <c r="D270" s="2970"/>
      <c r="E270" s="2977"/>
      <c r="F270" s="2977"/>
      <c r="G270" s="2980"/>
      <c r="H270" s="2977"/>
      <c r="I270" s="2985"/>
      <c r="J270" s="2986"/>
      <c r="K270" s="2985"/>
      <c r="L270" s="2987"/>
      <c r="M270" s="2988"/>
      <c r="N270" s="2989"/>
      <c r="O270" s="3633"/>
      <c r="P270" s="2902"/>
    </row>
    <row r="271" spans="2:17" s="2895" customFormat="1" ht="15.75">
      <c r="B271" s="2990"/>
      <c r="C271" s="2985" t="s">
        <v>1226</v>
      </c>
      <c r="D271" s="809"/>
      <c r="E271" s="2977"/>
      <c r="F271" s="2977"/>
      <c r="G271" s="2985"/>
      <c r="H271" s="2977"/>
      <c r="I271" s="2985"/>
      <c r="J271" s="2986"/>
      <c r="K271" s="2985"/>
      <c r="L271" s="2987"/>
      <c r="M271" s="2988"/>
      <c r="N271" s="2989"/>
      <c r="O271" s="3633"/>
      <c r="P271" s="2948"/>
    </row>
    <row r="272" spans="2:17" s="2895" customFormat="1" ht="15.75">
      <c r="B272" s="2991" t="s">
        <v>853</v>
      </c>
      <c r="C272" s="2982" t="s">
        <v>967</v>
      </c>
      <c r="D272" s="809"/>
      <c r="E272" s="2992"/>
      <c r="F272" s="1438"/>
      <c r="G272" s="2985"/>
      <c r="H272" s="812"/>
      <c r="I272" s="810"/>
      <c r="J272" s="813"/>
      <c r="K272" s="810"/>
      <c r="L272" s="812"/>
      <c r="M272" s="811"/>
      <c r="N272" s="814"/>
      <c r="O272" s="2971"/>
      <c r="P272" s="2894"/>
    </row>
    <row r="273" spans="2:16" s="2895" customFormat="1" ht="15.75">
      <c r="B273" s="2993"/>
      <c r="C273" s="2994"/>
      <c r="D273" s="2896"/>
      <c r="E273" s="810"/>
      <c r="F273" s="810"/>
      <c r="G273" s="2985"/>
      <c r="H273" s="2896"/>
      <c r="I273" s="2896"/>
      <c r="J273" s="2896"/>
      <c r="K273" s="2896"/>
      <c r="L273" s="2896"/>
      <c r="M273" s="2896"/>
      <c r="N273" s="2896"/>
      <c r="O273" s="3634"/>
      <c r="P273" s="2977"/>
    </row>
    <row r="274" spans="2:16" s="2895" customFormat="1" ht="15.75">
      <c r="C274" s="2994"/>
      <c r="D274" s="2948"/>
      <c r="E274" s="2995"/>
      <c r="F274" s="2995"/>
      <c r="G274" s="2896"/>
      <c r="H274" s="2979"/>
      <c r="I274" s="2948"/>
      <c r="J274" s="2979"/>
      <c r="K274" s="2948"/>
      <c r="L274" s="2979"/>
      <c r="M274" s="2948"/>
      <c r="N274" s="2979"/>
      <c r="O274" s="3095"/>
      <c r="P274" s="2977"/>
    </row>
    <row r="275" spans="2:16" s="2895" customFormat="1" ht="15.75">
      <c r="C275" s="2994"/>
      <c r="D275" s="2948"/>
      <c r="E275" s="810"/>
      <c r="F275" s="810"/>
      <c r="G275" s="2996"/>
      <c r="H275" s="2996"/>
      <c r="I275" s="2996"/>
      <c r="J275" s="2996"/>
      <c r="K275" s="2996"/>
      <c r="L275" s="2996"/>
      <c r="M275" s="2996"/>
      <c r="N275" s="2996"/>
      <c r="O275" s="3635"/>
      <c r="P275" s="2977"/>
    </row>
    <row r="276" spans="2:16" s="2895" customFormat="1" ht="15.75">
      <c r="B276" s="2994"/>
      <c r="C276" s="2994"/>
      <c r="D276" s="2948"/>
      <c r="E276" s="810"/>
      <c r="F276" s="810"/>
      <c r="G276" s="2997"/>
      <c r="H276" s="2997"/>
      <c r="I276" s="2997"/>
      <c r="J276" s="2997"/>
      <c r="K276" s="2997"/>
      <c r="L276" s="2997"/>
      <c r="M276" s="2948"/>
      <c r="N276" s="2979"/>
      <c r="O276" s="3095"/>
      <c r="P276" s="2977"/>
    </row>
    <row r="277" spans="2:16" s="2895" customFormat="1" ht="15.75">
      <c r="B277" s="2994"/>
      <c r="C277" s="2994"/>
      <c r="D277" s="2948"/>
      <c r="E277" s="810"/>
      <c r="F277" s="810"/>
      <c r="G277" s="2997"/>
      <c r="H277" s="2997"/>
      <c r="I277" s="2997"/>
      <c r="J277" s="2997"/>
      <c r="K277" s="2997"/>
      <c r="L277" s="2997"/>
      <c r="M277" s="2948"/>
      <c r="N277" s="2979"/>
      <c r="O277" s="3095"/>
      <c r="P277" s="2977"/>
    </row>
    <row r="278" spans="2:16" s="2895" customFormat="1" ht="15.75">
      <c r="B278" s="2998"/>
      <c r="C278" s="2977"/>
      <c r="D278" s="2948"/>
      <c r="E278" s="810"/>
      <c r="F278" s="810"/>
      <c r="G278" s="2997"/>
      <c r="H278" s="2999"/>
      <c r="I278" s="2977"/>
      <c r="J278" s="2999"/>
      <c r="K278" s="2977"/>
      <c r="L278" s="2979"/>
      <c r="M278" s="2948"/>
      <c r="N278" s="2979"/>
      <c r="O278" s="3095"/>
      <c r="P278" s="2993"/>
    </row>
    <row r="279" spans="2:16" s="2895" customFormat="1" ht="15.75">
      <c r="B279" s="3000"/>
      <c r="C279" s="2977"/>
      <c r="D279" s="2948"/>
      <c r="E279" s="810"/>
      <c r="F279" s="810"/>
      <c r="G279" s="2977"/>
      <c r="H279" s="2999"/>
      <c r="I279" s="2977"/>
      <c r="J279" s="2999"/>
      <c r="K279" s="2977"/>
      <c r="L279" s="2979"/>
      <c r="M279" s="2948"/>
      <c r="N279" s="2979"/>
      <c r="O279" s="3095"/>
      <c r="P279" s="2993"/>
    </row>
    <row r="280" spans="2:16" s="2895" customFormat="1" ht="15.75">
      <c r="B280" s="3000"/>
      <c r="C280" s="2977"/>
      <c r="D280" s="2948"/>
      <c r="E280" s="810"/>
      <c r="F280" s="810"/>
      <c r="G280" s="2977"/>
      <c r="H280" s="2999"/>
      <c r="I280" s="2977"/>
      <c r="J280" s="2999"/>
      <c r="K280" s="2977"/>
      <c r="L280" s="2979"/>
      <c r="M280" s="809"/>
      <c r="N280" s="2974"/>
      <c r="O280" s="3636"/>
      <c r="P280" s="2993"/>
    </row>
    <row r="281" spans="2:16" s="2895" customFormat="1" ht="15.75">
      <c r="B281" s="2993"/>
      <c r="C281" s="2977"/>
      <c r="D281" s="2948"/>
      <c r="E281" s="2530"/>
      <c r="F281" s="2999"/>
      <c r="G281" s="2977"/>
      <c r="H281" s="2999"/>
      <c r="I281" s="2977"/>
      <c r="J281" s="2999"/>
      <c r="K281" s="2977"/>
      <c r="L281" s="2974"/>
      <c r="M281" s="809"/>
      <c r="N281" s="2974"/>
      <c r="O281" s="3636"/>
      <c r="P281" s="2993"/>
    </row>
    <row r="282" spans="2:16" s="2895" customFormat="1" ht="15.75">
      <c r="B282" s="2993"/>
      <c r="C282" s="2977"/>
      <c r="D282" s="2948"/>
      <c r="E282" s="2530"/>
      <c r="F282" s="2999"/>
      <c r="G282" s="2977"/>
      <c r="H282" s="2999"/>
      <c r="I282" s="2977"/>
      <c r="J282" s="2999"/>
      <c r="K282" s="2977"/>
      <c r="L282" s="2974"/>
      <c r="M282" s="3001"/>
      <c r="N282" s="3002"/>
      <c r="O282" s="3001"/>
      <c r="P282" s="2993"/>
    </row>
    <row r="283" spans="2:16" ht="15.75">
      <c r="B283" s="2993"/>
      <c r="C283" s="2977"/>
      <c r="D283" s="2948"/>
      <c r="E283" s="2530"/>
      <c r="F283" s="2999"/>
      <c r="G283" s="2977"/>
      <c r="H283" s="2999"/>
      <c r="I283" s="2977"/>
      <c r="J283" s="2999"/>
      <c r="K283" s="2977"/>
      <c r="L283" s="2974"/>
      <c r="M283" s="809"/>
      <c r="N283" s="2974"/>
      <c r="O283" s="3636"/>
      <c r="P283" s="2993"/>
    </row>
    <row r="284" spans="2:16" ht="15.75">
      <c r="G284" s="2977"/>
    </row>
    <row r="289" spans="3:12" ht="15.75">
      <c r="C289" s="2867"/>
      <c r="D289" s="2866"/>
      <c r="E289" s="2867"/>
      <c r="F289" s="2868"/>
      <c r="H289" s="3006"/>
      <c r="I289" s="3007"/>
      <c r="J289" s="3006"/>
      <c r="K289" s="3007"/>
      <c r="L289" s="3006"/>
    </row>
    <row r="290" spans="3:12" ht="15.75">
      <c r="C290" s="2867"/>
      <c r="D290" s="2866"/>
      <c r="E290" s="2867"/>
      <c r="F290" s="2868"/>
      <c r="G290" s="3007"/>
      <c r="H290" s="3006"/>
      <c r="I290" s="3007"/>
      <c r="J290" s="3006"/>
      <c r="K290" s="3007"/>
      <c r="L290" s="3006"/>
    </row>
    <row r="291" spans="3:12" ht="15.75">
      <c r="C291" s="2867"/>
      <c r="D291" s="2866"/>
      <c r="E291" s="2867"/>
      <c r="F291" s="2868"/>
      <c r="G291" s="3007"/>
      <c r="H291" s="3006"/>
      <c r="I291" s="3007"/>
      <c r="J291" s="3006"/>
      <c r="K291" s="3007"/>
      <c r="L291" s="3006"/>
    </row>
    <row r="292" spans="3:12" ht="15.75">
      <c r="C292" s="2867"/>
      <c r="D292" s="2866"/>
      <c r="E292" s="2867"/>
      <c r="F292" s="2868"/>
      <c r="G292" s="3007"/>
      <c r="H292" s="3006"/>
      <c r="I292" s="3007"/>
      <c r="J292" s="3006"/>
      <c r="K292" s="3007"/>
      <c r="L292" s="3006"/>
    </row>
    <row r="293" spans="3:12" ht="15.75">
      <c r="C293" s="2867"/>
      <c r="D293" s="2866"/>
      <c r="E293" s="2867"/>
      <c r="F293" s="2868"/>
      <c r="G293" s="3007"/>
      <c r="H293" s="3006"/>
      <c r="I293" s="3007"/>
      <c r="J293" s="3006"/>
      <c r="K293" s="3007"/>
      <c r="L293" s="3006"/>
    </row>
    <row r="294" spans="3:12">
      <c r="G294" s="3007"/>
    </row>
  </sheetData>
  <printOptions horizontalCentered="1"/>
  <pageMargins left="0.45" right="0.45" top="0.5" bottom="0.5" header="0.3" footer="0.25"/>
  <pageSetup scale="43" firstPageNumber="52" fitToHeight="4" orientation="landscape" useFirstPageNumber="1" r:id="rId1"/>
  <headerFooter scaleWithDoc="0" alignWithMargins="0">
    <oddFooter>&amp;C&amp;8&amp;P</oddFooter>
  </headerFooter>
  <rowBreaks count="3" manualBreakCount="3">
    <brk id="83" max="16383" man="1"/>
    <brk id="157" max="16383" man="1"/>
    <brk id="221" max="16383" man="1"/>
  </rowBreaks>
  <ignoredErrors>
    <ignoredError sqref="L11 N11 L207 N207 L212 N212 L258 N258 L261 N261 L12:N13 L103:N104 L189:N190 L203:N204 L208:N209 L213:N214 L259:N260"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N94"/>
  <sheetViews>
    <sheetView showGridLines="0" zoomScale="80" workbookViewId="0"/>
  </sheetViews>
  <sheetFormatPr defaultColWidth="8.6640625" defaultRowHeight="12.75"/>
  <cols>
    <col min="1" max="1" width="54.6640625" style="482" customWidth="1"/>
    <col min="2" max="2" width="21.6640625" style="1562" customWidth="1"/>
    <col min="3" max="3" width="1.6640625" style="1562" customWidth="1"/>
    <col min="4" max="4" width="17.109375" style="1562" customWidth="1"/>
    <col min="5" max="5" width="1.6640625" style="1561" customWidth="1"/>
    <col min="6" max="6" width="16.6640625" style="1562" customWidth="1"/>
    <col min="7" max="7" width="1.6640625" style="1561" customWidth="1"/>
    <col min="8" max="8" width="19.6640625" style="1562" customWidth="1"/>
    <col min="9" max="9" width="1.6640625" style="1561" customWidth="1"/>
    <col min="10" max="10" width="18.6640625" style="1562" customWidth="1"/>
    <col min="11" max="11" width="1.6640625" style="1562" customWidth="1"/>
    <col min="12" max="12" width="13.6640625" style="1562" customWidth="1"/>
    <col min="13" max="13" width="1.6640625" style="1561" customWidth="1"/>
    <col min="14" max="14" width="13.6640625" style="1562" customWidth="1"/>
    <col min="15" max="15" width="1.6640625" style="1561" customWidth="1"/>
    <col min="16" max="16" width="13.6640625" style="1562" customWidth="1"/>
    <col min="17" max="17" width="1.6640625" style="1561" customWidth="1"/>
    <col min="18" max="18" width="13.6640625" style="1562" customWidth="1"/>
    <col min="19" max="19" width="1.6640625" style="1561" customWidth="1"/>
    <col min="20" max="20" width="13.6640625" style="1562" customWidth="1"/>
    <col min="21" max="21" width="1.6640625" style="1561" customWidth="1"/>
    <col min="22" max="22" width="13.6640625" style="1562" customWidth="1"/>
    <col min="23" max="23" width="1.6640625" style="1561" customWidth="1"/>
    <col min="24" max="24" width="13.6640625" style="1562" customWidth="1"/>
    <col min="25" max="25" width="1.6640625" style="1561" customWidth="1"/>
    <col min="26" max="26" width="18.6640625" style="407" customWidth="1"/>
    <col min="27" max="27" width="1.5546875" style="482" customWidth="1"/>
    <col min="28" max="28" width="18.6640625" style="482" bestFit="1" customWidth="1"/>
    <col min="29" max="29" width="12.6640625" style="482" bestFit="1" customWidth="1"/>
    <col min="30" max="16384" width="8.6640625" style="482"/>
  </cols>
  <sheetData>
    <row r="1" spans="1:40" ht="15">
      <c r="A1" s="937" t="s">
        <v>963</v>
      </c>
      <c r="B1" s="1308"/>
      <c r="C1" s="1308"/>
      <c r="D1" s="1308"/>
      <c r="E1" s="1308"/>
      <c r="F1" s="1308"/>
      <c r="G1" s="1308"/>
      <c r="H1" s="1308"/>
      <c r="I1" s="1308"/>
      <c r="J1" s="1308"/>
      <c r="K1" s="1308"/>
      <c r="L1" s="1308"/>
      <c r="M1" s="1308"/>
      <c r="N1" s="1308"/>
      <c r="O1" s="1308"/>
      <c r="P1" s="1308"/>
      <c r="Q1" s="1308"/>
      <c r="R1" s="1308"/>
      <c r="S1" s="1308"/>
      <c r="T1" s="1308"/>
      <c r="U1" s="1308"/>
      <c r="V1" s="1308"/>
      <c r="W1" s="1308"/>
      <c r="X1" s="1308"/>
      <c r="Y1" s="1308"/>
      <c r="Z1" s="1308"/>
      <c r="AA1" s="1308"/>
      <c r="AB1" s="1308"/>
      <c r="AC1" s="1308"/>
      <c r="AD1" s="1308"/>
      <c r="AE1" s="1308"/>
      <c r="AF1" s="1308"/>
      <c r="AG1" s="1308"/>
    </row>
    <row r="2" spans="1:40" ht="15">
      <c r="A2" s="937"/>
      <c r="B2" s="1308"/>
      <c r="C2" s="1308"/>
      <c r="D2" s="1308"/>
      <c r="E2" s="1308"/>
      <c r="F2" s="1308"/>
      <c r="G2" s="1308"/>
      <c r="H2" s="1308"/>
      <c r="I2" s="1308"/>
      <c r="J2" s="1308"/>
      <c r="K2" s="1308"/>
      <c r="L2" s="1308"/>
      <c r="M2" s="1308"/>
      <c r="N2" s="1308"/>
      <c r="O2" s="1308"/>
      <c r="P2" s="1308"/>
      <c r="Q2" s="1308"/>
      <c r="R2" s="1308"/>
      <c r="S2" s="1308"/>
      <c r="T2" s="1308"/>
      <c r="U2" s="1308"/>
      <c r="V2" s="1308"/>
      <c r="W2" s="1308"/>
      <c r="X2" s="1308"/>
      <c r="Y2" s="1308"/>
      <c r="Z2" s="1308"/>
      <c r="AA2" s="1308"/>
      <c r="AB2" s="1308"/>
      <c r="AC2" s="1308"/>
      <c r="AD2" s="1308"/>
      <c r="AE2" s="1308"/>
      <c r="AF2" s="1308"/>
      <c r="AG2" s="1308"/>
    </row>
    <row r="3" spans="1:40" ht="24" customHeight="1">
      <c r="A3" s="816" t="s">
        <v>0</v>
      </c>
      <c r="B3" s="479"/>
      <c r="C3" s="479"/>
      <c r="D3" s="480"/>
      <c r="E3" s="481"/>
      <c r="F3" s="480"/>
      <c r="G3" s="481"/>
      <c r="H3" s="480"/>
      <c r="I3" s="481"/>
      <c r="K3" s="479"/>
      <c r="L3" s="406"/>
      <c r="M3" s="479"/>
      <c r="N3" s="480"/>
      <c r="O3" s="481"/>
      <c r="P3" s="480"/>
      <c r="Q3" s="481"/>
      <c r="R3" s="480"/>
      <c r="S3" s="481"/>
      <c r="T3" s="480"/>
      <c r="U3" s="481"/>
      <c r="V3" s="480"/>
      <c r="W3" s="481"/>
      <c r="X3" s="480"/>
      <c r="Y3" s="481"/>
      <c r="Z3" s="806" t="s">
        <v>563</v>
      </c>
      <c r="AA3" s="479"/>
      <c r="AC3" s="479"/>
      <c r="AE3" s="479"/>
    </row>
    <row r="4" spans="1:40" ht="16.5">
      <c r="A4" s="816" t="s">
        <v>1377</v>
      </c>
      <c r="B4" s="1309"/>
      <c r="C4" s="1309"/>
      <c r="D4" s="483"/>
      <c r="E4" s="481"/>
      <c r="F4" s="1309"/>
      <c r="G4" s="481"/>
      <c r="H4" s="1309"/>
      <c r="I4" s="481"/>
      <c r="J4" s="1309"/>
      <c r="K4" s="1309"/>
      <c r="L4" s="1309"/>
      <c r="M4" s="484"/>
      <c r="N4" s="1309"/>
      <c r="O4" s="481"/>
      <c r="P4" s="1309"/>
      <c r="Q4" s="481"/>
      <c r="R4" s="1309"/>
      <c r="S4" s="481"/>
      <c r="T4" s="1309"/>
      <c r="U4" s="481"/>
      <c r="V4" s="1309"/>
      <c r="W4" s="481"/>
      <c r="X4" s="1309"/>
      <c r="Y4" s="481"/>
      <c r="Z4" s="1310"/>
      <c r="AA4" s="485"/>
      <c r="AC4" s="479"/>
    </row>
    <row r="5" spans="1:40" ht="16.5">
      <c r="A5" s="817" t="s">
        <v>1164</v>
      </c>
      <c r="B5" s="1309"/>
      <c r="C5" s="1309"/>
      <c r="D5" s="1309"/>
      <c r="E5" s="481"/>
      <c r="F5" s="1309"/>
      <c r="G5" s="481"/>
      <c r="H5" s="1309"/>
      <c r="I5" s="481"/>
      <c r="J5" s="1309"/>
      <c r="K5" s="1309"/>
      <c r="L5" s="1309"/>
      <c r="M5" s="484"/>
      <c r="N5" s="1309"/>
      <c r="O5" s="481"/>
      <c r="P5" s="1309"/>
      <c r="Q5" s="481"/>
      <c r="R5" s="1309"/>
      <c r="S5" s="481"/>
      <c r="T5" s="1309"/>
      <c r="U5" s="481"/>
      <c r="V5" s="1309"/>
      <c r="W5" s="481"/>
      <c r="X5" s="1309"/>
      <c r="Y5" s="481"/>
      <c r="Z5" s="1310"/>
    </row>
    <row r="6" spans="1:40" ht="18" customHeight="1">
      <c r="A6" s="486" t="str">
        <f>'Cashflow Governmental'!A6</f>
        <v xml:space="preserve">FISCAL YEAR 2020-2021   </v>
      </c>
      <c r="B6" s="1309"/>
      <c r="C6" s="1309"/>
      <c r="D6" s="488"/>
      <c r="E6" s="481"/>
      <c r="F6" s="1309"/>
      <c r="G6" s="481"/>
      <c r="H6" s="1309"/>
      <c r="I6" s="481"/>
      <c r="J6" s="1309"/>
      <c r="K6" s="1309"/>
      <c r="L6" s="1309"/>
      <c r="M6" s="484"/>
      <c r="N6" s="1309"/>
      <c r="O6" s="481"/>
      <c r="P6" s="1309"/>
      <c r="Q6" s="481"/>
      <c r="R6" s="1309"/>
      <c r="S6" s="481"/>
      <c r="T6" s="1309"/>
      <c r="U6" s="481"/>
      <c r="V6" s="1309"/>
      <c r="W6" s="481"/>
      <c r="X6" s="1309"/>
      <c r="Y6" s="481"/>
      <c r="Z6" s="1310"/>
    </row>
    <row r="7" spans="1:40" ht="15" customHeight="1">
      <c r="A7" s="487"/>
      <c r="B7" s="1309"/>
      <c r="C7" s="1309"/>
      <c r="D7" s="1309"/>
      <c r="E7" s="481"/>
      <c r="F7" s="1309"/>
      <c r="G7" s="481"/>
      <c r="H7" s="1309"/>
      <c r="I7" s="481"/>
      <c r="J7" s="1309"/>
      <c r="K7" s="1309"/>
      <c r="L7" s="1309"/>
      <c r="M7" s="484"/>
      <c r="N7" s="1309"/>
      <c r="O7" s="481"/>
      <c r="P7" s="1309"/>
      <c r="Q7" s="481"/>
      <c r="R7" s="1311"/>
      <c r="S7" s="481"/>
      <c r="T7" s="1311"/>
      <c r="U7" s="481"/>
      <c r="V7" s="1311"/>
      <c r="W7" s="481"/>
      <c r="X7" s="1311"/>
      <c r="Y7" s="481"/>
      <c r="Z7" s="1310"/>
    </row>
    <row r="8" spans="1:40" ht="15.75">
      <c r="A8" s="478"/>
      <c r="B8" s="1309"/>
      <c r="C8" s="1309"/>
      <c r="D8" s="1309"/>
      <c r="E8" s="481"/>
      <c r="F8" s="1309"/>
      <c r="G8" s="481"/>
      <c r="H8" s="1309"/>
      <c r="I8" s="481"/>
      <c r="J8" s="1309"/>
      <c r="K8" s="1309"/>
      <c r="L8" s="1309"/>
      <c r="M8" s="481"/>
      <c r="N8" s="1309"/>
      <c r="O8" s="481"/>
      <c r="P8" s="1309"/>
      <c r="Q8" s="481"/>
      <c r="R8" s="1309"/>
      <c r="S8" s="481"/>
      <c r="T8" s="1309"/>
      <c r="U8" s="481"/>
      <c r="V8" s="1309"/>
      <c r="W8" s="481"/>
      <c r="X8" s="1309"/>
      <c r="Y8" s="481"/>
      <c r="Z8" s="489"/>
      <c r="AA8" s="490"/>
    </row>
    <row r="9" spans="1:40" ht="15" customHeight="1">
      <c r="A9" s="1312"/>
      <c r="B9" s="909" t="str">
        <f>'Cashflow Governmental'!C13</f>
        <v>2020</v>
      </c>
      <c r="C9" s="491"/>
      <c r="D9" s="491"/>
      <c r="E9" s="484"/>
      <c r="F9" s="491"/>
      <c r="G9" s="484"/>
      <c r="H9" s="491"/>
      <c r="I9" s="484"/>
      <c r="J9" s="491"/>
      <c r="K9" s="491"/>
      <c r="L9" s="492"/>
      <c r="M9" s="484"/>
      <c r="N9" s="492"/>
      <c r="O9" s="484"/>
      <c r="P9" s="492"/>
      <c r="Q9" s="484"/>
      <c r="R9" s="492"/>
      <c r="S9" s="484"/>
      <c r="T9" s="909">
        <f>'Cashflow Governmental'!U13</f>
        <v>2021</v>
      </c>
      <c r="U9" s="484"/>
      <c r="V9" s="492"/>
      <c r="W9" s="484"/>
      <c r="X9" s="492"/>
      <c r="Y9" s="484"/>
      <c r="Z9" s="493" t="s">
        <v>1566</v>
      </c>
      <c r="AA9" s="493"/>
    </row>
    <row r="10" spans="1:40" ht="15" customHeight="1">
      <c r="A10" s="1312"/>
      <c r="B10" s="494" t="s">
        <v>124</v>
      </c>
      <c r="C10" s="495"/>
      <c r="D10" s="492" t="s">
        <v>125</v>
      </c>
      <c r="E10" s="484"/>
      <c r="F10" s="492" t="s">
        <v>126</v>
      </c>
      <c r="G10" s="484"/>
      <c r="H10" s="492" t="s">
        <v>127</v>
      </c>
      <c r="I10" s="484"/>
      <c r="J10" s="492" t="s">
        <v>128</v>
      </c>
      <c r="K10" s="496"/>
      <c r="L10" s="492" t="s">
        <v>143</v>
      </c>
      <c r="M10" s="484"/>
      <c r="N10" s="492" t="s">
        <v>144</v>
      </c>
      <c r="O10" s="484"/>
      <c r="P10" s="492" t="s">
        <v>131</v>
      </c>
      <c r="Q10" s="484"/>
      <c r="R10" s="492" t="s">
        <v>132</v>
      </c>
      <c r="S10" s="484"/>
      <c r="T10" s="492" t="s">
        <v>133</v>
      </c>
      <c r="U10" s="484"/>
      <c r="V10" s="492" t="s">
        <v>134</v>
      </c>
      <c r="W10" s="484"/>
      <c r="X10" s="492" t="s">
        <v>185</v>
      </c>
      <c r="Y10" s="484"/>
      <c r="Z10" s="497" t="s">
        <v>1550</v>
      </c>
      <c r="AA10" s="497"/>
    </row>
    <row r="11" spans="1:40" ht="15" customHeight="1">
      <c r="A11" s="1312"/>
      <c r="B11" s="1575" t="s">
        <v>15</v>
      </c>
      <c r="C11" s="1313"/>
      <c r="D11" s="1575" t="s">
        <v>15</v>
      </c>
      <c r="E11" s="1314"/>
      <c r="F11" s="1575" t="s">
        <v>15</v>
      </c>
      <c r="G11" s="1314"/>
      <c r="H11" s="1575" t="s">
        <v>15</v>
      </c>
      <c r="I11" s="1314"/>
      <c r="J11" s="1575" t="s">
        <v>15</v>
      </c>
      <c r="K11" s="496"/>
      <c r="L11" s="1575" t="s">
        <v>15</v>
      </c>
      <c r="M11" s="1314"/>
      <c r="N11" s="1575" t="s">
        <v>15</v>
      </c>
      <c r="O11" s="1314"/>
      <c r="P11" s="1575" t="s">
        <v>15</v>
      </c>
      <c r="Q11" s="1314"/>
      <c r="R11" s="1575" t="s">
        <v>15</v>
      </c>
      <c r="S11" s="1314"/>
      <c r="T11" s="1575" t="s">
        <v>15</v>
      </c>
      <c r="U11" s="1314"/>
      <c r="V11" s="1575" t="s">
        <v>15</v>
      </c>
      <c r="W11" s="1314"/>
      <c r="X11" s="1575" t="s">
        <v>15</v>
      </c>
      <c r="Y11" s="1314"/>
      <c r="Z11" s="1574" t="s">
        <v>15</v>
      </c>
      <c r="AB11" s="498"/>
      <c r="AC11" s="498"/>
      <c r="AD11" s="498"/>
      <c r="AE11" s="498"/>
      <c r="AF11" s="498"/>
      <c r="AG11" s="498"/>
      <c r="AH11" s="498"/>
      <c r="AI11" s="498"/>
      <c r="AJ11" s="498"/>
      <c r="AK11" s="498"/>
      <c r="AL11" s="498"/>
      <c r="AM11" s="498"/>
      <c r="AN11" s="498"/>
    </row>
    <row r="12" spans="1:40" s="503" customFormat="1" ht="15" customHeight="1">
      <c r="A12" s="818" t="s">
        <v>471</v>
      </c>
      <c r="B12" s="512">
        <v>86513214</v>
      </c>
      <c r="C12" s="500"/>
      <c r="D12" s="499">
        <f>B45</f>
        <v>49126483</v>
      </c>
      <c r="E12" s="1315"/>
      <c r="F12" s="499">
        <f>D45</f>
        <v>42662065</v>
      </c>
      <c r="G12" s="1315"/>
      <c r="H12" s="499">
        <f>F45</f>
        <v>7636110</v>
      </c>
      <c r="I12" s="1315"/>
      <c r="J12" s="499">
        <f>H45</f>
        <v>165822096</v>
      </c>
      <c r="K12" s="501"/>
      <c r="L12" s="499">
        <f>J45</f>
        <v>101117004</v>
      </c>
      <c r="M12" s="502"/>
      <c r="N12" s="499">
        <f>L45</f>
        <v>90519037</v>
      </c>
      <c r="O12" s="499"/>
      <c r="P12" s="499">
        <f>N45</f>
        <v>33132009</v>
      </c>
      <c r="Q12" s="499"/>
      <c r="R12" s="499">
        <f>P45</f>
        <v>34311372</v>
      </c>
      <c r="S12" s="499"/>
      <c r="T12" s="499">
        <f>R45</f>
        <v>65037383</v>
      </c>
      <c r="U12" s="499"/>
      <c r="V12" s="499"/>
      <c r="W12" s="499"/>
      <c r="X12" s="499"/>
      <c r="Y12" s="499"/>
      <c r="Z12" s="499">
        <f>+B12</f>
        <v>86513214</v>
      </c>
    </row>
    <row r="13" spans="1:40" ht="15" customHeight="1">
      <c r="A13" s="1316"/>
      <c r="B13" s="1317"/>
      <c r="C13" s="1318"/>
      <c r="D13" s="1317"/>
      <c r="E13" s="1317"/>
      <c r="F13" s="1317"/>
      <c r="G13" s="1317"/>
      <c r="H13" s="1317"/>
      <c r="I13" s="1317"/>
      <c r="J13" s="1317"/>
      <c r="K13" s="496"/>
      <c r="L13" s="1317"/>
      <c r="M13" s="1317"/>
      <c r="N13" s="1317"/>
      <c r="O13" s="1317"/>
      <c r="P13" s="1317"/>
      <c r="Q13" s="1317"/>
      <c r="R13" s="1317"/>
      <c r="S13" s="1317"/>
      <c r="T13" s="1317"/>
      <c r="U13" s="1317"/>
      <c r="V13" s="1317"/>
      <c r="W13" s="1317"/>
      <c r="X13" s="1317"/>
      <c r="Y13" s="1317"/>
      <c r="Z13" s="1319"/>
    </row>
    <row r="14" spans="1:40" ht="15" customHeight="1">
      <c r="A14" s="504" t="s">
        <v>14</v>
      </c>
      <c r="B14" s="1317"/>
      <c r="C14" s="1318"/>
      <c r="D14" s="1317"/>
      <c r="E14" s="1317"/>
      <c r="F14" s="1317"/>
      <c r="G14" s="1317"/>
      <c r="H14" s="1317"/>
      <c r="I14" s="1317"/>
      <c r="J14" s="1317"/>
      <c r="K14" s="1317"/>
      <c r="L14" s="1317"/>
      <c r="M14" s="1317"/>
      <c r="N14" s="1317"/>
      <c r="O14" s="1317"/>
      <c r="P14" s="1317"/>
      <c r="Q14" s="1317"/>
      <c r="R14" s="1317"/>
      <c r="S14" s="1317"/>
      <c r="T14" s="1317"/>
      <c r="U14" s="1317"/>
      <c r="V14" s="1317"/>
      <c r="W14" s="1317"/>
      <c r="X14" s="1317"/>
      <c r="Y14" s="1317"/>
      <c r="Z14" s="1319"/>
      <c r="AC14" s="1867"/>
    </row>
    <row r="15" spans="1:40" ht="15" customHeight="1">
      <c r="A15" s="819" t="s">
        <v>1218</v>
      </c>
      <c r="B15" s="1325">
        <v>0</v>
      </c>
      <c r="C15" s="1326"/>
      <c r="D15" s="1325">
        <v>0</v>
      </c>
      <c r="E15" s="1325"/>
      <c r="F15" s="1325">
        <v>0</v>
      </c>
      <c r="G15" s="1320"/>
      <c r="H15" s="1325">
        <v>204000000</v>
      </c>
      <c r="I15" s="1320"/>
      <c r="J15" s="1867">
        <v>0</v>
      </c>
      <c r="K15" s="1320"/>
      <c r="L15" s="1325">
        <v>0</v>
      </c>
      <c r="M15" s="1317"/>
      <c r="N15" s="1325">
        <v>0</v>
      </c>
      <c r="O15" s="1320"/>
      <c r="P15" s="1325">
        <v>40000000</v>
      </c>
      <c r="Q15" s="1320"/>
      <c r="R15" s="1325">
        <v>68967000</v>
      </c>
      <c r="S15" s="1320"/>
      <c r="T15" s="1325">
        <v>50000000</v>
      </c>
      <c r="U15" s="1320"/>
      <c r="V15" s="1325"/>
      <c r="W15" s="1320"/>
      <c r="X15" s="1325"/>
      <c r="Y15" s="1320"/>
      <c r="Z15" s="1322">
        <f>SUM(B15:X15)</f>
        <v>362967000</v>
      </c>
    </row>
    <row r="16" spans="1:40" ht="15" customHeight="1">
      <c r="A16" s="819" t="s">
        <v>1463</v>
      </c>
      <c r="B16" s="1325">
        <v>0</v>
      </c>
      <c r="C16" s="1326"/>
      <c r="D16" s="1325">
        <v>0</v>
      </c>
      <c r="E16" s="1325"/>
      <c r="F16" s="1325">
        <v>0</v>
      </c>
      <c r="G16" s="1320"/>
      <c r="H16" s="1325">
        <v>0</v>
      </c>
      <c r="I16" s="1320"/>
      <c r="J16" s="1867">
        <v>0</v>
      </c>
      <c r="K16" s="1320"/>
      <c r="L16" s="1325">
        <v>0</v>
      </c>
      <c r="M16" s="1317"/>
      <c r="N16" s="1325">
        <v>0</v>
      </c>
      <c r="O16" s="1320"/>
      <c r="P16" s="1325">
        <v>0</v>
      </c>
      <c r="Q16" s="1320"/>
      <c r="R16" s="1325">
        <v>0</v>
      </c>
      <c r="S16" s="1320"/>
      <c r="T16" s="1325">
        <v>0</v>
      </c>
      <c r="U16" s="1320"/>
      <c r="V16" s="1325"/>
      <c r="W16" s="1320"/>
      <c r="X16" s="1325"/>
      <c r="Y16" s="1320"/>
      <c r="Z16" s="1322">
        <f>SUM(B16:X16)</f>
        <v>0</v>
      </c>
    </row>
    <row r="17" spans="1:28" s="503" customFormat="1" ht="22.5" customHeight="1">
      <c r="A17" s="504" t="s">
        <v>150</v>
      </c>
      <c r="B17" s="1573">
        <f>ROUND(SUM(B15:B16),0)</f>
        <v>0</v>
      </c>
      <c r="C17" s="505"/>
      <c r="D17" s="1573">
        <f>ROUND(SUM(D15:D16),0)</f>
        <v>0</v>
      </c>
      <c r="E17" s="506"/>
      <c r="F17" s="1573">
        <f>ROUND(SUM(F15:F16),0)</f>
        <v>0</v>
      </c>
      <c r="G17" s="506"/>
      <c r="H17" s="1573">
        <f>ROUND(SUM(H15:H16),0)</f>
        <v>204000000</v>
      </c>
      <c r="I17" s="506"/>
      <c r="J17" s="1573">
        <f>ROUND(SUM(J15:J16),0)</f>
        <v>0</v>
      </c>
      <c r="K17" s="508"/>
      <c r="L17" s="1573">
        <f>ROUND(SUM(L15:L16),0)</f>
        <v>0</v>
      </c>
      <c r="M17" s="502"/>
      <c r="N17" s="1573">
        <f>ROUND(SUM(N15:N16),0)</f>
        <v>0</v>
      </c>
      <c r="O17" s="506"/>
      <c r="P17" s="1573">
        <f>ROUND(SUM(P15:P16),0)</f>
        <v>40000000</v>
      </c>
      <c r="Q17" s="506"/>
      <c r="R17" s="1573">
        <f>ROUND(SUM(R15:R16),0)</f>
        <v>68967000</v>
      </c>
      <c r="S17" s="506"/>
      <c r="T17" s="1573">
        <f>ROUND(SUM(T15:T16),0)</f>
        <v>50000000</v>
      </c>
      <c r="U17" s="506"/>
      <c r="V17" s="1573">
        <f>ROUND(SUM(V15:V16),0)</f>
        <v>0</v>
      </c>
      <c r="W17" s="506"/>
      <c r="X17" s="1573">
        <f>ROUND(SUM(X15:X16),0)</f>
        <v>0</v>
      </c>
      <c r="Y17" s="506"/>
      <c r="Z17" s="1573">
        <f>ROUND(SUM(Z15:Z16),0)</f>
        <v>362967000</v>
      </c>
      <c r="AB17" s="408"/>
    </row>
    <row r="18" spans="1:28" ht="15" customHeight="1">
      <c r="A18" s="1316"/>
      <c r="B18" s="1320"/>
      <c r="C18" s="1321"/>
      <c r="D18" s="1320"/>
      <c r="E18" s="1320"/>
      <c r="F18" s="1320"/>
      <c r="G18" s="1320"/>
      <c r="H18" s="1320"/>
      <c r="I18" s="1320"/>
      <c r="J18" s="1320"/>
      <c r="K18" s="1320"/>
      <c r="L18" s="1320"/>
      <c r="M18" s="1317"/>
      <c r="N18" s="1320"/>
      <c r="O18" s="1320"/>
      <c r="P18" s="1320"/>
      <c r="Q18" s="1320"/>
      <c r="R18" s="1320"/>
      <c r="S18" s="1320"/>
      <c r="T18" s="1320"/>
      <c r="U18" s="1320"/>
      <c r="V18" s="1320"/>
      <c r="W18" s="1320"/>
      <c r="X18" s="1320"/>
      <c r="Y18" s="1320"/>
      <c r="Z18" s="1324"/>
    </row>
    <row r="19" spans="1:28" ht="15" customHeight="1">
      <c r="A19" s="504" t="s">
        <v>23</v>
      </c>
      <c r="B19" s="1320"/>
      <c r="C19" s="1321"/>
      <c r="D19" s="1320"/>
      <c r="E19" s="1320"/>
      <c r="F19" s="1320"/>
      <c r="G19" s="1320"/>
      <c r="H19" s="1320"/>
      <c r="I19" s="1320"/>
      <c r="J19" s="1320"/>
      <c r="K19" s="1320"/>
      <c r="L19" s="1325"/>
      <c r="M19" s="1327"/>
      <c r="N19" s="1325"/>
      <c r="O19" s="1320"/>
      <c r="P19" s="1320"/>
      <c r="Q19" s="1320"/>
      <c r="R19" s="1320"/>
      <c r="S19" s="1320"/>
      <c r="T19" s="1320"/>
      <c r="U19" s="1320"/>
      <c r="V19" s="1320"/>
      <c r="W19" s="1320"/>
      <c r="X19" s="1320"/>
      <c r="Y19" s="1320"/>
      <c r="Z19" s="1322"/>
    </row>
    <row r="20" spans="1:28" ht="15" customHeight="1">
      <c r="A20" s="819" t="s">
        <v>1263</v>
      </c>
      <c r="B20" s="1320">
        <v>0</v>
      </c>
      <c r="C20" s="1321"/>
      <c r="D20" s="1320">
        <v>0</v>
      </c>
      <c r="E20" s="1320"/>
      <c r="F20" s="1320">
        <v>9481</v>
      </c>
      <c r="G20" s="1320"/>
      <c r="H20" s="1320">
        <v>533024</v>
      </c>
      <c r="I20" s="1320"/>
      <c r="J20" s="1320">
        <v>0</v>
      </c>
      <c r="K20" s="1320"/>
      <c r="L20" s="1325">
        <f>415672-1</f>
        <v>415671</v>
      </c>
      <c r="M20" s="1327"/>
      <c r="N20" s="1325">
        <v>516927</v>
      </c>
      <c r="O20" s="1320"/>
      <c r="P20" s="1320">
        <v>83421</v>
      </c>
      <c r="Q20" s="1320"/>
      <c r="R20" s="1320">
        <v>0</v>
      </c>
      <c r="S20" s="1320"/>
      <c r="T20" s="1320">
        <v>1251345.83</v>
      </c>
      <c r="U20" s="1320"/>
      <c r="V20" s="1320"/>
      <c r="W20" s="1320"/>
      <c r="X20" s="1320"/>
      <c r="Y20" s="1320"/>
      <c r="Z20" s="1322">
        <f>ROUND(SUM(B20:X20),0)</f>
        <v>2809870</v>
      </c>
    </row>
    <row r="21" spans="1:28" ht="15" customHeight="1">
      <c r="A21" s="819" t="s">
        <v>1217</v>
      </c>
      <c r="B21" s="1320">
        <v>1735855</v>
      </c>
      <c r="C21" s="1326"/>
      <c r="D21" s="1325">
        <v>1420080</v>
      </c>
      <c r="E21" s="1325"/>
      <c r="F21" s="1325">
        <v>0</v>
      </c>
      <c r="G21" s="1325"/>
      <c r="H21" s="1325">
        <v>6989621</v>
      </c>
      <c r="I21" s="1325"/>
      <c r="J21" s="1325">
        <v>0</v>
      </c>
      <c r="K21" s="1325"/>
      <c r="L21" s="1325">
        <f>47334</f>
        <v>47334</v>
      </c>
      <c r="M21" s="1327"/>
      <c r="N21" s="1325">
        <v>7596310</v>
      </c>
      <c r="O21" s="1325"/>
      <c r="P21" s="1325">
        <v>707298</v>
      </c>
      <c r="Q21" s="1325"/>
      <c r="R21" s="1325">
        <v>5896535.6399999997</v>
      </c>
      <c r="S21" s="1325"/>
      <c r="T21" s="1325">
        <v>0</v>
      </c>
      <c r="U21" s="1325"/>
      <c r="V21" s="1325"/>
      <c r="W21" s="1325"/>
      <c r="X21" s="1325"/>
      <c r="Y21" s="1325"/>
      <c r="Z21" s="1322">
        <f>ROUND(SUM(B21:X21),0)-1</f>
        <v>24393033</v>
      </c>
    </row>
    <row r="22" spans="1:28" ht="15" customHeight="1">
      <c r="A22" s="819" t="s">
        <v>1293</v>
      </c>
      <c r="B22" s="1320">
        <v>0</v>
      </c>
      <c r="C22" s="1326"/>
      <c r="D22" s="1325">
        <v>0</v>
      </c>
      <c r="E22" s="1325"/>
      <c r="F22" s="1325">
        <v>0</v>
      </c>
      <c r="G22" s="1325"/>
      <c r="H22" s="1325">
        <v>0</v>
      </c>
      <c r="I22" s="1325"/>
      <c r="J22" s="1325">
        <v>0</v>
      </c>
      <c r="K22" s="1325"/>
      <c r="L22" s="1325">
        <f>250000</f>
        <v>250000</v>
      </c>
      <c r="M22" s="1327"/>
      <c r="N22" s="1325">
        <f>455489</f>
        <v>455489</v>
      </c>
      <c r="O22" s="1325"/>
      <c r="P22" s="1325">
        <v>415518</v>
      </c>
      <c r="Q22" s="1325"/>
      <c r="R22" s="1325">
        <v>239111.6</v>
      </c>
      <c r="S22" s="1325"/>
      <c r="T22" s="1325">
        <v>0</v>
      </c>
      <c r="U22" s="1325"/>
      <c r="V22" s="1325"/>
      <c r="W22" s="1325"/>
      <c r="X22" s="1325"/>
      <c r="Y22" s="1325"/>
      <c r="Z22" s="1322">
        <f>ROUND(SUM(B22:X22),0)-1</f>
        <v>1360118</v>
      </c>
      <c r="AB22" s="3414"/>
    </row>
    <row r="23" spans="1:28" ht="15" customHeight="1">
      <c r="A23" s="819" t="s">
        <v>1270</v>
      </c>
      <c r="B23" s="1320">
        <v>2457343</v>
      </c>
      <c r="C23" s="1326"/>
      <c r="D23" s="1325">
        <v>88175</v>
      </c>
      <c r="E23" s="1325"/>
      <c r="F23" s="1325">
        <v>0</v>
      </c>
      <c r="G23" s="1325"/>
      <c r="H23" s="1325">
        <v>1071138</v>
      </c>
      <c r="I23" s="1325"/>
      <c r="J23" s="1325">
        <v>565275</v>
      </c>
      <c r="K23" s="1325"/>
      <c r="L23" s="1325">
        <f>2517997</f>
        <v>2517997</v>
      </c>
      <c r="M23" s="1327"/>
      <c r="N23" s="1325">
        <v>1963105</v>
      </c>
      <c r="O23" s="1325"/>
      <c r="P23" s="1325">
        <v>329081</v>
      </c>
      <c r="Q23" s="1325"/>
      <c r="R23" s="1325">
        <v>444697.57</v>
      </c>
      <c r="S23" s="1325"/>
      <c r="T23" s="1325">
        <v>947002.4</v>
      </c>
      <c r="U23" s="1325"/>
      <c r="V23" s="1325"/>
      <c r="W23" s="1325"/>
      <c r="X23" s="1325"/>
      <c r="Y23" s="1325"/>
      <c r="Z23" s="1322">
        <f>ROUND(SUM(B23:X23),0)-1</f>
        <v>10383813</v>
      </c>
    </row>
    <row r="24" spans="1:28" ht="15" customHeight="1">
      <c r="A24" s="819" t="s">
        <v>1472</v>
      </c>
      <c r="B24" s="1320">
        <v>2586638</v>
      </c>
      <c r="C24" s="1326"/>
      <c r="D24" s="1325">
        <v>3634367</v>
      </c>
      <c r="E24" s="1325"/>
      <c r="F24" s="1325">
        <v>1781021</v>
      </c>
      <c r="G24" s="1325"/>
      <c r="H24" s="1325">
        <v>298010</v>
      </c>
      <c r="I24" s="1325"/>
      <c r="J24" s="1325">
        <v>2275903</v>
      </c>
      <c r="K24" s="1325"/>
      <c r="L24" s="1325">
        <f>643795</f>
        <v>643795</v>
      </c>
      <c r="M24" s="1327"/>
      <c r="N24" s="1325">
        <v>468438</v>
      </c>
      <c r="O24" s="1325"/>
      <c r="P24" s="1325">
        <v>105191</v>
      </c>
      <c r="Q24" s="1325"/>
      <c r="R24" s="1325">
        <v>736002.8</v>
      </c>
      <c r="S24" s="1325"/>
      <c r="T24" s="1325">
        <v>0</v>
      </c>
      <c r="U24" s="1325"/>
      <c r="V24" s="1325"/>
      <c r="W24" s="1325"/>
      <c r="X24" s="1325"/>
      <c r="Y24" s="1325"/>
      <c r="Z24" s="1322">
        <f>ROUND(SUM(B24:X24),0)</f>
        <v>12529366</v>
      </c>
    </row>
    <row r="25" spans="1:28" ht="15" customHeight="1">
      <c r="A25" s="819" t="s">
        <v>1307</v>
      </c>
      <c r="B25" s="1320">
        <v>0</v>
      </c>
      <c r="C25" s="1326"/>
      <c r="D25" s="1325">
        <v>0</v>
      </c>
      <c r="E25" s="1325"/>
      <c r="F25" s="1325">
        <v>0</v>
      </c>
      <c r="G25" s="1325"/>
      <c r="H25" s="1325">
        <v>0</v>
      </c>
      <c r="I25" s="1325"/>
      <c r="J25" s="1325">
        <v>0</v>
      </c>
      <c r="K25" s="1325"/>
      <c r="L25" s="1325">
        <v>0</v>
      </c>
      <c r="M25" s="1327"/>
      <c r="N25" s="1325">
        <v>0</v>
      </c>
      <c r="O25" s="1325"/>
      <c r="P25" s="1325">
        <v>0</v>
      </c>
      <c r="Q25" s="1325"/>
      <c r="R25" s="1325">
        <v>0</v>
      </c>
      <c r="S25" s="1325"/>
      <c r="T25" s="1325">
        <v>0</v>
      </c>
      <c r="U25" s="1325"/>
      <c r="V25" s="1325"/>
      <c r="W25" s="1325"/>
      <c r="X25" s="1325"/>
      <c r="Y25" s="1325"/>
      <c r="Z25" s="1322">
        <f>ROUND(SUM(B25:X25),0)</f>
        <v>0</v>
      </c>
    </row>
    <row r="26" spans="1:28" ht="15" customHeight="1">
      <c r="A26" s="819" t="s">
        <v>1216</v>
      </c>
      <c r="B26" s="1320">
        <v>0</v>
      </c>
      <c r="C26" s="1326"/>
      <c r="D26" s="1325">
        <v>0</v>
      </c>
      <c r="E26" s="1325"/>
      <c r="F26" s="1325">
        <v>5540794</v>
      </c>
      <c r="G26" s="1325"/>
      <c r="H26" s="1325">
        <v>1292017</v>
      </c>
      <c r="I26" s="1325"/>
      <c r="J26" s="1325">
        <v>2270353</v>
      </c>
      <c r="K26" s="1325"/>
      <c r="L26" s="1325">
        <f>144374</f>
        <v>144374</v>
      </c>
      <c r="M26" s="1327"/>
      <c r="N26" s="1325">
        <v>4447962</v>
      </c>
      <c r="O26" s="1325"/>
      <c r="P26" s="1325">
        <v>792375</v>
      </c>
      <c r="Q26" s="1325"/>
      <c r="R26" s="1325">
        <v>6319849.9299999997</v>
      </c>
      <c r="S26" s="1325"/>
      <c r="T26" s="1325">
        <v>469</v>
      </c>
      <c r="U26" s="1325"/>
      <c r="V26" s="1325"/>
      <c r="W26" s="1325"/>
      <c r="X26" s="1325"/>
      <c r="Y26" s="1325"/>
      <c r="Z26" s="1322">
        <f>ROUND(SUM(B26:X26),0)+1</f>
        <v>20808195</v>
      </c>
    </row>
    <row r="27" spans="1:28" ht="15" customHeight="1">
      <c r="A27" s="819" t="s">
        <v>1285</v>
      </c>
      <c r="B27" s="1320">
        <v>0</v>
      </c>
      <c r="C27" s="1326"/>
      <c r="D27" s="1325">
        <v>0</v>
      </c>
      <c r="E27" s="1325"/>
      <c r="F27" s="1325">
        <v>0</v>
      </c>
      <c r="G27" s="1325"/>
      <c r="H27" s="1325">
        <v>0</v>
      </c>
      <c r="I27" s="1325"/>
      <c r="J27" s="1325">
        <v>55700000</v>
      </c>
      <c r="K27" s="1325"/>
      <c r="L27" s="1325">
        <v>0</v>
      </c>
      <c r="M27" s="1327"/>
      <c r="N27" s="1325">
        <v>22620551</v>
      </c>
      <c r="O27" s="1325"/>
      <c r="P27" s="1325">
        <v>28198264</v>
      </c>
      <c r="Q27" s="1325"/>
      <c r="R27" s="1325">
        <v>0</v>
      </c>
      <c r="S27" s="1325"/>
      <c r="T27" s="1325">
        <v>32443444</v>
      </c>
      <c r="U27" s="1325"/>
      <c r="V27" s="1325"/>
      <c r="W27" s="1325"/>
      <c r="X27" s="1325"/>
      <c r="Y27" s="1325"/>
      <c r="Z27" s="1322">
        <f>ROUND(SUM(B27:X27),0)</f>
        <v>138962259</v>
      </c>
    </row>
    <row r="28" spans="1:28" ht="14.85" customHeight="1">
      <c r="A28" s="819" t="s">
        <v>1294</v>
      </c>
      <c r="B28" s="1320">
        <v>2500000</v>
      </c>
      <c r="C28" s="1326"/>
      <c r="D28" s="1325">
        <v>1500000</v>
      </c>
      <c r="E28" s="1325"/>
      <c r="F28" s="1325">
        <v>0</v>
      </c>
      <c r="G28" s="1325"/>
      <c r="H28" s="1325">
        <v>0</v>
      </c>
      <c r="I28" s="1325"/>
      <c r="J28" s="1325">
        <v>0</v>
      </c>
      <c r="K28" s="1325"/>
      <c r="L28" s="1325">
        <v>0</v>
      </c>
      <c r="M28" s="1327"/>
      <c r="N28" s="1325">
        <v>5811363</v>
      </c>
      <c r="O28" s="1325"/>
      <c r="P28" s="1325">
        <v>0</v>
      </c>
      <c r="Q28" s="1325"/>
      <c r="R28" s="1325">
        <v>0</v>
      </c>
      <c r="S28" s="1325"/>
      <c r="T28" s="1325">
        <v>0</v>
      </c>
      <c r="U28" s="1325"/>
      <c r="V28" s="1325"/>
      <c r="W28" s="1325"/>
      <c r="X28" s="1325"/>
      <c r="Y28" s="1325"/>
      <c r="Z28" s="1322">
        <f t="shared" ref="Z28:Z32" si="0">ROUND(SUM(B28:X28),0)</f>
        <v>9811363</v>
      </c>
    </row>
    <row r="29" spans="1:28" ht="15" customHeight="1">
      <c r="A29" s="819" t="s">
        <v>1290</v>
      </c>
      <c r="B29" s="1320">
        <v>3054840</v>
      </c>
      <c r="C29" s="1326"/>
      <c r="D29" s="1325">
        <v>-2778292</v>
      </c>
      <c r="E29" s="1325"/>
      <c r="F29" s="1325">
        <v>0</v>
      </c>
      <c r="G29" s="1325"/>
      <c r="H29" s="1325">
        <v>562372</v>
      </c>
      <c r="I29" s="1325"/>
      <c r="J29" s="1325">
        <v>0</v>
      </c>
      <c r="K29" s="1325"/>
      <c r="L29" s="1325">
        <f>830000</f>
        <v>830000</v>
      </c>
      <c r="M29" s="1327"/>
      <c r="N29" s="1325">
        <v>2063090</v>
      </c>
      <c r="O29" s="1325"/>
      <c r="P29" s="1325">
        <v>1237295</v>
      </c>
      <c r="Q29" s="1325"/>
      <c r="R29" s="1325">
        <v>503423.19</v>
      </c>
      <c r="S29" s="1325"/>
      <c r="T29" s="1325">
        <v>701626.82</v>
      </c>
      <c r="U29" s="1325"/>
      <c r="V29" s="1325"/>
      <c r="W29" s="1325"/>
      <c r="X29" s="1325"/>
      <c r="Y29" s="1325"/>
      <c r="Z29" s="1322">
        <f>ROUND(SUM(B29:X29),0)+1</f>
        <v>6174356</v>
      </c>
    </row>
    <row r="30" spans="1:28" ht="15" customHeight="1">
      <c r="A30" s="819" t="s">
        <v>1215</v>
      </c>
      <c r="B30" s="1320">
        <v>0</v>
      </c>
      <c r="C30" s="1326"/>
      <c r="D30" s="1325">
        <v>0</v>
      </c>
      <c r="E30" s="1325"/>
      <c r="F30" s="1325">
        <v>0</v>
      </c>
      <c r="G30" s="1325"/>
      <c r="H30" s="1325">
        <v>0</v>
      </c>
      <c r="I30" s="1325"/>
      <c r="J30" s="1325">
        <v>0</v>
      </c>
      <c r="K30" s="1325"/>
      <c r="L30" s="1325">
        <v>0</v>
      </c>
      <c r="M30" s="1327"/>
      <c r="N30" s="1325">
        <v>0</v>
      </c>
      <c r="O30" s="1325"/>
      <c r="P30" s="1325">
        <v>0</v>
      </c>
      <c r="Q30" s="1325"/>
      <c r="R30" s="1325">
        <v>0</v>
      </c>
      <c r="S30" s="1325"/>
      <c r="T30" s="1325">
        <v>0</v>
      </c>
      <c r="U30" s="1325"/>
      <c r="V30" s="1325"/>
      <c r="W30" s="1325"/>
      <c r="X30" s="1325"/>
      <c r="Y30" s="1325"/>
      <c r="Z30" s="1322">
        <f t="shared" si="0"/>
        <v>0</v>
      </c>
    </row>
    <row r="31" spans="1:28" ht="15" customHeight="1">
      <c r="A31" s="819" t="s">
        <v>1248</v>
      </c>
      <c r="B31" s="1320">
        <v>0</v>
      </c>
      <c r="C31" s="1326"/>
      <c r="D31" s="1325">
        <v>0</v>
      </c>
      <c r="E31" s="1325"/>
      <c r="F31" s="1325">
        <v>0</v>
      </c>
      <c r="G31" s="1325"/>
      <c r="H31" s="1325">
        <v>0</v>
      </c>
      <c r="I31" s="1325"/>
      <c r="J31" s="1325">
        <v>-6035</v>
      </c>
      <c r="K31" s="1325"/>
      <c r="L31" s="1325">
        <v>0</v>
      </c>
      <c r="M31" s="1327"/>
      <c r="N31" s="1325">
        <v>-10425</v>
      </c>
      <c r="O31" s="1325"/>
      <c r="P31" s="1325">
        <v>0</v>
      </c>
      <c r="Q31" s="1325"/>
      <c r="R31" s="1325">
        <v>0</v>
      </c>
      <c r="S31" s="1325"/>
      <c r="T31" s="1325">
        <v>414460.43</v>
      </c>
      <c r="U31" s="1325"/>
      <c r="V31" s="1325"/>
      <c r="W31" s="1325"/>
      <c r="X31" s="1325"/>
      <c r="Y31" s="1325"/>
      <c r="Z31" s="1322">
        <f>ROUND(SUM(B31:X31),0)+1</f>
        <v>398001</v>
      </c>
      <c r="AA31" s="1735"/>
      <c r="AB31" s="1735"/>
    </row>
    <row r="32" spans="1:28" ht="15" customHeight="1">
      <c r="A32" s="819" t="s">
        <v>1214</v>
      </c>
      <c r="B32" s="1320">
        <v>0</v>
      </c>
      <c r="C32" s="1326"/>
      <c r="D32" s="1325">
        <v>0</v>
      </c>
      <c r="E32" s="1325"/>
      <c r="F32" s="1325">
        <v>0</v>
      </c>
      <c r="G32" s="1325"/>
      <c r="H32" s="1325">
        <v>30000</v>
      </c>
      <c r="I32" s="1325"/>
      <c r="J32" s="1325">
        <v>55274</v>
      </c>
      <c r="K32" s="1325"/>
      <c r="L32" s="1325">
        <f>-14282</f>
        <v>-14282</v>
      </c>
      <c r="M32" s="1327"/>
      <c r="N32" s="1325">
        <v>20642</v>
      </c>
      <c r="O32" s="1325"/>
      <c r="P32" s="1325">
        <v>24655.66</v>
      </c>
      <c r="Q32" s="1325"/>
      <c r="R32" s="1325">
        <v>-4552</v>
      </c>
      <c r="S32" s="1325"/>
      <c r="T32" s="1325">
        <v>0</v>
      </c>
      <c r="U32" s="1325"/>
      <c r="V32" s="1325"/>
      <c r="W32" s="1325"/>
      <c r="X32" s="1325"/>
      <c r="Y32" s="1325"/>
      <c r="Z32" s="1322">
        <f t="shared" si="0"/>
        <v>111738</v>
      </c>
    </row>
    <row r="33" spans="1:28" ht="15" customHeight="1">
      <c r="A33" s="819" t="s">
        <v>1213</v>
      </c>
      <c r="B33" s="1320">
        <v>0</v>
      </c>
      <c r="C33" s="1326"/>
      <c r="D33" s="1325">
        <v>0</v>
      </c>
      <c r="E33" s="1325"/>
      <c r="F33" s="1325">
        <v>22587449</v>
      </c>
      <c r="G33" s="1325"/>
      <c r="H33" s="1325">
        <v>24055020</v>
      </c>
      <c r="I33" s="1325"/>
      <c r="J33" s="1325">
        <v>2944322</v>
      </c>
      <c r="K33" s="1325"/>
      <c r="L33" s="1325">
        <f>4284913-1</f>
        <v>4284912</v>
      </c>
      <c r="M33" s="1327"/>
      <c r="N33" s="1325">
        <v>0</v>
      </c>
      <c r="O33" s="1325"/>
      <c r="P33" s="1325">
        <v>0</v>
      </c>
      <c r="Q33" s="1325"/>
      <c r="R33" s="1325">
        <v>0</v>
      </c>
      <c r="S33" s="1325"/>
      <c r="T33" s="1325">
        <v>0</v>
      </c>
      <c r="U33" s="1325"/>
      <c r="V33" s="1325"/>
      <c r="W33" s="1325"/>
      <c r="X33" s="1325"/>
      <c r="Y33" s="1325"/>
      <c r="Z33" s="1322">
        <f>ROUND(SUM(B33:X33),0)+1</f>
        <v>53871704</v>
      </c>
    </row>
    <row r="34" spans="1:28" ht="15" customHeight="1">
      <c r="A34" s="819" t="s">
        <v>1212</v>
      </c>
      <c r="B34" s="1320">
        <v>10440876</v>
      </c>
      <c r="C34" s="1326"/>
      <c r="D34" s="1325">
        <v>79325</v>
      </c>
      <c r="E34" s="1325"/>
      <c r="F34" s="1325">
        <v>4746161</v>
      </c>
      <c r="G34" s="1325"/>
      <c r="H34" s="1325">
        <v>282274</v>
      </c>
      <c r="I34" s="1325"/>
      <c r="J34" s="1325">
        <v>0</v>
      </c>
      <c r="K34" s="1325"/>
      <c r="L34" s="1325">
        <f>1478166</f>
        <v>1478166</v>
      </c>
      <c r="M34" s="1327"/>
      <c r="N34" s="1325">
        <v>5814301</v>
      </c>
      <c r="O34" s="1325"/>
      <c r="P34" s="1325">
        <v>4625918.2300000004</v>
      </c>
      <c r="Q34" s="1325"/>
      <c r="R34" s="1325">
        <v>11485751.59</v>
      </c>
      <c r="S34" s="1325"/>
      <c r="T34" s="1325">
        <v>70474.240000000005</v>
      </c>
      <c r="U34" s="1325"/>
      <c r="V34" s="1325"/>
      <c r="W34" s="1325"/>
      <c r="X34" s="1325"/>
      <c r="Y34" s="1325"/>
      <c r="Z34" s="1322">
        <f>ROUND(SUM(B34:X34),0)-1</f>
        <v>39023246</v>
      </c>
    </row>
    <row r="35" spans="1:28" ht="15" customHeight="1">
      <c r="A35" s="819" t="s">
        <v>1255</v>
      </c>
      <c r="B35" s="1320">
        <v>0</v>
      </c>
      <c r="C35" s="1326"/>
      <c r="D35" s="1325">
        <v>0</v>
      </c>
      <c r="E35" s="1325"/>
      <c r="F35" s="1325">
        <v>0</v>
      </c>
      <c r="G35" s="1325"/>
      <c r="H35" s="1325">
        <v>0</v>
      </c>
      <c r="I35" s="1325"/>
      <c r="J35" s="1325">
        <v>0</v>
      </c>
      <c r="K35" s="1325"/>
      <c r="L35" s="1325">
        <v>0</v>
      </c>
      <c r="M35" s="1327"/>
      <c r="N35" s="1325">
        <v>0</v>
      </c>
      <c r="O35" s="1325"/>
      <c r="P35" s="1325">
        <v>0</v>
      </c>
      <c r="Q35" s="1325"/>
      <c r="R35" s="1325">
        <v>0</v>
      </c>
      <c r="S35" s="1325"/>
      <c r="T35" s="1325">
        <v>0</v>
      </c>
      <c r="U35" s="1325"/>
      <c r="V35" s="1325"/>
      <c r="W35" s="1325"/>
      <c r="X35" s="1325"/>
      <c r="Y35" s="1325"/>
      <c r="Z35" s="1322">
        <f>ROUND(SUM(B35:X35),0)</f>
        <v>0</v>
      </c>
    </row>
    <row r="36" spans="1:28" ht="15" customHeight="1">
      <c r="A36" s="819" t="s">
        <v>1229</v>
      </c>
      <c r="B36" s="1325">
        <v>14611179</v>
      </c>
      <c r="C36" s="1326"/>
      <c r="D36" s="1325">
        <v>2520763</v>
      </c>
      <c r="E36" s="1325"/>
      <c r="F36" s="1325">
        <v>361049</v>
      </c>
      <c r="G36" s="1325"/>
      <c r="H36" s="1325">
        <v>10700538</v>
      </c>
      <c r="I36" s="1325"/>
      <c r="J36" s="1325">
        <v>900000</v>
      </c>
      <c r="K36" s="1325"/>
      <c r="L36" s="1325">
        <v>0</v>
      </c>
      <c r="M36" s="1327"/>
      <c r="N36" s="1325">
        <v>5619275</v>
      </c>
      <c r="O36" s="1325"/>
      <c r="P36" s="1325">
        <v>2301620</v>
      </c>
      <c r="Q36" s="1325"/>
      <c r="R36" s="1325">
        <v>12620169.07</v>
      </c>
      <c r="S36" s="1325"/>
      <c r="T36" s="1325">
        <v>3444591.02</v>
      </c>
      <c r="U36" s="1325"/>
      <c r="V36" s="1325"/>
      <c r="W36" s="1325"/>
      <c r="X36" s="1325"/>
      <c r="Y36" s="1325"/>
      <c r="Z36" s="1322">
        <f>ROUND(SUM(B36:X36),0)-1</f>
        <v>53079183</v>
      </c>
    </row>
    <row r="37" spans="1:28" ht="22.5" customHeight="1">
      <c r="A37" s="509" t="s">
        <v>156</v>
      </c>
      <c r="B37" s="1572">
        <f>ROUND(SUM(B20:B36),0)</f>
        <v>37386731</v>
      </c>
      <c r="C37" s="1326"/>
      <c r="D37" s="1572">
        <f>ROUND(SUM(D20:D36),0)</f>
        <v>6464418</v>
      </c>
      <c r="E37" s="1325"/>
      <c r="F37" s="1572">
        <f>ROUND(SUM(F20:F36),0)</f>
        <v>35025955</v>
      </c>
      <c r="G37" s="1325"/>
      <c r="H37" s="1572">
        <f>ROUND(SUM(H20:H36),0)</f>
        <v>45814014</v>
      </c>
      <c r="I37" s="1325"/>
      <c r="J37" s="1572">
        <f>ROUND(SUM(J20:J36),0)</f>
        <v>64705092</v>
      </c>
      <c r="K37" s="1325"/>
      <c r="L37" s="1572">
        <f>ROUND(SUM(L20:L36),0)</f>
        <v>10597967</v>
      </c>
      <c r="M37" s="1327"/>
      <c r="N37" s="1572">
        <f>ROUND(SUM(N20:N36),0)</f>
        <v>57387028</v>
      </c>
      <c r="O37" s="1325"/>
      <c r="P37" s="1572">
        <f>ROUND(SUM(P20:P36),0)</f>
        <v>38820637</v>
      </c>
      <c r="Q37" s="1325"/>
      <c r="R37" s="1572">
        <f>ROUND(SUM(R20:R36),0)</f>
        <v>38240989</v>
      </c>
      <c r="S37" s="1325"/>
      <c r="T37" s="1572">
        <f>ROUND(SUM(T20:T36),0)</f>
        <v>39273414</v>
      </c>
      <c r="U37" s="1325"/>
      <c r="V37" s="1572">
        <f>ROUND(SUM(V20:V36),0)</f>
        <v>0</v>
      </c>
      <c r="W37" s="1325"/>
      <c r="X37" s="1572">
        <f>ROUND(SUM(X20:X36),0)</f>
        <v>0</v>
      </c>
      <c r="Y37" s="1325"/>
      <c r="Z37" s="1572">
        <f>ROUND(SUM(Z20:Z36),0)</f>
        <v>373716245</v>
      </c>
    </row>
    <row r="38" spans="1:28" ht="15" customHeight="1">
      <c r="A38" s="509"/>
      <c r="B38" s="1325"/>
      <c r="C38" s="1326"/>
      <c r="D38" s="1325"/>
      <c r="E38" s="1325"/>
      <c r="F38" s="1331"/>
      <c r="G38" s="1325"/>
      <c r="H38" s="1331"/>
      <c r="I38" s="1325"/>
      <c r="J38" s="1325"/>
      <c r="K38" s="1325"/>
      <c r="L38" s="1330"/>
      <c r="M38" s="1327"/>
      <c r="N38" s="1330"/>
      <c r="O38" s="1325"/>
      <c r="P38" s="1329"/>
      <c r="Q38" s="1325"/>
      <c r="R38" s="1331"/>
      <c r="S38" s="1325"/>
      <c r="T38" s="1331"/>
      <c r="U38" s="1325"/>
      <c r="V38" s="1326"/>
      <c r="W38" s="1325"/>
      <c r="X38" s="1331"/>
      <c r="Y38" s="1325"/>
      <c r="Z38" s="1322"/>
    </row>
    <row r="39" spans="1:28" ht="15" customHeight="1">
      <c r="A39" s="510" t="s">
        <v>485</v>
      </c>
      <c r="B39" s="1331"/>
      <c r="C39" s="1332"/>
      <c r="D39" s="1331"/>
      <c r="E39" s="1325"/>
      <c r="F39" s="1330"/>
      <c r="G39" s="1325"/>
      <c r="H39" s="1331"/>
      <c r="I39" s="1325"/>
      <c r="J39" s="1331"/>
      <c r="K39" s="1325"/>
      <c r="L39" s="1331"/>
      <c r="M39" s="1327"/>
      <c r="N39" s="1331"/>
      <c r="O39" s="1325"/>
      <c r="P39" s="1329"/>
      <c r="Q39" s="1325"/>
      <c r="R39" s="1331"/>
      <c r="S39" s="1325"/>
      <c r="T39" s="1331"/>
      <c r="U39" s="1325"/>
      <c r="V39" s="1330"/>
      <c r="W39" s="1325"/>
      <c r="X39" s="1330"/>
      <c r="Y39" s="1325"/>
      <c r="Z39" s="1322"/>
    </row>
    <row r="40" spans="1:28" ht="15" customHeight="1">
      <c r="A40" s="819" t="s">
        <v>487</v>
      </c>
      <c r="B40" s="1325">
        <v>0</v>
      </c>
      <c r="C40" s="1332"/>
      <c r="D40" s="1325">
        <v>0</v>
      </c>
      <c r="E40" s="1325"/>
      <c r="F40" s="1325">
        <v>0</v>
      </c>
      <c r="G40" s="1325"/>
      <c r="H40" s="1325">
        <v>0</v>
      </c>
      <c r="I40" s="1325"/>
      <c r="J40" s="1325">
        <v>0</v>
      </c>
      <c r="K40" s="1325"/>
      <c r="L40" s="1325">
        <v>0</v>
      </c>
      <c r="M40" s="1327"/>
      <c r="N40" s="1325">
        <v>0</v>
      </c>
      <c r="O40" s="1325"/>
      <c r="P40" s="1325">
        <v>0</v>
      </c>
      <c r="Q40" s="1325"/>
      <c r="R40" s="1325">
        <v>0</v>
      </c>
      <c r="S40" s="1325"/>
      <c r="T40" s="1325">
        <v>0</v>
      </c>
      <c r="U40" s="1325"/>
      <c r="V40" s="1325"/>
      <c r="W40" s="1325"/>
      <c r="X40" s="1325"/>
      <c r="Y40" s="1325"/>
      <c r="Z40" s="1322">
        <v>0</v>
      </c>
    </row>
    <row r="41" spans="1:28" ht="22.5" customHeight="1">
      <c r="A41" s="504" t="s">
        <v>491</v>
      </c>
      <c r="B41" s="1571">
        <f>ROUND(SUM(B40:B40),0)</f>
        <v>0</v>
      </c>
      <c r="C41" s="1323"/>
      <c r="D41" s="1571">
        <f>ROUND(SUM(D40:D40),0)</f>
        <v>0</v>
      </c>
      <c r="E41" s="1320"/>
      <c r="F41" s="1571">
        <f>ROUND(SUM(F40:F40),0)</f>
        <v>0</v>
      </c>
      <c r="G41" s="1320"/>
      <c r="H41" s="1571">
        <f>ROUND(SUM(H40:H40),0)</f>
        <v>0</v>
      </c>
      <c r="I41" s="1320"/>
      <c r="J41" s="1571">
        <f>ROUND(SUM(J40:J40),0)</f>
        <v>0</v>
      </c>
      <c r="K41" s="1320"/>
      <c r="L41" s="1571">
        <f>ROUND(SUM(L40:L40),0)</f>
        <v>0</v>
      </c>
      <c r="M41" s="1317"/>
      <c r="N41" s="1571">
        <f>ROUND(SUM(N40:N40),0)</f>
        <v>0</v>
      </c>
      <c r="O41" s="1320"/>
      <c r="P41" s="1571">
        <f>ROUND(SUM(P40:P40),0)</f>
        <v>0</v>
      </c>
      <c r="Q41" s="1320"/>
      <c r="R41" s="1571">
        <f>ROUND(SUM(R40:R40),0)</f>
        <v>0</v>
      </c>
      <c r="S41" s="1320"/>
      <c r="T41" s="1571">
        <f>ROUND(SUM(T40:T40),0)</f>
        <v>0</v>
      </c>
      <c r="U41" s="1320"/>
      <c r="V41" s="1571">
        <f>ROUND(SUM(V40:V40),0)</f>
        <v>0</v>
      </c>
      <c r="W41" s="1320"/>
      <c r="X41" s="1571">
        <f>ROUND(SUM(X40:X40),0)</f>
        <v>0</v>
      </c>
      <c r="Y41" s="1320"/>
      <c r="Z41" s="1571">
        <f>ROUND(SUM(Z40:Z40),0)</f>
        <v>0</v>
      </c>
    </row>
    <row r="42" spans="1:28" ht="15" customHeight="1">
      <c r="B42" s="1569"/>
      <c r="C42" s="1323"/>
      <c r="D42" s="1569"/>
      <c r="E42" s="1320"/>
      <c r="F42" s="1568"/>
      <c r="G42" s="1320"/>
      <c r="H42" s="1569"/>
      <c r="I42" s="1320"/>
      <c r="J42" s="1569"/>
      <c r="K42" s="1320"/>
      <c r="L42" s="1569"/>
      <c r="M42" s="1317"/>
      <c r="N42" s="1569"/>
      <c r="O42" s="1320"/>
      <c r="P42" s="1570"/>
      <c r="Q42" s="1320"/>
      <c r="R42" s="1569"/>
      <c r="S42" s="1320"/>
      <c r="T42" s="1569"/>
      <c r="U42" s="1320"/>
      <c r="V42" s="1568"/>
      <c r="W42" s="1320"/>
      <c r="X42" s="1333"/>
      <c r="Y42" s="1320"/>
      <c r="Z42" s="1567"/>
    </row>
    <row r="43" spans="1:28" s="503" customFormat="1" ht="20.25" customHeight="1">
      <c r="A43" s="504" t="s">
        <v>492</v>
      </c>
      <c r="B43" s="1334">
        <f>ROUND(B37+B41,0)</f>
        <v>37386731</v>
      </c>
      <c r="C43" s="505"/>
      <c r="D43" s="1334">
        <f>ROUND(D37+D41,0)</f>
        <v>6464418</v>
      </c>
      <c r="E43" s="506"/>
      <c r="F43" s="1334">
        <f>ROUND(F37+F41,0)</f>
        <v>35025955</v>
      </c>
      <c r="G43" s="506"/>
      <c r="H43" s="1334">
        <f>ROUND(H37+H41,0)</f>
        <v>45814014</v>
      </c>
      <c r="I43" s="506"/>
      <c r="J43" s="1334">
        <f>ROUND(J37+J41,0)</f>
        <v>64705092</v>
      </c>
      <c r="K43" s="505"/>
      <c r="L43" s="1334">
        <f>ROUND(L37+L41,0)</f>
        <v>10597967</v>
      </c>
      <c r="M43" s="502"/>
      <c r="N43" s="1334">
        <f>ROUND(N37+N41,0)</f>
        <v>57387028</v>
      </c>
      <c r="O43" s="506"/>
      <c r="P43" s="1334">
        <f>ROUND(P37+P41,0)</f>
        <v>38820637</v>
      </c>
      <c r="Q43" s="506"/>
      <c r="R43" s="1334">
        <f>ROUND(R37+R41,0)</f>
        <v>38240989</v>
      </c>
      <c r="S43" s="506"/>
      <c r="T43" s="1334">
        <f>ROUND(T37+T41,0)</f>
        <v>39273414</v>
      </c>
      <c r="U43" s="506"/>
      <c r="V43" s="1334">
        <f>ROUND(V37+V41,0)</f>
        <v>0</v>
      </c>
      <c r="W43" s="506"/>
      <c r="X43" s="1334">
        <f>ROUND(X37+X41,0)</f>
        <v>0</v>
      </c>
      <c r="Y43" s="506"/>
      <c r="Z43" s="1334">
        <f>ROUND(Z37+Z41,0)</f>
        <v>373716245</v>
      </c>
      <c r="AB43" s="408"/>
    </row>
    <row r="44" spans="1:28" ht="15" customHeight="1">
      <c r="A44" s="1316"/>
      <c r="B44" s="1318"/>
      <c r="C44" s="1318"/>
      <c r="D44" s="1318"/>
      <c r="E44" s="1317"/>
      <c r="F44" s="1318"/>
      <c r="G44" s="1317"/>
      <c r="H44" s="1318"/>
      <c r="I44" s="1317"/>
      <c r="J44" s="1566"/>
      <c r="K44" s="1318"/>
      <c r="L44" s="1566"/>
      <c r="M44" s="1317"/>
      <c r="N44" s="1566"/>
      <c r="O44" s="1317"/>
      <c r="P44" s="1566"/>
      <c r="Q44" s="1317"/>
      <c r="R44" s="1566"/>
      <c r="S44" s="1317"/>
      <c r="T44" s="1566"/>
      <c r="U44" s="1317"/>
      <c r="V44" s="1566"/>
      <c r="W44" s="1317"/>
      <c r="X44" s="1566"/>
      <c r="Y44" s="1317"/>
      <c r="Z44" s="1335"/>
    </row>
    <row r="45" spans="1:28" s="503" customFormat="1" ht="20.25" customHeight="1" thickBot="1">
      <c r="A45" s="510" t="s">
        <v>493</v>
      </c>
      <c r="B45" s="1565">
        <f>ROUND(B12+B17-B43,0)</f>
        <v>49126483</v>
      </c>
      <c r="C45" s="500"/>
      <c r="D45" s="1565">
        <f>ROUND(D12+D17-D43,0)</f>
        <v>42662065</v>
      </c>
      <c r="E45" s="1315"/>
      <c r="F45" s="1565">
        <f>ROUND(F12+F17-F43,0)</f>
        <v>7636110</v>
      </c>
      <c r="G45" s="1315"/>
      <c r="H45" s="1565">
        <f>ROUND(H12+H17-H43,0)</f>
        <v>165822096</v>
      </c>
      <c r="I45" s="1315"/>
      <c r="J45" s="1565">
        <f>ROUND(J12+J17-J43,0)</f>
        <v>101117004</v>
      </c>
      <c r="K45" s="500"/>
      <c r="L45" s="1565">
        <f>ROUND(L12+L17-L43,0)</f>
        <v>90519037</v>
      </c>
      <c r="M45" s="511"/>
      <c r="N45" s="1565">
        <f>ROUND(N12+N17-N43,0)</f>
        <v>33132009</v>
      </c>
      <c r="O45" s="512"/>
      <c r="P45" s="1565">
        <f>ROUND(P12+P17-P43,0)</f>
        <v>34311372</v>
      </c>
      <c r="Q45" s="512"/>
      <c r="R45" s="1565">
        <f>ROUND(R12+R17-R43,0)</f>
        <v>65037383</v>
      </c>
      <c r="S45" s="512"/>
      <c r="T45" s="1565">
        <f>ROUND(T12+T17-T43,0)</f>
        <v>75763969</v>
      </c>
      <c r="U45" s="512"/>
      <c r="V45" s="1565">
        <f>ROUND(V12+V17-V43,0)</f>
        <v>0</v>
      </c>
      <c r="W45" s="512"/>
      <c r="X45" s="1565">
        <f>ROUND(X12+X17-X43,0)</f>
        <v>0</v>
      </c>
      <c r="Y45" s="512"/>
      <c r="Z45" s="1565">
        <f>ROUND(Z12+Z17-Z43,0)</f>
        <v>75763969</v>
      </c>
    </row>
    <row r="46" spans="1:28" ht="15" customHeight="1" thickTop="1">
      <c r="A46" s="1316"/>
      <c r="B46" s="1313"/>
      <c r="C46" s="1313"/>
      <c r="D46" s="1313"/>
      <c r="E46" s="1336"/>
      <c r="F46" s="1313"/>
      <c r="G46" s="1336"/>
      <c r="H46" s="1313"/>
      <c r="I46" s="1336"/>
      <c r="J46" s="1313"/>
      <c r="K46" s="1313"/>
      <c r="L46" s="1313"/>
      <c r="M46" s="1336"/>
      <c r="N46" s="1313"/>
      <c r="O46" s="1336"/>
      <c r="P46" s="1313"/>
      <c r="Q46" s="1336"/>
      <c r="R46" s="1313"/>
      <c r="S46" s="1336"/>
      <c r="T46" s="1313"/>
      <c r="U46" s="1336"/>
      <c r="V46" s="1313"/>
      <c r="W46" s="1336"/>
      <c r="X46" s="1313"/>
      <c r="Y46" s="1336"/>
      <c r="Z46" s="1335"/>
    </row>
    <row r="47" spans="1:28" ht="20.100000000000001" customHeight="1">
      <c r="A47" s="513"/>
      <c r="B47" s="1337"/>
      <c r="C47" s="1337"/>
      <c r="D47" s="1337"/>
      <c r="E47" s="1314"/>
      <c r="F47" s="1337"/>
      <c r="G47" s="1314"/>
      <c r="H47" s="1337"/>
      <c r="I47" s="1314"/>
      <c r="J47" s="1337"/>
      <c r="K47" s="1337"/>
      <c r="L47" s="1337"/>
      <c r="M47" s="1314"/>
      <c r="N47" s="1337"/>
      <c r="O47" s="1314"/>
      <c r="P47" s="1337"/>
      <c r="Q47" s="1314"/>
      <c r="R47" s="1337"/>
      <c r="S47" s="1314"/>
      <c r="T47" s="1337"/>
      <c r="U47" s="1314"/>
      <c r="V47" s="1337"/>
      <c r="W47" s="1314"/>
      <c r="X47" s="1337"/>
      <c r="Y47" s="1314"/>
      <c r="Z47" s="1319"/>
    </row>
    <row r="48" spans="1:28">
      <c r="L48" s="1562" t="s">
        <v>15</v>
      </c>
    </row>
    <row r="49" spans="1:26" ht="18" customHeight="1">
      <c r="A49" s="1564" t="s">
        <v>1378</v>
      </c>
      <c r="B49" s="1309"/>
      <c r="C49" s="1309"/>
      <c r="D49" s="1309"/>
      <c r="E49" s="481"/>
      <c r="F49" s="1309"/>
      <c r="G49" s="481"/>
      <c r="H49" s="1309"/>
      <c r="I49" s="481"/>
      <c r="J49" s="1309"/>
      <c r="K49" s="1309"/>
      <c r="L49" s="1309"/>
      <c r="M49" s="1314"/>
      <c r="N49" s="1309" t="s">
        <v>15</v>
      </c>
      <c r="O49" s="481"/>
      <c r="P49" s="1309"/>
      <c r="Q49" s="481"/>
      <c r="R49" s="1309"/>
      <c r="S49" s="481"/>
      <c r="T49" s="1309"/>
      <c r="U49" s="481"/>
      <c r="V49" s="1309"/>
      <c r="W49" s="481"/>
      <c r="X49" s="1309"/>
      <c r="Y49" s="481"/>
      <c r="Z49" s="1310"/>
    </row>
    <row r="50" spans="1:26" ht="20.100000000000001" customHeight="1">
      <c r="A50" s="1563" t="s">
        <v>1303</v>
      </c>
      <c r="B50" s="1337"/>
      <c r="C50" s="1337"/>
      <c r="D50" s="1337"/>
      <c r="E50" s="1314"/>
      <c r="F50" s="1337"/>
      <c r="G50" s="1314"/>
      <c r="H50" s="1337"/>
      <c r="I50" s="1314"/>
      <c r="J50" s="1337"/>
      <c r="K50" s="1337"/>
      <c r="L50" s="1337"/>
      <c r="M50" s="1314"/>
      <c r="N50" s="1337" t="s">
        <v>15</v>
      </c>
      <c r="O50" s="1314"/>
      <c r="P50" s="1337"/>
      <c r="Q50" s="1314"/>
      <c r="R50" s="1337"/>
      <c r="S50" s="1314"/>
      <c r="T50" s="1337"/>
      <c r="U50" s="1314"/>
      <c r="V50" s="1337"/>
      <c r="W50" s="1314"/>
      <c r="X50" s="1337"/>
      <c r="Y50" s="1314"/>
      <c r="Z50" s="1319"/>
    </row>
    <row r="51" spans="1:26" ht="20.100000000000001" customHeight="1">
      <c r="A51" s="1563"/>
      <c r="B51" s="1337"/>
      <c r="C51" s="1337"/>
      <c r="D51" s="1337"/>
      <c r="E51" s="1314"/>
      <c r="F51" s="1337"/>
      <c r="G51" s="1314"/>
      <c r="H51" s="1337"/>
      <c r="I51" s="1314"/>
      <c r="J51" s="1337"/>
      <c r="K51" s="1337"/>
      <c r="L51" s="1337"/>
      <c r="M51" s="1314"/>
      <c r="N51" s="1337" t="s">
        <v>15</v>
      </c>
      <c r="O51" s="1314"/>
      <c r="P51" s="1337"/>
      <c r="Q51" s="1314"/>
      <c r="R51" s="1337"/>
      <c r="S51" s="1314"/>
      <c r="T51" s="1337"/>
      <c r="U51" s="1314"/>
      <c r="V51" s="1337"/>
      <c r="W51" s="1314"/>
      <c r="X51" s="1337"/>
      <c r="Y51" s="1314"/>
      <c r="Z51" s="1319"/>
    </row>
    <row r="52" spans="1:26" ht="20.100000000000001" customHeight="1">
      <c r="A52" s="1588"/>
      <c r="B52" s="480"/>
      <c r="C52" s="480"/>
      <c r="D52" s="480"/>
      <c r="E52" s="481"/>
      <c r="F52" s="480"/>
      <c r="G52" s="481"/>
      <c r="H52" s="480"/>
      <c r="I52" s="481"/>
      <c r="J52" s="480"/>
      <c r="K52" s="480"/>
      <c r="L52" s="480"/>
      <c r="M52" s="481"/>
      <c r="N52" s="480"/>
      <c r="O52" s="481"/>
      <c r="P52" s="480"/>
      <c r="Q52" s="481"/>
      <c r="R52" s="480"/>
      <c r="S52" s="481"/>
      <c r="T52" s="480"/>
      <c r="U52" s="481"/>
      <c r="V52" s="480"/>
      <c r="W52" s="481"/>
      <c r="X52" s="480"/>
      <c r="Y52" s="481"/>
      <c r="Z52" s="409"/>
    </row>
    <row r="53" spans="1:26" ht="20.100000000000001" customHeight="1">
      <c r="A53" s="478"/>
      <c r="B53" s="480"/>
      <c r="C53" s="480"/>
      <c r="D53" s="480"/>
      <c r="E53" s="481"/>
      <c r="F53" s="480"/>
      <c r="G53" s="481"/>
      <c r="H53" s="480"/>
      <c r="I53" s="481"/>
      <c r="J53" s="480"/>
      <c r="K53" s="480"/>
      <c r="L53" s="480"/>
      <c r="M53" s="481"/>
      <c r="N53" s="480"/>
      <c r="O53" s="481"/>
      <c r="P53" s="480"/>
      <c r="Q53" s="481"/>
      <c r="R53" s="480"/>
      <c r="S53" s="481"/>
      <c r="T53" s="480"/>
      <c r="U53" s="481"/>
      <c r="V53" s="480"/>
      <c r="W53" s="481"/>
      <c r="X53" s="480"/>
      <c r="Y53" s="481"/>
      <c r="Z53" s="409"/>
    </row>
    <row r="54" spans="1:26" ht="20.100000000000001" customHeight="1">
      <c r="A54" s="478"/>
      <c r="B54" s="480"/>
      <c r="C54" s="480"/>
      <c r="D54" s="480"/>
      <c r="E54" s="481"/>
      <c r="F54" s="480"/>
      <c r="G54" s="481"/>
      <c r="H54" s="480"/>
      <c r="I54" s="481"/>
      <c r="J54" s="480"/>
      <c r="K54" s="480"/>
      <c r="L54" s="480"/>
      <c r="M54" s="481"/>
      <c r="N54" s="480"/>
      <c r="O54" s="481"/>
      <c r="P54" s="480"/>
      <c r="Q54" s="481"/>
      <c r="R54" s="480"/>
      <c r="S54" s="481"/>
      <c r="T54" s="480"/>
      <c r="U54" s="481"/>
      <c r="V54" s="480"/>
      <c r="W54" s="481"/>
      <c r="X54" s="480"/>
      <c r="Y54" s="481"/>
      <c r="Z54" s="409"/>
    </row>
    <row r="55" spans="1:26" ht="20.100000000000001" customHeight="1">
      <c r="A55" s="478"/>
      <c r="B55" s="480"/>
      <c r="C55" s="480"/>
      <c r="D55" s="480"/>
      <c r="E55" s="481"/>
      <c r="F55" s="480"/>
      <c r="G55" s="481"/>
      <c r="H55" s="480"/>
      <c r="I55" s="481"/>
      <c r="J55" s="480"/>
      <c r="K55" s="480"/>
      <c r="L55" s="480"/>
      <c r="M55" s="481"/>
      <c r="N55" s="480"/>
      <c r="O55" s="481"/>
      <c r="P55" s="480"/>
      <c r="Q55" s="481"/>
      <c r="R55" s="480"/>
      <c r="S55" s="481"/>
      <c r="T55" s="480"/>
      <c r="U55" s="481"/>
      <c r="V55" s="480"/>
      <c r="W55" s="481"/>
      <c r="X55" s="480"/>
      <c r="Y55" s="481"/>
      <c r="Z55" s="409"/>
    </row>
    <row r="56" spans="1:26" ht="20.100000000000001" customHeight="1">
      <c r="A56" s="478"/>
      <c r="B56" s="480"/>
      <c r="C56" s="480"/>
      <c r="D56" s="480"/>
      <c r="E56" s="481"/>
      <c r="F56" s="480"/>
      <c r="G56" s="481"/>
      <c r="H56" s="480"/>
      <c r="I56" s="481"/>
      <c r="J56" s="480"/>
      <c r="K56" s="480"/>
      <c r="L56" s="480"/>
      <c r="M56" s="481"/>
      <c r="N56" s="480"/>
      <c r="O56" s="481"/>
      <c r="P56" s="480"/>
      <c r="Q56" s="481"/>
      <c r="R56" s="480"/>
      <c r="S56" s="481"/>
      <c r="T56" s="480"/>
      <c r="U56" s="481"/>
      <c r="V56" s="480"/>
      <c r="W56" s="481"/>
      <c r="X56" s="480"/>
      <c r="Y56" s="481"/>
      <c r="Z56" s="409"/>
    </row>
    <row r="57" spans="1:26">
      <c r="A57" s="478"/>
      <c r="B57" s="480"/>
      <c r="C57" s="480"/>
      <c r="D57" s="480"/>
      <c r="E57" s="481"/>
      <c r="F57" s="480"/>
      <c r="G57" s="481"/>
      <c r="H57" s="480"/>
      <c r="I57" s="481"/>
      <c r="J57" s="480"/>
      <c r="K57" s="480"/>
      <c r="L57" s="480"/>
      <c r="M57" s="481"/>
      <c r="N57" s="480"/>
      <c r="O57" s="481"/>
      <c r="P57" s="480"/>
      <c r="Q57" s="481"/>
      <c r="R57" s="480"/>
      <c r="S57" s="481"/>
      <c r="T57" s="480"/>
      <c r="U57" s="481"/>
      <c r="V57" s="480"/>
      <c r="W57" s="481"/>
      <c r="X57" s="480"/>
      <c r="Y57" s="481"/>
      <c r="Z57" s="409"/>
    </row>
    <row r="58" spans="1:26">
      <c r="A58" s="478"/>
      <c r="B58" s="480"/>
      <c r="C58" s="480"/>
      <c r="D58" s="480"/>
      <c r="E58" s="481"/>
      <c r="F58" s="480"/>
      <c r="G58" s="481"/>
      <c r="H58" s="480"/>
      <c r="I58" s="481"/>
      <c r="J58" s="480"/>
      <c r="K58" s="480"/>
      <c r="L58" s="480"/>
      <c r="M58" s="481"/>
      <c r="N58" s="480"/>
      <c r="O58" s="481"/>
      <c r="P58" s="480"/>
      <c r="Q58" s="481"/>
      <c r="R58" s="480"/>
      <c r="S58" s="481"/>
      <c r="T58" s="480"/>
      <c r="U58" s="481"/>
      <c r="V58" s="480"/>
      <c r="W58" s="481"/>
      <c r="X58" s="480"/>
      <c r="Y58" s="481"/>
      <c r="Z58" s="409"/>
    </row>
    <row r="59" spans="1:26">
      <c r="A59" s="478"/>
      <c r="B59" s="480"/>
      <c r="C59" s="480"/>
      <c r="D59" s="480"/>
      <c r="E59" s="481"/>
      <c r="F59" s="480"/>
      <c r="G59" s="481"/>
      <c r="H59" s="480"/>
      <c r="I59" s="481"/>
      <c r="J59" s="480"/>
      <c r="K59" s="480"/>
      <c r="L59" s="480"/>
      <c r="M59" s="481"/>
      <c r="N59" s="480"/>
      <c r="O59" s="481"/>
      <c r="P59" s="480"/>
      <c r="Q59" s="481"/>
      <c r="R59" s="480"/>
      <c r="S59" s="481"/>
      <c r="T59" s="480"/>
      <c r="U59" s="481"/>
      <c r="V59" s="480"/>
      <c r="W59" s="481"/>
      <c r="X59" s="480"/>
      <c r="Y59" s="481"/>
      <c r="Z59" s="409"/>
    </row>
    <row r="60" spans="1:26">
      <c r="A60" s="478"/>
      <c r="B60" s="480"/>
      <c r="C60" s="480"/>
      <c r="D60" s="480"/>
      <c r="E60" s="481"/>
      <c r="F60" s="480"/>
      <c r="G60" s="481"/>
      <c r="H60" s="480"/>
      <c r="I60" s="481"/>
      <c r="J60" s="480"/>
      <c r="K60" s="480"/>
      <c r="L60" s="480"/>
      <c r="M60" s="481"/>
      <c r="N60" s="480"/>
      <c r="O60" s="481"/>
      <c r="P60" s="480"/>
      <c r="Q60" s="481"/>
      <c r="R60" s="480"/>
      <c r="S60" s="481"/>
      <c r="T60" s="480"/>
      <c r="U60" s="481"/>
      <c r="V60" s="480"/>
      <c r="W60" s="481"/>
      <c r="X60" s="480"/>
      <c r="Y60" s="481"/>
      <c r="Z60" s="409"/>
    </row>
    <row r="61" spans="1:26">
      <c r="A61" s="478"/>
      <c r="B61" s="480"/>
      <c r="C61" s="480"/>
      <c r="D61" s="480"/>
      <c r="E61" s="481"/>
      <c r="F61" s="480"/>
      <c r="G61" s="481"/>
      <c r="H61" s="480"/>
      <c r="I61" s="481"/>
      <c r="J61" s="480"/>
      <c r="K61" s="480"/>
      <c r="L61" s="480"/>
      <c r="M61" s="481"/>
      <c r="N61" s="480"/>
      <c r="O61" s="481"/>
      <c r="P61" s="480"/>
      <c r="Q61" s="481"/>
      <c r="R61" s="480"/>
      <c r="S61" s="481"/>
      <c r="T61" s="480"/>
      <c r="U61" s="481"/>
      <c r="V61" s="480"/>
      <c r="W61" s="481"/>
      <c r="X61" s="480"/>
      <c r="Y61" s="481"/>
      <c r="Z61" s="409"/>
    </row>
    <row r="62" spans="1:26">
      <c r="A62" s="478"/>
      <c r="B62" s="480"/>
      <c r="C62" s="480"/>
      <c r="D62" s="480"/>
      <c r="E62" s="481"/>
      <c r="F62" s="480"/>
      <c r="G62" s="481"/>
      <c r="H62" s="480"/>
      <c r="I62" s="481"/>
      <c r="J62" s="480"/>
      <c r="K62" s="480"/>
      <c r="L62" s="480"/>
      <c r="M62" s="481"/>
      <c r="N62" s="480"/>
      <c r="O62" s="481"/>
      <c r="P62" s="480"/>
      <c r="Q62" s="481"/>
      <c r="R62" s="480"/>
      <c r="S62" s="481"/>
      <c r="T62" s="480"/>
      <c r="U62" s="481"/>
      <c r="V62" s="480"/>
      <c r="W62" s="481"/>
      <c r="X62" s="480"/>
      <c r="Y62" s="481"/>
      <c r="Z62" s="409"/>
    </row>
    <row r="63" spans="1:26">
      <c r="A63" s="478"/>
      <c r="B63" s="480"/>
      <c r="C63" s="480"/>
      <c r="D63" s="480"/>
      <c r="E63" s="481"/>
      <c r="F63" s="480"/>
      <c r="G63" s="481"/>
      <c r="H63" s="480"/>
      <c r="I63" s="481"/>
      <c r="J63" s="480"/>
      <c r="K63" s="480"/>
      <c r="L63" s="480"/>
      <c r="M63" s="481"/>
      <c r="N63" s="480"/>
      <c r="O63" s="481"/>
      <c r="P63" s="480"/>
      <c r="Q63" s="481"/>
      <c r="R63" s="480"/>
      <c r="S63" s="481"/>
      <c r="T63" s="480"/>
      <c r="U63" s="481"/>
      <c r="V63" s="480"/>
      <c r="W63" s="481"/>
      <c r="X63" s="480"/>
      <c r="Y63" s="481"/>
      <c r="Z63" s="409"/>
    </row>
    <row r="64" spans="1:26">
      <c r="A64" s="478"/>
      <c r="B64" s="480"/>
      <c r="C64" s="480"/>
      <c r="D64" s="480"/>
      <c r="E64" s="481"/>
      <c r="F64" s="480"/>
      <c r="G64" s="481"/>
      <c r="H64" s="480"/>
      <c r="I64" s="481"/>
      <c r="J64" s="480"/>
      <c r="K64" s="480"/>
      <c r="L64" s="480"/>
      <c r="M64" s="481"/>
      <c r="N64" s="480"/>
      <c r="O64" s="481"/>
      <c r="P64" s="480"/>
      <c r="Q64" s="481"/>
      <c r="R64" s="480"/>
      <c r="S64" s="481"/>
      <c r="T64" s="480"/>
      <c r="U64" s="481"/>
      <c r="V64" s="480"/>
      <c r="W64" s="481"/>
      <c r="X64" s="480"/>
      <c r="Y64" s="481"/>
      <c r="Z64" s="409"/>
    </row>
    <row r="65" spans="1:26">
      <c r="A65" s="478"/>
      <c r="B65" s="480"/>
      <c r="C65" s="480"/>
      <c r="D65" s="480"/>
      <c r="E65" s="481"/>
      <c r="F65" s="480"/>
      <c r="G65" s="481"/>
      <c r="H65" s="480"/>
      <c r="I65" s="481"/>
      <c r="J65" s="480"/>
      <c r="K65" s="480"/>
      <c r="L65" s="480"/>
      <c r="M65" s="481"/>
      <c r="N65" s="480"/>
      <c r="O65" s="481"/>
      <c r="P65" s="480"/>
      <c r="Q65" s="481"/>
      <c r="R65" s="480"/>
      <c r="S65" s="481"/>
      <c r="T65" s="480"/>
      <c r="U65" s="481"/>
      <c r="V65" s="480"/>
      <c r="W65" s="481"/>
      <c r="X65" s="480"/>
      <c r="Y65" s="481"/>
      <c r="Z65" s="409"/>
    </row>
    <row r="66" spans="1:26">
      <c r="A66" s="478"/>
      <c r="B66" s="480"/>
      <c r="C66" s="480"/>
      <c r="D66" s="480"/>
      <c r="E66" s="481"/>
      <c r="F66" s="480"/>
      <c r="G66" s="481"/>
      <c r="H66" s="480"/>
      <c r="I66" s="481"/>
      <c r="J66" s="480"/>
      <c r="K66" s="480"/>
      <c r="L66" s="480"/>
      <c r="M66" s="481"/>
      <c r="N66" s="480"/>
      <c r="O66" s="481"/>
      <c r="P66" s="480"/>
      <c r="Q66" s="481"/>
      <c r="R66" s="480"/>
      <c r="S66" s="481"/>
      <c r="T66" s="480"/>
      <c r="U66" s="481"/>
      <c r="V66" s="480"/>
      <c r="W66" s="481"/>
      <c r="X66" s="480"/>
      <c r="Y66" s="481"/>
      <c r="Z66" s="409"/>
    </row>
    <row r="67" spans="1:26">
      <c r="A67" s="478"/>
      <c r="B67" s="480"/>
      <c r="C67" s="480"/>
      <c r="D67" s="480"/>
      <c r="E67" s="481"/>
      <c r="F67" s="480"/>
      <c r="G67" s="481"/>
      <c r="H67" s="480"/>
      <c r="I67" s="481"/>
      <c r="J67" s="480"/>
      <c r="K67" s="480"/>
      <c r="L67" s="480"/>
      <c r="M67" s="481"/>
      <c r="N67" s="480"/>
      <c r="O67" s="481"/>
      <c r="P67" s="480"/>
      <c r="Q67" s="481"/>
      <c r="R67" s="480"/>
      <c r="S67" s="481"/>
      <c r="T67" s="480"/>
      <c r="U67" s="481"/>
      <c r="V67" s="480"/>
      <c r="W67" s="481"/>
      <c r="X67" s="480"/>
      <c r="Y67" s="481"/>
      <c r="Z67" s="409"/>
    </row>
    <row r="68" spans="1:26">
      <c r="A68" s="478"/>
      <c r="B68" s="480"/>
      <c r="C68" s="480"/>
      <c r="D68" s="480"/>
      <c r="E68" s="481"/>
      <c r="F68" s="480"/>
      <c r="G68" s="481"/>
      <c r="H68" s="480"/>
      <c r="I68" s="481"/>
      <c r="J68" s="480"/>
      <c r="K68" s="480"/>
      <c r="L68" s="480"/>
      <c r="M68" s="481"/>
      <c r="N68" s="480"/>
      <c r="O68" s="481"/>
      <c r="P68" s="480"/>
      <c r="Q68" s="481"/>
      <c r="R68" s="480"/>
      <c r="S68" s="481"/>
      <c r="T68" s="480"/>
      <c r="U68" s="481"/>
      <c r="V68" s="480"/>
      <c r="W68" s="481"/>
      <c r="X68" s="480"/>
      <c r="Y68" s="481"/>
      <c r="Z68" s="409"/>
    </row>
    <row r="69" spans="1:26">
      <c r="A69" s="478"/>
      <c r="B69" s="480"/>
      <c r="C69" s="480"/>
      <c r="D69" s="480"/>
      <c r="E69" s="481"/>
      <c r="F69" s="480"/>
      <c r="G69" s="481"/>
      <c r="H69" s="480"/>
      <c r="I69" s="481"/>
      <c r="J69" s="480"/>
      <c r="K69" s="480"/>
      <c r="L69" s="480"/>
      <c r="M69" s="481"/>
      <c r="N69" s="480"/>
      <c r="O69" s="481"/>
      <c r="P69" s="480"/>
      <c r="Q69" s="481"/>
      <c r="R69" s="480"/>
      <c r="S69" s="481"/>
      <c r="T69" s="480"/>
      <c r="U69" s="481"/>
      <c r="V69" s="480"/>
      <c r="W69" s="481"/>
      <c r="X69" s="480"/>
      <c r="Y69" s="481"/>
      <c r="Z69" s="409"/>
    </row>
    <row r="70" spans="1:26">
      <c r="A70" s="478"/>
      <c r="B70" s="480"/>
      <c r="C70" s="480"/>
      <c r="D70" s="480"/>
      <c r="E70" s="481"/>
      <c r="F70" s="480"/>
      <c r="G70" s="481"/>
      <c r="H70" s="480"/>
      <c r="I70" s="481"/>
      <c r="J70" s="480"/>
      <c r="K70" s="480"/>
      <c r="L70" s="480"/>
      <c r="M70" s="481"/>
      <c r="N70" s="480"/>
      <c r="O70" s="481"/>
      <c r="P70" s="480"/>
      <c r="Q70" s="481"/>
      <c r="R70" s="480"/>
      <c r="S70" s="481"/>
      <c r="T70" s="480"/>
      <c r="U70" s="481"/>
      <c r="V70" s="480"/>
      <c r="W70" s="481"/>
      <c r="X70" s="480"/>
      <c r="Y70" s="481"/>
      <c r="Z70" s="409"/>
    </row>
    <row r="71" spans="1:26">
      <c r="A71" s="478"/>
      <c r="B71" s="480"/>
      <c r="C71" s="480"/>
      <c r="D71" s="480"/>
      <c r="E71" s="481"/>
      <c r="F71" s="480"/>
      <c r="G71" s="481"/>
      <c r="H71" s="480"/>
      <c r="I71" s="481"/>
      <c r="J71" s="480"/>
      <c r="K71" s="480"/>
      <c r="L71" s="480"/>
      <c r="M71" s="481"/>
      <c r="N71" s="480"/>
      <c r="O71" s="481"/>
      <c r="P71" s="480"/>
      <c r="Q71" s="481"/>
      <c r="R71" s="480"/>
      <c r="S71" s="481"/>
      <c r="T71" s="480"/>
      <c r="U71" s="481"/>
      <c r="V71" s="480"/>
      <c r="W71" s="481"/>
      <c r="X71" s="480"/>
      <c r="Y71" s="481"/>
      <c r="Z71" s="409"/>
    </row>
    <row r="72" spans="1:26">
      <c r="A72" s="478"/>
      <c r="B72" s="480"/>
      <c r="C72" s="480"/>
      <c r="D72" s="480"/>
      <c r="E72" s="481"/>
      <c r="F72" s="480"/>
      <c r="G72" s="481"/>
      <c r="H72" s="480"/>
      <c r="I72" s="481"/>
      <c r="J72" s="480"/>
      <c r="K72" s="480"/>
      <c r="L72" s="480"/>
      <c r="M72" s="481"/>
      <c r="N72" s="480"/>
      <c r="O72" s="481"/>
      <c r="P72" s="480"/>
      <c r="Q72" s="481"/>
      <c r="R72" s="480"/>
      <c r="S72" s="481"/>
      <c r="T72" s="480"/>
      <c r="U72" s="481"/>
      <c r="V72" s="480"/>
      <c r="W72" s="481"/>
      <c r="X72" s="480"/>
      <c r="Y72" s="481"/>
      <c r="Z72" s="409"/>
    </row>
    <row r="73" spans="1:26">
      <c r="A73" s="478"/>
      <c r="B73" s="480"/>
      <c r="C73" s="480"/>
      <c r="D73" s="480"/>
      <c r="E73" s="481"/>
      <c r="F73" s="480"/>
      <c r="G73" s="481"/>
      <c r="H73" s="480"/>
      <c r="I73" s="481"/>
      <c r="J73" s="480"/>
      <c r="K73" s="480"/>
      <c r="L73" s="480"/>
      <c r="M73" s="481"/>
      <c r="N73" s="480"/>
      <c r="O73" s="481"/>
      <c r="P73" s="480"/>
      <c r="Q73" s="481"/>
      <c r="R73" s="480"/>
      <c r="S73" s="481"/>
      <c r="T73" s="480"/>
      <c r="U73" s="481"/>
      <c r="V73" s="480"/>
      <c r="W73" s="481"/>
      <c r="X73" s="480"/>
      <c r="Y73" s="481"/>
      <c r="Z73" s="409"/>
    </row>
    <row r="74" spans="1:26">
      <c r="A74" s="478"/>
      <c r="B74" s="480"/>
      <c r="C74" s="480"/>
      <c r="D74" s="480"/>
      <c r="E74" s="481"/>
      <c r="F74" s="480"/>
      <c r="G74" s="481"/>
      <c r="H74" s="480"/>
      <c r="I74" s="481"/>
      <c r="J74" s="480"/>
      <c r="K74" s="480"/>
      <c r="L74" s="480"/>
      <c r="M74" s="481"/>
      <c r="N74" s="480"/>
      <c r="O74" s="481"/>
      <c r="P74" s="480"/>
      <c r="Q74" s="481"/>
      <c r="R74" s="480"/>
      <c r="S74" s="481"/>
      <c r="T74" s="480"/>
      <c r="U74" s="481"/>
      <c r="V74" s="480"/>
      <c r="W74" s="481"/>
      <c r="X74" s="480"/>
      <c r="Y74" s="481"/>
      <c r="Z74" s="409"/>
    </row>
    <row r="75" spans="1:26">
      <c r="A75" s="478"/>
      <c r="B75" s="480"/>
      <c r="C75" s="480"/>
      <c r="D75" s="480"/>
      <c r="E75" s="481"/>
      <c r="F75" s="480"/>
      <c r="G75" s="481"/>
      <c r="H75" s="480"/>
      <c r="I75" s="481"/>
      <c r="J75" s="480"/>
      <c r="K75" s="480"/>
      <c r="L75" s="480"/>
      <c r="M75" s="481"/>
      <c r="N75" s="480"/>
      <c r="O75" s="481"/>
      <c r="P75" s="480"/>
      <c r="Q75" s="481"/>
      <c r="R75" s="480"/>
      <c r="S75" s="481"/>
      <c r="T75" s="480"/>
      <c r="U75" s="481"/>
      <c r="V75" s="480"/>
      <c r="W75" s="481"/>
      <c r="X75" s="480"/>
      <c r="Y75" s="481"/>
      <c r="Z75" s="409"/>
    </row>
    <row r="76" spans="1:26">
      <c r="A76" s="478"/>
      <c r="B76" s="480"/>
      <c r="C76" s="480"/>
      <c r="D76" s="480"/>
      <c r="E76" s="481"/>
      <c r="F76" s="480"/>
      <c r="G76" s="481"/>
      <c r="H76" s="480"/>
      <c r="I76" s="481"/>
      <c r="J76" s="480"/>
      <c r="K76" s="480"/>
      <c r="L76" s="480"/>
      <c r="M76" s="481"/>
      <c r="N76" s="480"/>
      <c r="O76" s="481"/>
      <c r="P76" s="480"/>
      <c r="Q76" s="481"/>
      <c r="R76" s="480"/>
      <c r="S76" s="481"/>
      <c r="T76" s="480"/>
      <c r="U76" s="481"/>
      <c r="V76" s="480"/>
      <c r="W76" s="481"/>
      <c r="X76" s="480"/>
      <c r="Y76" s="481"/>
      <c r="Z76" s="409"/>
    </row>
    <row r="77" spans="1:26">
      <c r="A77" s="478"/>
      <c r="B77" s="480"/>
      <c r="C77" s="480"/>
      <c r="D77" s="480"/>
      <c r="E77" s="481"/>
      <c r="F77" s="480"/>
      <c r="G77" s="481"/>
      <c r="H77" s="480"/>
      <c r="I77" s="481"/>
      <c r="J77" s="480"/>
      <c r="K77" s="480"/>
      <c r="L77" s="480"/>
      <c r="M77" s="481"/>
      <c r="N77" s="480"/>
      <c r="O77" s="481"/>
      <c r="P77" s="480"/>
      <c r="Q77" s="481"/>
      <c r="R77" s="480"/>
      <c r="S77" s="481"/>
      <c r="T77" s="480"/>
      <c r="U77" s="481"/>
      <c r="V77" s="480"/>
      <c r="W77" s="481"/>
      <c r="X77" s="480"/>
      <c r="Y77" s="481"/>
      <c r="Z77" s="409"/>
    </row>
    <row r="78" spans="1:26">
      <c r="A78" s="478"/>
      <c r="B78" s="480"/>
      <c r="C78" s="480"/>
      <c r="D78" s="480"/>
      <c r="E78" s="481"/>
      <c r="F78" s="480"/>
      <c r="G78" s="481"/>
      <c r="H78" s="480"/>
      <c r="I78" s="481"/>
      <c r="J78" s="480"/>
      <c r="K78" s="480"/>
      <c r="L78" s="480"/>
      <c r="M78" s="481"/>
      <c r="N78" s="480"/>
      <c r="O78" s="481"/>
      <c r="P78" s="480"/>
      <c r="Q78" s="481"/>
      <c r="R78" s="480"/>
      <c r="S78" s="481"/>
      <c r="T78" s="480"/>
      <c r="U78" s="481"/>
      <c r="V78" s="480"/>
      <c r="W78" s="481"/>
      <c r="X78" s="480"/>
      <c r="Y78" s="481"/>
      <c r="Z78" s="409"/>
    </row>
    <row r="79" spans="1:26">
      <c r="A79" s="478"/>
      <c r="B79" s="480"/>
      <c r="C79" s="480"/>
      <c r="D79" s="480"/>
      <c r="E79" s="481"/>
      <c r="F79" s="480"/>
      <c r="G79" s="481"/>
      <c r="H79" s="480"/>
      <c r="I79" s="481"/>
      <c r="J79" s="480"/>
      <c r="K79" s="480"/>
      <c r="L79" s="480"/>
      <c r="M79" s="481"/>
      <c r="N79" s="480"/>
      <c r="O79" s="481"/>
      <c r="P79" s="480"/>
      <c r="Q79" s="481"/>
      <c r="R79" s="480"/>
      <c r="S79" s="481"/>
      <c r="T79" s="480"/>
      <c r="U79" s="481"/>
      <c r="V79" s="480"/>
      <c r="W79" s="481"/>
      <c r="X79" s="480"/>
      <c r="Y79" s="481"/>
      <c r="Z79" s="409"/>
    </row>
    <row r="80" spans="1:26">
      <c r="A80" s="478"/>
      <c r="B80" s="480"/>
      <c r="C80" s="480"/>
      <c r="D80" s="480"/>
      <c r="E80" s="481"/>
      <c r="F80" s="480"/>
      <c r="G80" s="481"/>
      <c r="H80" s="480"/>
      <c r="I80" s="481"/>
      <c r="J80" s="480"/>
      <c r="K80" s="480"/>
      <c r="L80" s="480"/>
      <c r="M80" s="481"/>
      <c r="N80" s="480"/>
      <c r="O80" s="481"/>
      <c r="P80" s="480"/>
      <c r="Q80" s="481"/>
      <c r="R80" s="480"/>
      <c r="S80" s="481"/>
      <c r="T80" s="480"/>
      <c r="U80" s="481"/>
      <c r="V80" s="480"/>
      <c r="W80" s="481"/>
      <c r="X80" s="480"/>
      <c r="Y80" s="481"/>
      <c r="Z80" s="409"/>
    </row>
    <row r="81" spans="1:26">
      <c r="A81" s="478"/>
      <c r="B81" s="480"/>
      <c r="C81" s="480"/>
      <c r="D81" s="480"/>
      <c r="E81" s="481"/>
      <c r="F81" s="480"/>
      <c r="G81" s="481"/>
      <c r="H81" s="480"/>
      <c r="I81" s="481"/>
      <c r="J81" s="480"/>
      <c r="K81" s="480"/>
      <c r="L81" s="480"/>
      <c r="M81" s="481"/>
      <c r="N81" s="480"/>
      <c r="O81" s="481"/>
      <c r="P81" s="480"/>
      <c r="Q81" s="481"/>
      <c r="R81" s="480"/>
      <c r="S81" s="481"/>
      <c r="T81" s="480"/>
      <c r="U81" s="481"/>
      <c r="V81" s="480"/>
      <c r="W81" s="481"/>
      <c r="X81" s="480"/>
      <c r="Y81" s="481"/>
      <c r="Z81" s="409"/>
    </row>
    <row r="82" spans="1:26">
      <c r="A82" s="478"/>
      <c r="B82" s="480"/>
      <c r="C82" s="480"/>
      <c r="D82" s="480"/>
      <c r="E82" s="481"/>
      <c r="F82" s="480"/>
      <c r="G82" s="481"/>
      <c r="H82" s="480"/>
      <c r="I82" s="481"/>
      <c r="J82" s="480"/>
      <c r="K82" s="480"/>
      <c r="L82" s="480"/>
      <c r="M82" s="481"/>
      <c r="N82" s="480"/>
      <c r="O82" s="481"/>
      <c r="P82" s="480"/>
      <c r="Q82" s="481"/>
      <c r="R82" s="480"/>
      <c r="S82" s="481"/>
      <c r="T82" s="480"/>
      <c r="U82" s="481"/>
      <c r="V82" s="480"/>
      <c r="W82" s="481"/>
      <c r="X82" s="480"/>
      <c r="Y82" s="481"/>
      <c r="Z82" s="409"/>
    </row>
    <row r="83" spans="1:26">
      <c r="A83" s="478"/>
      <c r="B83" s="480"/>
      <c r="C83" s="480"/>
      <c r="D83" s="480"/>
      <c r="E83" s="481"/>
      <c r="F83" s="480"/>
      <c r="G83" s="481"/>
      <c r="H83" s="480"/>
      <c r="I83" s="481"/>
      <c r="J83" s="480"/>
      <c r="K83" s="480"/>
      <c r="L83" s="480"/>
      <c r="M83" s="481"/>
      <c r="N83" s="480"/>
      <c r="O83" s="481"/>
      <c r="P83" s="480"/>
      <c r="Q83" s="481"/>
      <c r="R83" s="480"/>
      <c r="S83" s="481"/>
      <c r="T83" s="480"/>
      <c r="U83" s="481"/>
      <c r="V83" s="480"/>
      <c r="W83" s="481"/>
      <c r="X83" s="480"/>
      <c r="Y83" s="481"/>
      <c r="Z83" s="409"/>
    </row>
    <row r="84" spans="1:26">
      <c r="A84" s="478"/>
      <c r="B84" s="480"/>
      <c r="C84" s="480"/>
      <c r="D84" s="480"/>
      <c r="E84" s="481"/>
      <c r="F84" s="480"/>
      <c r="G84" s="481"/>
      <c r="H84" s="480"/>
      <c r="I84" s="481"/>
      <c r="J84" s="480"/>
      <c r="K84" s="480"/>
      <c r="L84" s="480"/>
      <c r="M84" s="481"/>
      <c r="N84" s="480"/>
      <c r="O84" s="481"/>
      <c r="P84" s="480"/>
      <c r="Q84" s="481"/>
      <c r="R84" s="480"/>
      <c r="S84" s="481"/>
      <c r="T84" s="480"/>
      <c r="U84" s="481"/>
      <c r="V84" s="480"/>
      <c r="W84" s="481"/>
      <c r="X84" s="480"/>
      <c r="Y84" s="481"/>
      <c r="Z84" s="409"/>
    </row>
    <row r="85" spans="1:26">
      <c r="A85" s="478"/>
      <c r="B85" s="480"/>
      <c r="C85" s="480"/>
      <c r="D85" s="480"/>
      <c r="E85" s="481"/>
      <c r="F85" s="480"/>
      <c r="G85" s="481"/>
      <c r="H85" s="480"/>
      <c r="I85" s="481"/>
      <c r="J85" s="480"/>
      <c r="K85" s="480"/>
      <c r="L85" s="480"/>
      <c r="M85" s="481"/>
      <c r="N85" s="480"/>
      <c r="O85" s="481"/>
      <c r="P85" s="480"/>
      <c r="Q85" s="481"/>
      <c r="R85" s="480"/>
      <c r="S85" s="481"/>
      <c r="T85" s="480"/>
      <c r="U85" s="481"/>
      <c r="V85" s="480"/>
      <c r="W85" s="481"/>
      <c r="X85" s="480"/>
      <c r="Y85" s="481"/>
      <c r="Z85" s="409"/>
    </row>
    <row r="86" spans="1:26">
      <c r="A86" s="478"/>
      <c r="B86" s="480"/>
      <c r="C86" s="480"/>
      <c r="D86" s="480"/>
      <c r="E86" s="481"/>
      <c r="F86" s="480"/>
      <c r="G86" s="481"/>
      <c r="H86" s="480"/>
      <c r="I86" s="481"/>
      <c r="J86" s="480"/>
      <c r="K86" s="480"/>
      <c r="L86" s="480"/>
      <c r="M86" s="481"/>
      <c r="N86" s="480"/>
      <c r="O86" s="481"/>
      <c r="P86" s="480"/>
      <c r="Q86" s="481"/>
      <c r="R86" s="480"/>
      <c r="S86" s="481"/>
      <c r="T86" s="480"/>
      <c r="U86" s="481"/>
      <c r="V86" s="480"/>
      <c r="W86" s="481"/>
      <c r="X86" s="480"/>
      <c r="Y86" s="481"/>
      <c r="Z86" s="409"/>
    </row>
    <row r="87" spans="1:26">
      <c r="A87" s="478"/>
      <c r="B87" s="480"/>
      <c r="C87" s="480"/>
      <c r="D87" s="480"/>
      <c r="E87" s="481"/>
      <c r="F87" s="480"/>
      <c r="G87" s="481"/>
      <c r="H87" s="480"/>
      <c r="I87" s="481"/>
      <c r="J87" s="480"/>
      <c r="K87" s="480"/>
      <c r="L87" s="480"/>
      <c r="M87" s="481"/>
      <c r="N87" s="480"/>
      <c r="O87" s="481"/>
      <c r="P87" s="480"/>
      <c r="Q87" s="481"/>
      <c r="R87" s="480"/>
      <c r="S87" s="481"/>
      <c r="T87" s="480"/>
      <c r="U87" s="481"/>
      <c r="V87" s="480"/>
      <c r="W87" s="481"/>
      <c r="X87" s="480"/>
      <c r="Y87" s="481"/>
      <c r="Z87" s="409"/>
    </row>
    <row r="88" spans="1:26">
      <c r="A88" s="478"/>
      <c r="B88" s="480"/>
      <c r="C88" s="480"/>
      <c r="D88" s="480"/>
      <c r="E88" s="481"/>
      <c r="F88" s="480"/>
      <c r="G88" s="481"/>
      <c r="H88" s="480"/>
      <c r="I88" s="481"/>
      <c r="J88" s="480"/>
      <c r="K88" s="480"/>
      <c r="L88" s="480"/>
      <c r="M88" s="481"/>
      <c r="N88" s="480"/>
      <c r="O88" s="481"/>
      <c r="P88" s="480"/>
      <c r="Q88" s="481"/>
      <c r="R88" s="480"/>
      <c r="S88" s="481"/>
      <c r="T88" s="480"/>
      <c r="U88" s="481"/>
      <c r="V88" s="480"/>
      <c r="W88" s="481"/>
      <c r="X88" s="480"/>
      <c r="Y88" s="481"/>
      <c r="Z88" s="409"/>
    </row>
    <row r="89" spans="1:26">
      <c r="A89" s="478"/>
      <c r="B89" s="480"/>
      <c r="C89" s="480"/>
      <c r="D89" s="480"/>
      <c r="E89" s="481"/>
      <c r="F89" s="480"/>
      <c r="G89" s="481"/>
      <c r="H89" s="480"/>
      <c r="I89" s="481"/>
      <c r="J89" s="480"/>
      <c r="K89" s="480"/>
      <c r="L89" s="480"/>
      <c r="M89" s="481"/>
      <c r="N89" s="480"/>
      <c r="O89" s="481"/>
      <c r="P89" s="480"/>
      <c r="Q89" s="481"/>
      <c r="R89" s="480"/>
      <c r="S89" s="481"/>
      <c r="T89" s="480"/>
      <c r="U89" s="481"/>
      <c r="V89" s="480"/>
      <c r="W89" s="481"/>
      <c r="X89" s="480"/>
      <c r="Y89" s="481"/>
      <c r="Z89" s="409"/>
    </row>
    <row r="90" spans="1:26">
      <c r="A90" s="478"/>
      <c r="B90" s="480"/>
      <c r="C90" s="480"/>
      <c r="D90" s="480"/>
      <c r="E90" s="481"/>
      <c r="F90" s="480"/>
      <c r="G90" s="481"/>
      <c r="H90" s="480"/>
      <c r="I90" s="481"/>
      <c r="J90" s="480"/>
      <c r="K90" s="480"/>
      <c r="L90" s="480"/>
      <c r="M90" s="481"/>
      <c r="N90" s="480"/>
      <c r="O90" s="481"/>
      <c r="P90" s="480"/>
      <c r="Q90" s="481"/>
      <c r="R90" s="480"/>
      <c r="S90" s="481"/>
      <c r="T90" s="480"/>
      <c r="U90" s="481"/>
      <c r="V90" s="480"/>
      <c r="W90" s="481"/>
      <c r="X90" s="480"/>
      <c r="Y90" s="481"/>
      <c r="Z90" s="409"/>
    </row>
    <row r="91" spans="1:26">
      <c r="A91" s="478"/>
      <c r="B91" s="480"/>
      <c r="C91" s="480"/>
      <c r="D91" s="480"/>
      <c r="E91" s="481"/>
      <c r="F91" s="480"/>
      <c r="G91" s="481"/>
      <c r="H91" s="480"/>
      <c r="I91" s="481"/>
      <c r="J91" s="480"/>
      <c r="K91" s="480"/>
      <c r="L91" s="480"/>
      <c r="M91" s="481"/>
      <c r="N91" s="480"/>
      <c r="O91" s="481"/>
      <c r="P91" s="480"/>
      <c r="Q91" s="481"/>
      <c r="R91" s="480"/>
      <c r="S91" s="481"/>
      <c r="T91" s="480"/>
      <c r="U91" s="481"/>
      <c r="V91" s="480"/>
      <c r="W91" s="481"/>
      <c r="X91" s="480"/>
      <c r="Y91" s="481"/>
      <c r="Z91" s="409"/>
    </row>
    <row r="92" spans="1:26">
      <c r="A92" s="478"/>
      <c r="B92" s="480"/>
      <c r="C92" s="480"/>
      <c r="D92" s="480"/>
      <c r="E92" s="481"/>
      <c r="F92" s="480"/>
      <c r="G92" s="481"/>
      <c r="H92" s="480"/>
      <c r="I92" s="481"/>
      <c r="J92" s="480"/>
      <c r="K92" s="480"/>
      <c r="L92" s="480"/>
      <c r="M92" s="481"/>
      <c r="N92" s="480"/>
      <c r="O92" s="481"/>
      <c r="P92" s="480"/>
      <c r="Q92" s="481"/>
      <c r="R92" s="480"/>
      <c r="S92" s="481"/>
      <c r="T92" s="480"/>
      <c r="U92" s="481"/>
      <c r="V92" s="480"/>
      <c r="W92" s="481"/>
      <c r="X92" s="480"/>
      <c r="Y92" s="481"/>
      <c r="Z92" s="409"/>
    </row>
    <row r="93" spans="1:26">
      <c r="A93" s="478"/>
      <c r="B93" s="480"/>
      <c r="C93" s="480"/>
      <c r="D93" s="480"/>
      <c r="E93" s="481"/>
      <c r="F93" s="480"/>
      <c r="G93" s="481"/>
      <c r="H93" s="480"/>
      <c r="I93" s="481"/>
      <c r="J93" s="480"/>
      <c r="K93" s="480"/>
      <c r="L93" s="480"/>
      <c r="M93" s="481"/>
      <c r="N93" s="480"/>
      <c r="O93" s="481"/>
      <c r="P93" s="480"/>
      <c r="Q93" s="481"/>
      <c r="R93" s="480"/>
      <c r="S93" s="481"/>
      <c r="T93" s="480"/>
      <c r="U93" s="481"/>
      <c r="V93" s="480"/>
      <c r="W93" s="481"/>
      <c r="X93" s="480"/>
      <c r="Y93" s="481"/>
      <c r="Z93" s="409"/>
    </row>
    <row r="94" spans="1:26">
      <c r="A94" s="478"/>
      <c r="B94" s="480"/>
      <c r="C94" s="480"/>
      <c r="D94" s="480"/>
      <c r="E94" s="481"/>
      <c r="F94" s="480"/>
      <c r="G94" s="481"/>
      <c r="H94" s="480"/>
      <c r="I94" s="481"/>
      <c r="J94" s="480"/>
      <c r="K94" s="480"/>
      <c r="L94" s="480"/>
      <c r="M94" s="481"/>
      <c r="N94" s="480"/>
      <c r="O94" s="481"/>
      <c r="P94" s="480"/>
      <c r="Q94" s="481"/>
      <c r="R94" s="480"/>
      <c r="S94" s="481"/>
      <c r="T94" s="480"/>
      <c r="U94" s="481"/>
      <c r="V94" s="480"/>
      <c r="W94" s="481"/>
      <c r="X94" s="480"/>
      <c r="Y94" s="481"/>
      <c r="Z94" s="409"/>
    </row>
  </sheetData>
  <sortState ref="A19:AN28">
    <sortCondition ref="A19:A28"/>
  </sortState>
  <pageMargins left="0.25" right="0.25" top="0.5" bottom="0.25" header="0" footer="0.25"/>
  <pageSetup scale="40" firstPageNumber="56" orientation="landscape" useFirstPageNumber="1" r:id="rId1"/>
  <headerFooter scaleWithDoc="0" alignWithMargins="0">
    <oddHeader xml:space="preserve">&amp;L&amp;14 </oddHeader>
    <oddFooter>&amp;C&amp;8&amp;P</oddFooter>
  </headerFooter>
  <colBreaks count="1" manualBreakCount="1">
    <brk id="30" max="54" man="1"/>
  </colBreaks>
  <ignoredErrors>
    <ignoredError sqref="Z26 Z29:Z36" formula="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3"/>
  <sheetViews>
    <sheetView showGridLines="0" zoomScale="70" zoomScaleNormal="70" workbookViewId="0"/>
  </sheetViews>
  <sheetFormatPr defaultColWidth="8.6640625" defaultRowHeight="17.25" customHeight="1"/>
  <cols>
    <col min="1" max="1" width="60.5546875" style="3773" customWidth="1"/>
    <col min="2" max="2" width="2.109375" style="3593" customWidth="1"/>
    <col min="3" max="3" width="26" style="3773" customWidth="1"/>
    <col min="4" max="4" width="22.109375" style="3773" customWidth="1"/>
    <col min="5" max="5" width="25.109375" style="3773" customWidth="1"/>
    <col min="6" max="6" width="2" style="3773" customWidth="1"/>
    <col min="7" max="7" width="24.109375" style="3596" customWidth="1"/>
    <col min="8" max="8" width="22.5546875" style="3593" customWidth="1"/>
    <col min="9" max="9" width="26.5546875" style="3593" customWidth="1"/>
    <col min="10" max="10" width="8.6640625" style="3847"/>
    <col min="11" max="11" width="21.6640625" style="3593" customWidth="1"/>
    <col min="12" max="12" width="18" style="3593" bestFit="1" customWidth="1"/>
    <col min="13" max="13" width="15.109375" style="3593" bestFit="1" customWidth="1"/>
    <col min="14" max="16384" width="8.6640625" style="3593"/>
  </cols>
  <sheetData>
    <row r="1" spans="1:13" ht="17.25" customHeight="1">
      <c r="A1" s="1501" t="s">
        <v>963</v>
      </c>
    </row>
    <row r="3" spans="1:13" ht="25.35" customHeight="1">
      <c r="A3" s="3809" t="s">
        <v>0</v>
      </c>
      <c r="C3" s="3594"/>
      <c r="D3" s="3594"/>
      <c r="E3" s="3594"/>
      <c r="F3" s="3595"/>
      <c r="H3" s="3598" t="s">
        <v>15</v>
      </c>
      <c r="I3" s="3599" t="s">
        <v>1419</v>
      </c>
    </row>
    <row r="4" spans="1:13" ht="25.35" customHeight="1">
      <c r="A4" s="3810" t="s">
        <v>1443</v>
      </c>
      <c r="C4" s="3594"/>
      <c r="D4" s="3594"/>
      <c r="E4" s="3594"/>
      <c r="F4" s="3595"/>
    </row>
    <row r="5" spans="1:13" ht="21" customHeight="1">
      <c r="A5" s="3811" t="s">
        <v>1470</v>
      </c>
      <c r="C5" s="3594"/>
      <c r="D5" s="3594"/>
      <c r="E5" s="3594"/>
      <c r="F5" s="3595"/>
    </row>
    <row r="6" spans="1:13" ht="17.25" customHeight="1">
      <c r="A6" s="3812"/>
      <c r="C6" s="3594"/>
      <c r="D6" s="3594"/>
      <c r="E6" s="3594"/>
      <c r="F6" s="3595"/>
    </row>
    <row r="7" spans="1:13" ht="17.25" customHeight="1">
      <c r="A7" s="3813"/>
      <c r="B7" s="3648"/>
      <c r="C7" s="3988" t="s">
        <v>1556</v>
      </c>
      <c r="D7" s="3989"/>
      <c r="E7" s="3989"/>
      <c r="F7" s="3763"/>
      <c r="G7" s="3989" t="s">
        <v>1563</v>
      </c>
      <c r="H7" s="3989"/>
      <c r="I7" s="3989"/>
    </row>
    <row r="8" spans="1:13" ht="17.25" customHeight="1">
      <c r="A8" s="3813"/>
      <c r="B8" s="3648"/>
      <c r="C8" s="3813"/>
      <c r="D8" s="3813"/>
      <c r="E8" s="3813"/>
      <c r="F8" s="3813"/>
      <c r="G8" s="3765"/>
      <c r="H8" s="3648"/>
      <c r="I8" s="3648"/>
    </row>
    <row r="9" spans="1:13" ht="17.25" customHeight="1">
      <c r="A9" s="3649"/>
      <c r="B9" s="3648"/>
      <c r="C9" s="3649" t="s">
        <v>1381</v>
      </c>
      <c r="D9" s="3649" t="s">
        <v>1382</v>
      </c>
      <c r="E9" s="3649" t="s">
        <v>1567</v>
      </c>
      <c r="F9" s="3649"/>
      <c r="G9" s="3649" t="s">
        <v>1381</v>
      </c>
      <c r="H9" s="3649" t="s">
        <v>1382</v>
      </c>
      <c r="I9" s="3597" t="s">
        <v>1383</v>
      </c>
    </row>
    <row r="10" spans="1:13" s="3816" customFormat="1" ht="17.25" customHeight="1">
      <c r="A10" s="3814"/>
      <c r="B10" s="3768"/>
      <c r="C10" s="3815"/>
      <c r="D10" s="3815"/>
      <c r="E10" s="3815"/>
      <c r="F10" s="3815"/>
      <c r="G10" s="3615"/>
      <c r="H10" s="3615"/>
      <c r="I10" s="3615"/>
      <c r="J10" s="3854"/>
    </row>
    <row r="11" spans="1:13" s="3820" customFormat="1" ht="17.25" customHeight="1">
      <c r="A11" s="3817" t="s">
        <v>1384</v>
      </c>
      <c r="B11" s="3818"/>
      <c r="C11" s="3616">
        <v>0</v>
      </c>
      <c r="D11" s="3616">
        <v>0</v>
      </c>
      <c r="E11" s="3819">
        <f>C11+D11</f>
        <v>0</v>
      </c>
      <c r="F11" s="3819"/>
      <c r="G11" s="3616">
        <v>0</v>
      </c>
      <c r="H11" s="3616">
        <v>168444308</v>
      </c>
      <c r="I11" s="3819">
        <f>G11+H11</f>
        <v>168444308</v>
      </c>
      <c r="J11" s="3883"/>
      <c r="K11" s="3821"/>
      <c r="L11" s="3821"/>
    </row>
    <row r="12" spans="1:13" s="3820" customFormat="1" ht="17.25" customHeight="1">
      <c r="A12" s="3817" t="s">
        <v>1408</v>
      </c>
      <c r="B12" s="3818"/>
      <c r="C12" s="3822">
        <v>22178781</v>
      </c>
      <c r="D12" s="3617">
        <v>-4453701.82</v>
      </c>
      <c r="E12" s="3612">
        <f>C12+D12</f>
        <v>17725079.18</v>
      </c>
      <c r="F12" s="3612"/>
      <c r="G12" s="3822">
        <v>93727744</v>
      </c>
      <c r="H12" s="3617">
        <v>19425061.549999997</v>
      </c>
      <c r="I12" s="3612">
        <f>G12+H12</f>
        <v>113152805.55</v>
      </c>
      <c r="J12" s="3883"/>
      <c r="K12" s="3821"/>
      <c r="L12" s="3821"/>
      <c r="M12" s="3821"/>
    </row>
    <row r="13" spans="1:13" s="3820" customFormat="1" ht="17.25" customHeight="1">
      <c r="A13" s="3817" t="s">
        <v>1409</v>
      </c>
      <c r="B13" s="3818"/>
      <c r="C13" s="3822">
        <v>0</v>
      </c>
      <c r="D13" s="3617">
        <v>287779.97000000003</v>
      </c>
      <c r="E13" s="3612">
        <f t="shared" ref="E13:E56" si="0">C13+D13</f>
        <v>287779.97000000003</v>
      </c>
      <c r="F13" s="3612"/>
      <c r="G13" s="3822">
        <v>0</v>
      </c>
      <c r="H13" s="3617">
        <v>546073761.97000003</v>
      </c>
      <c r="I13" s="3612">
        <f t="shared" ref="I13:I56" si="1">G13+H13</f>
        <v>546073761.97000003</v>
      </c>
      <c r="J13" s="3883"/>
      <c r="K13" s="3821"/>
      <c r="L13" s="3821"/>
    </row>
    <row r="14" spans="1:13" s="3820" customFormat="1" ht="17.25" customHeight="1">
      <c r="A14" s="3600" t="s">
        <v>1399</v>
      </c>
      <c r="B14" s="3823"/>
      <c r="C14" s="3822">
        <v>4226095.42</v>
      </c>
      <c r="D14" s="3617">
        <v>135062010</v>
      </c>
      <c r="E14" s="3612">
        <f t="shared" si="0"/>
        <v>139288105.41999999</v>
      </c>
      <c r="F14" s="3612"/>
      <c r="G14" s="3822">
        <v>42850270.170000002</v>
      </c>
      <c r="H14" s="3617">
        <v>280124874</v>
      </c>
      <c r="I14" s="3612">
        <f t="shared" si="1"/>
        <v>322975144.17000002</v>
      </c>
      <c r="J14" s="3883"/>
      <c r="K14" s="3821"/>
      <c r="L14" s="3821"/>
    </row>
    <row r="15" spans="1:13" s="3820" customFormat="1" ht="17.25" customHeight="1">
      <c r="A15" s="3817" t="s">
        <v>1410</v>
      </c>
      <c r="B15" s="3818"/>
      <c r="C15" s="3822">
        <v>0</v>
      </c>
      <c r="D15" s="3617">
        <v>0</v>
      </c>
      <c r="E15" s="3612">
        <f t="shared" si="0"/>
        <v>0</v>
      </c>
      <c r="F15" s="3612"/>
      <c r="G15" s="3822">
        <v>2134333.54</v>
      </c>
      <c r="H15" s="3617">
        <v>0</v>
      </c>
      <c r="I15" s="3612">
        <f t="shared" si="1"/>
        <v>2134333.54</v>
      </c>
      <c r="J15" s="3883"/>
      <c r="K15" s="3821"/>
      <c r="L15" s="3821"/>
    </row>
    <row r="16" spans="1:13" s="3820" customFormat="1" ht="17.25" customHeight="1">
      <c r="A16" s="3817" t="s">
        <v>1411</v>
      </c>
      <c r="B16" s="3818"/>
      <c r="C16" s="3822">
        <v>1828050.33</v>
      </c>
      <c r="D16" s="3617">
        <v>0</v>
      </c>
      <c r="E16" s="3612">
        <f t="shared" si="0"/>
        <v>1828050.33</v>
      </c>
      <c r="F16" s="3612"/>
      <c r="G16" s="3822">
        <v>10223915.93</v>
      </c>
      <c r="H16" s="3617">
        <v>0</v>
      </c>
      <c r="I16" s="3612">
        <f t="shared" si="1"/>
        <v>10223915.93</v>
      </c>
      <c r="J16" s="3883"/>
      <c r="K16" s="3821"/>
      <c r="L16" s="3821"/>
    </row>
    <row r="17" spans="1:12" s="3820" customFormat="1" ht="17.25" customHeight="1">
      <c r="A17" s="3817" t="s">
        <v>1412</v>
      </c>
      <c r="B17" s="3818"/>
      <c r="C17" s="3822">
        <v>968126.08000000007</v>
      </c>
      <c r="D17" s="3617">
        <v>0</v>
      </c>
      <c r="E17" s="3612">
        <f t="shared" si="0"/>
        <v>968126.08000000007</v>
      </c>
      <c r="F17" s="3612"/>
      <c r="G17" s="3822">
        <v>968126.08000000007</v>
      </c>
      <c r="H17" s="3617">
        <v>0</v>
      </c>
      <c r="I17" s="3612">
        <f t="shared" si="1"/>
        <v>968126.08000000007</v>
      </c>
      <c r="J17" s="3883"/>
      <c r="K17" s="3821"/>
      <c r="L17" s="3821"/>
    </row>
    <row r="18" spans="1:12" s="3820" customFormat="1" ht="17.25" customHeight="1">
      <c r="A18" s="3817" t="s">
        <v>1385</v>
      </c>
      <c r="B18" s="3818"/>
      <c r="C18" s="3822">
        <v>0</v>
      </c>
      <c r="D18" s="3617">
        <v>0</v>
      </c>
      <c r="E18" s="3612">
        <f t="shared" si="0"/>
        <v>0</v>
      </c>
      <c r="F18" s="3612"/>
      <c r="G18" s="3822">
        <v>657322.04</v>
      </c>
      <c r="H18" s="3617">
        <v>0</v>
      </c>
      <c r="I18" s="3612">
        <f t="shared" si="1"/>
        <v>657322.04</v>
      </c>
      <c r="J18" s="3883"/>
      <c r="K18" s="3821"/>
      <c r="L18" s="3821"/>
    </row>
    <row r="19" spans="1:12" s="3820" customFormat="1" ht="17.25" customHeight="1">
      <c r="A19" s="3817" t="s">
        <v>1386</v>
      </c>
      <c r="B19" s="3818"/>
      <c r="C19" s="3822">
        <v>0</v>
      </c>
      <c r="D19" s="3617">
        <v>2232355.0499999998</v>
      </c>
      <c r="E19" s="3612">
        <f t="shared" si="0"/>
        <v>2232355.0499999998</v>
      </c>
      <c r="F19" s="3612"/>
      <c r="G19" s="3822">
        <v>0</v>
      </c>
      <c r="H19" s="3617">
        <v>11012946.310000001</v>
      </c>
      <c r="I19" s="3612">
        <f t="shared" si="1"/>
        <v>11012946.310000001</v>
      </c>
      <c r="J19" s="3883"/>
      <c r="K19" s="3821"/>
      <c r="L19" s="3821"/>
    </row>
    <row r="20" spans="1:12" s="3820" customFormat="1" ht="17.25" customHeight="1">
      <c r="A20" s="3817" t="s">
        <v>1387</v>
      </c>
      <c r="B20" s="3818"/>
      <c r="C20" s="3822">
        <v>117604.78</v>
      </c>
      <c r="D20" s="3617">
        <v>0</v>
      </c>
      <c r="E20" s="3612">
        <f t="shared" si="0"/>
        <v>117604.78</v>
      </c>
      <c r="F20" s="3612"/>
      <c r="G20" s="3822">
        <v>2501443.0099999998</v>
      </c>
      <c r="H20" s="3617">
        <v>0</v>
      </c>
      <c r="I20" s="3612">
        <f t="shared" si="1"/>
        <v>2501443.0099999998</v>
      </c>
      <c r="J20" s="3883"/>
      <c r="K20" s="3821"/>
      <c r="L20" s="3821"/>
    </row>
    <row r="21" spans="1:12" s="3820" customFormat="1" ht="17.25" customHeight="1">
      <c r="A21" s="3817" t="s">
        <v>1429</v>
      </c>
      <c r="B21" s="3818"/>
      <c r="C21" s="3822">
        <v>0</v>
      </c>
      <c r="D21" s="3617">
        <v>0</v>
      </c>
      <c r="E21" s="3612">
        <f t="shared" si="0"/>
        <v>0</v>
      </c>
      <c r="F21" s="3612"/>
      <c r="G21" s="3822">
        <v>750000</v>
      </c>
      <c r="H21" s="3617">
        <v>0</v>
      </c>
      <c r="I21" s="3612">
        <f t="shared" si="1"/>
        <v>750000</v>
      </c>
      <c r="J21" s="3883"/>
      <c r="K21" s="3821"/>
      <c r="L21" s="3821"/>
    </row>
    <row r="22" spans="1:12" s="3820" customFormat="1" ht="17.25" customHeight="1">
      <c r="A22" s="3817" t="s">
        <v>1413</v>
      </c>
      <c r="B22" s="3818"/>
      <c r="C22" s="3822">
        <v>389963.86</v>
      </c>
      <c r="D22" s="3617">
        <v>0</v>
      </c>
      <c r="E22" s="3612">
        <f t="shared" si="0"/>
        <v>389963.86</v>
      </c>
      <c r="F22" s="3612"/>
      <c r="G22" s="3822">
        <v>4282451.8099999996</v>
      </c>
      <c r="H22" s="3617">
        <v>0</v>
      </c>
      <c r="I22" s="3612">
        <f t="shared" si="1"/>
        <v>4282451.8099999996</v>
      </c>
      <c r="J22" s="3883"/>
      <c r="K22" s="3821"/>
      <c r="L22" s="3821"/>
    </row>
    <row r="23" spans="1:12" s="3820" customFormat="1" ht="17.25" customHeight="1">
      <c r="A23" s="3817" t="s">
        <v>1388</v>
      </c>
      <c r="B23" s="3818"/>
      <c r="C23" s="3822">
        <v>0</v>
      </c>
      <c r="D23" s="3617">
        <v>0</v>
      </c>
      <c r="E23" s="3612">
        <f t="shared" si="0"/>
        <v>0</v>
      </c>
      <c r="F23" s="3612"/>
      <c r="G23" s="3822">
        <v>0</v>
      </c>
      <c r="H23" s="3617">
        <v>0</v>
      </c>
      <c r="I23" s="3612">
        <f t="shared" si="1"/>
        <v>0</v>
      </c>
      <c r="J23" s="3883"/>
      <c r="K23" s="3821"/>
      <c r="L23" s="3821"/>
    </row>
    <row r="24" spans="1:12" s="3820" customFormat="1" ht="17.25" customHeight="1">
      <c r="A24" s="3817" t="s">
        <v>1430</v>
      </c>
      <c r="B24" s="3818"/>
      <c r="C24" s="3822">
        <v>0</v>
      </c>
      <c r="D24" s="3617">
        <v>0</v>
      </c>
      <c r="E24" s="3612">
        <f t="shared" si="0"/>
        <v>0</v>
      </c>
      <c r="F24" s="3612"/>
      <c r="G24" s="3822">
        <v>0</v>
      </c>
      <c r="H24" s="3617">
        <v>0</v>
      </c>
      <c r="I24" s="3612">
        <f t="shared" si="1"/>
        <v>0</v>
      </c>
      <c r="J24" s="3883"/>
      <c r="K24" s="3821"/>
      <c r="L24" s="3821"/>
    </row>
    <row r="25" spans="1:12" s="3820" customFormat="1" ht="17.25" customHeight="1">
      <c r="A25" s="3817" t="s">
        <v>1414</v>
      </c>
      <c r="B25" s="3818"/>
      <c r="C25" s="3822">
        <v>0</v>
      </c>
      <c r="D25" s="3617">
        <v>0</v>
      </c>
      <c r="E25" s="3612">
        <f t="shared" si="0"/>
        <v>0</v>
      </c>
      <c r="F25" s="3612"/>
      <c r="G25" s="3822">
        <v>0</v>
      </c>
      <c r="H25" s="3617">
        <v>0</v>
      </c>
      <c r="I25" s="3612">
        <f t="shared" si="1"/>
        <v>0</v>
      </c>
      <c r="J25" s="3883"/>
      <c r="K25" s="3821"/>
      <c r="L25" s="3821"/>
    </row>
    <row r="26" spans="1:12" s="3820" customFormat="1" ht="17.25" customHeight="1">
      <c r="A26" s="3817" t="s">
        <v>1415</v>
      </c>
      <c r="B26" s="3818"/>
      <c r="C26" s="3822">
        <v>0</v>
      </c>
      <c r="D26" s="3617">
        <v>0</v>
      </c>
      <c r="E26" s="3612">
        <f t="shared" si="0"/>
        <v>0</v>
      </c>
      <c r="F26" s="3612"/>
      <c r="G26" s="3822">
        <v>0</v>
      </c>
      <c r="H26" s="3617">
        <v>0</v>
      </c>
      <c r="I26" s="3612">
        <f t="shared" si="1"/>
        <v>0</v>
      </c>
      <c r="J26" s="3883"/>
      <c r="K26" s="3821"/>
      <c r="L26" s="3821"/>
    </row>
    <row r="27" spans="1:12" s="3820" customFormat="1" ht="17.25" customHeight="1">
      <c r="A27" s="3817" t="s">
        <v>1459</v>
      </c>
      <c r="B27" s="3818"/>
      <c r="C27" s="3822">
        <v>1600000</v>
      </c>
      <c r="D27" s="3617">
        <v>0</v>
      </c>
      <c r="E27" s="3612">
        <f t="shared" si="0"/>
        <v>1600000</v>
      </c>
      <c r="F27" s="3612"/>
      <c r="G27" s="3822">
        <v>1600000</v>
      </c>
      <c r="H27" s="3617">
        <v>0</v>
      </c>
      <c r="I27" s="3612">
        <f t="shared" si="1"/>
        <v>1600000</v>
      </c>
      <c r="J27" s="3883"/>
      <c r="K27" s="3821"/>
      <c r="L27" s="3821"/>
    </row>
    <row r="28" spans="1:12" s="3820" customFormat="1" ht="17.25" customHeight="1">
      <c r="A28" s="3817" t="s">
        <v>1424</v>
      </c>
      <c r="B28" s="3818"/>
      <c r="C28" s="3822">
        <v>0</v>
      </c>
      <c r="D28" s="3617">
        <v>0</v>
      </c>
      <c r="E28" s="3612">
        <f t="shared" si="0"/>
        <v>0</v>
      </c>
      <c r="F28" s="3612"/>
      <c r="G28" s="3822">
        <v>35239490</v>
      </c>
      <c r="H28" s="3617">
        <v>0</v>
      </c>
      <c r="I28" s="3612">
        <f t="shared" si="1"/>
        <v>35239490</v>
      </c>
      <c r="J28" s="3883"/>
      <c r="K28" s="3821"/>
      <c r="L28" s="3821"/>
    </row>
    <row r="29" spans="1:12" s="3820" customFormat="1" ht="17.25" customHeight="1">
      <c r="A29" s="3817" t="s">
        <v>1389</v>
      </c>
      <c r="B29" s="3818"/>
      <c r="C29" s="3822">
        <v>0</v>
      </c>
      <c r="D29" s="3617">
        <v>0</v>
      </c>
      <c r="E29" s="3612">
        <f t="shared" si="0"/>
        <v>0</v>
      </c>
      <c r="F29" s="3612"/>
      <c r="G29" s="3822">
        <v>0</v>
      </c>
      <c r="H29" s="3617">
        <v>0</v>
      </c>
      <c r="I29" s="3612">
        <f t="shared" si="1"/>
        <v>0</v>
      </c>
      <c r="J29" s="3883"/>
      <c r="K29" s="3821"/>
      <c r="L29" s="3821"/>
    </row>
    <row r="30" spans="1:12" s="3820" customFormat="1" ht="17.25" customHeight="1">
      <c r="A30" s="3817" t="s">
        <v>1390</v>
      </c>
      <c r="B30" s="3818"/>
      <c r="C30" s="3822">
        <v>741563.41</v>
      </c>
      <c r="D30" s="3617">
        <v>0</v>
      </c>
      <c r="E30" s="3612">
        <f t="shared" si="0"/>
        <v>741563.41</v>
      </c>
      <c r="F30" s="3612"/>
      <c r="G30" s="3822">
        <v>7801218.3600000003</v>
      </c>
      <c r="H30" s="3617">
        <v>0</v>
      </c>
      <c r="I30" s="3612">
        <f t="shared" si="1"/>
        <v>7801218.3600000003</v>
      </c>
      <c r="J30" s="3883"/>
      <c r="K30" s="3821"/>
      <c r="L30" s="3821"/>
    </row>
    <row r="31" spans="1:12" s="3820" customFormat="1" ht="17.25" customHeight="1">
      <c r="A31" s="3817" t="s">
        <v>1423</v>
      </c>
      <c r="B31" s="3818"/>
      <c r="C31" s="3822">
        <v>0</v>
      </c>
      <c r="D31" s="3617">
        <v>0</v>
      </c>
      <c r="E31" s="3612">
        <f t="shared" si="0"/>
        <v>0</v>
      </c>
      <c r="F31" s="3612"/>
      <c r="G31" s="3822">
        <v>750709.02</v>
      </c>
      <c r="H31" s="3617">
        <v>0</v>
      </c>
      <c r="I31" s="3612">
        <f t="shared" si="1"/>
        <v>750709.02</v>
      </c>
      <c r="J31" s="3883"/>
      <c r="K31" s="3821"/>
      <c r="L31" s="3821"/>
    </row>
    <row r="32" spans="1:12" s="3820" customFormat="1" ht="17.25" customHeight="1">
      <c r="A32" s="3817" t="s">
        <v>1426</v>
      </c>
      <c r="B32" s="3818"/>
      <c r="C32" s="3822">
        <v>1863977.6</v>
      </c>
      <c r="D32" s="3617">
        <v>0</v>
      </c>
      <c r="E32" s="3612">
        <f t="shared" si="0"/>
        <v>1863977.6</v>
      </c>
      <c r="F32" s="3612"/>
      <c r="G32" s="3822">
        <v>20806869.239999998</v>
      </c>
      <c r="H32" s="3617">
        <v>0</v>
      </c>
      <c r="I32" s="3612">
        <f t="shared" si="1"/>
        <v>20806869.239999998</v>
      </c>
      <c r="J32" s="3883"/>
      <c r="K32" s="3821"/>
      <c r="L32" s="3821"/>
    </row>
    <row r="33" spans="1:12" s="3820" customFormat="1" ht="17.25" customHeight="1">
      <c r="A33" s="3817" t="s">
        <v>1391</v>
      </c>
      <c r="B33" s="3818"/>
      <c r="C33" s="3822">
        <v>875744.96</v>
      </c>
      <c r="D33" s="3617">
        <v>6907071</v>
      </c>
      <c r="E33" s="3612">
        <f t="shared" si="0"/>
        <v>7782815.96</v>
      </c>
      <c r="F33" s="3612"/>
      <c r="G33" s="3822">
        <v>19011122.690000001</v>
      </c>
      <c r="H33" s="3617">
        <v>14230665.379999999</v>
      </c>
      <c r="I33" s="3612">
        <f t="shared" si="1"/>
        <v>33241788.07</v>
      </c>
      <c r="J33" s="3883"/>
      <c r="K33" s="3821"/>
      <c r="L33" s="3821"/>
    </row>
    <row r="34" spans="1:12" s="3820" customFormat="1" ht="17.25" customHeight="1">
      <c r="A34" s="3817" t="s">
        <v>1392</v>
      </c>
      <c r="B34" s="3818"/>
      <c r="C34" s="3822">
        <v>0</v>
      </c>
      <c r="D34" s="3617">
        <v>0</v>
      </c>
      <c r="E34" s="3612">
        <f t="shared" si="0"/>
        <v>0</v>
      </c>
      <c r="F34" s="3612"/>
      <c r="G34" s="3822">
        <v>376446.03</v>
      </c>
      <c r="H34" s="3617">
        <v>0</v>
      </c>
      <c r="I34" s="3612">
        <f t="shared" si="1"/>
        <v>376446.03</v>
      </c>
      <c r="J34" s="3883"/>
      <c r="K34" s="3821"/>
      <c r="L34" s="3821"/>
    </row>
    <row r="35" spans="1:12" s="3820" customFormat="1" ht="17.25" customHeight="1">
      <c r="A35" s="3817" t="s">
        <v>1393</v>
      </c>
      <c r="B35" s="3818"/>
      <c r="C35" s="3822">
        <v>2143687.5</v>
      </c>
      <c r="D35" s="3617">
        <v>0</v>
      </c>
      <c r="E35" s="3612">
        <f t="shared" si="0"/>
        <v>2143687.5</v>
      </c>
      <c r="F35" s="3612"/>
      <c r="G35" s="3822">
        <v>18531501.449999999</v>
      </c>
      <c r="H35" s="3617">
        <v>0</v>
      </c>
      <c r="I35" s="3612">
        <f t="shared" si="1"/>
        <v>18531501.449999999</v>
      </c>
      <c r="J35" s="3883"/>
      <c r="K35" s="3821"/>
      <c r="L35" s="3821"/>
    </row>
    <row r="36" spans="1:12" s="3820" customFormat="1" ht="17.25" customHeight="1">
      <c r="A36" s="3817" t="s">
        <v>1400</v>
      </c>
      <c r="B36" s="3818"/>
      <c r="C36" s="3822">
        <v>14853755.33</v>
      </c>
      <c r="D36" s="3617">
        <v>0</v>
      </c>
      <c r="E36" s="3612">
        <f t="shared" si="0"/>
        <v>14853755.33</v>
      </c>
      <c r="F36" s="3612"/>
      <c r="G36" s="3822">
        <v>299128986.70999998</v>
      </c>
      <c r="H36" s="3617">
        <v>0</v>
      </c>
      <c r="I36" s="3612">
        <f t="shared" si="1"/>
        <v>299128986.70999998</v>
      </c>
      <c r="J36" s="3883"/>
      <c r="K36" s="3821"/>
      <c r="L36" s="3821"/>
    </row>
    <row r="37" spans="1:12" s="3820" customFormat="1" ht="17.25" customHeight="1">
      <c r="A37" s="3817" t="s">
        <v>1457</v>
      </c>
      <c r="B37" s="3818"/>
      <c r="C37" s="3822">
        <v>0</v>
      </c>
      <c r="D37" s="3617">
        <v>0</v>
      </c>
      <c r="E37" s="3612">
        <f t="shared" si="0"/>
        <v>0</v>
      </c>
      <c r="F37" s="3612"/>
      <c r="G37" s="3822">
        <v>46974452.850000001</v>
      </c>
      <c r="H37" s="3617">
        <v>0</v>
      </c>
      <c r="I37" s="3612">
        <f t="shared" si="1"/>
        <v>46974452.850000001</v>
      </c>
      <c r="J37" s="3883"/>
      <c r="K37" s="3821"/>
      <c r="L37" s="3821"/>
    </row>
    <row r="38" spans="1:12" s="3820" customFormat="1" ht="17.25" customHeight="1">
      <c r="A38" s="3817" t="s">
        <v>1401</v>
      </c>
      <c r="B38" s="3818"/>
      <c r="C38" s="3822">
        <v>9574386.7100000009</v>
      </c>
      <c r="D38" s="3617">
        <v>0</v>
      </c>
      <c r="E38" s="3612">
        <f t="shared" si="0"/>
        <v>9574386.7100000009</v>
      </c>
      <c r="F38" s="3612"/>
      <c r="G38" s="3822">
        <v>161624965.41</v>
      </c>
      <c r="H38" s="3617">
        <v>0</v>
      </c>
      <c r="I38" s="3612">
        <f t="shared" si="1"/>
        <v>161624965.41</v>
      </c>
      <c r="J38" s="3883"/>
      <c r="K38" s="3821"/>
      <c r="L38" s="3821"/>
    </row>
    <row r="39" spans="1:12" s="3820" customFormat="1" ht="17.25" customHeight="1">
      <c r="A39" s="3817" t="s">
        <v>1402</v>
      </c>
      <c r="B39" s="3818"/>
      <c r="C39" s="3822">
        <v>12194988.939999999</v>
      </c>
      <c r="D39" s="3617">
        <v>0</v>
      </c>
      <c r="E39" s="3612">
        <f t="shared" si="0"/>
        <v>12194988.939999999</v>
      </c>
      <c r="F39" s="3612"/>
      <c r="G39" s="3822">
        <v>145412531.59</v>
      </c>
      <c r="H39" s="3617">
        <v>0</v>
      </c>
      <c r="I39" s="3612">
        <f t="shared" si="1"/>
        <v>145412531.59</v>
      </c>
      <c r="J39" s="3883"/>
      <c r="K39" s="3821"/>
      <c r="L39" s="3821"/>
    </row>
    <row r="40" spans="1:12" s="3820" customFormat="1" ht="17.25" customHeight="1">
      <c r="A40" s="3817" t="s">
        <v>1394</v>
      </c>
      <c r="B40" s="3818"/>
      <c r="C40" s="3822">
        <v>146095173.91999999</v>
      </c>
      <c r="D40" s="3617">
        <v>0</v>
      </c>
      <c r="E40" s="3612">
        <f t="shared" si="0"/>
        <v>146095173.91999999</v>
      </c>
      <c r="F40" s="3612"/>
      <c r="G40" s="3822">
        <v>878382976.90999997</v>
      </c>
      <c r="H40" s="3617">
        <v>0</v>
      </c>
      <c r="I40" s="3612">
        <f t="shared" si="1"/>
        <v>878382976.90999997</v>
      </c>
      <c r="J40" s="3883"/>
      <c r="K40" s="3821"/>
      <c r="L40" s="3821"/>
    </row>
    <row r="41" spans="1:12" s="3820" customFormat="1" ht="17.25" customHeight="1">
      <c r="A41" s="3817" t="s">
        <v>1403</v>
      </c>
      <c r="B41" s="3818"/>
      <c r="C41" s="3822">
        <v>491451544.24000001</v>
      </c>
      <c r="D41" s="3617">
        <v>0</v>
      </c>
      <c r="E41" s="3612">
        <f t="shared" si="0"/>
        <v>491451544.24000001</v>
      </c>
      <c r="F41" s="3612"/>
      <c r="G41" s="3822">
        <v>5356169355.0600004</v>
      </c>
      <c r="H41" s="3617">
        <v>0</v>
      </c>
      <c r="I41" s="3612">
        <f t="shared" si="1"/>
        <v>5356169355.0600004</v>
      </c>
      <c r="J41" s="3883"/>
      <c r="K41" s="3821"/>
      <c r="L41" s="3821"/>
    </row>
    <row r="42" spans="1:12" s="3820" customFormat="1" ht="17.25" customHeight="1">
      <c r="A42" s="3817" t="s">
        <v>1404</v>
      </c>
      <c r="B42" s="3818"/>
      <c r="C42" s="3822">
        <v>164018545.58000001</v>
      </c>
      <c r="D42" s="3617">
        <v>0</v>
      </c>
      <c r="E42" s="3612">
        <f t="shared" si="0"/>
        <v>164018545.58000001</v>
      </c>
      <c r="F42" s="3612"/>
      <c r="G42" s="3822">
        <v>4228398745.2200003</v>
      </c>
      <c r="H42" s="3617">
        <v>0</v>
      </c>
      <c r="I42" s="3612">
        <f t="shared" si="1"/>
        <v>4228398745.2200003</v>
      </c>
      <c r="J42" s="3883"/>
      <c r="K42" s="3821"/>
      <c r="L42" s="3821"/>
    </row>
    <row r="43" spans="1:12" s="3820" customFormat="1" ht="17.25" customHeight="1">
      <c r="A43" s="3817" t="s">
        <v>1395</v>
      </c>
      <c r="B43" s="3818"/>
      <c r="C43" s="3822">
        <v>10817946.66</v>
      </c>
      <c r="D43" s="3617">
        <v>0</v>
      </c>
      <c r="E43" s="3612">
        <f t="shared" si="0"/>
        <v>10817946.66</v>
      </c>
      <c r="F43" s="3612"/>
      <c r="G43" s="3822">
        <v>128976065.15000001</v>
      </c>
      <c r="H43" s="3617">
        <v>0</v>
      </c>
      <c r="I43" s="3612">
        <f t="shared" si="1"/>
        <v>128976065.15000001</v>
      </c>
      <c r="J43" s="3883"/>
      <c r="K43" s="3821"/>
      <c r="L43" s="3821"/>
    </row>
    <row r="44" spans="1:12" s="3820" customFormat="1" ht="17.25" customHeight="1">
      <c r="A44" s="3817" t="s">
        <v>1405</v>
      </c>
      <c r="B44" s="3818"/>
      <c r="C44" s="3822">
        <v>6289535.8499999996</v>
      </c>
      <c r="D44" s="3617">
        <v>0</v>
      </c>
      <c r="E44" s="3612">
        <f t="shared" si="0"/>
        <v>6289535.8499999996</v>
      </c>
      <c r="F44" s="3612"/>
      <c r="G44" s="3822">
        <v>87356562.290000007</v>
      </c>
      <c r="H44" s="3617">
        <v>0</v>
      </c>
      <c r="I44" s="3612">
        <f t="shared" si="1"/>
        <v>87356562.290000007</v>
      </c>
      <c r="J44" s="3883"/>
      <c r="K44" s="3821"/>
      <c r="L44" s="3821"/>
    </row>
    <row r="45" spans="1:12" s="3820" customFormat="1" ht="17.25" customHeight="1">
      <c r="A45" s="3817" t="s">
        <v>1406</v>
      </c>
      <c r="B45" s="3818"/>
      <c r="C45" s="3822">
        <v>221518.4</v>
      </c>
      <c r="D45" s="3617">
        <v>0</v>
      </c>
      <c r="E45" s="3612">
        <f t="shared" si="0"/>
        <v>221518.4</v>
      </c>
      <c r="F45" s="3612"/>
      <c r="G45" s="3822">
        <v>2565950.41</v>
      </c>
      <c r="H45" s="3617">
        <v>0</v>
      </c>
      <c r="I45" s="3612">
        <f t="shared" si="1"/>
        <v>2565950.41</v>
      </c>
      <c r="J45" s="3883"/>
      <c r="K45" s="3821"/>
      <c r="L45" s="3821"/>
    </row>
    <row r="46" spans="1:12" s="3820" customFormat="1" ht="17.25" customHeight="1">
      <c r="A46" s="3600" t="s">
        <v>1432</v>
      </c>
      <c r="B46" s="3818"/>
      <c r="C46" s="3822">
        <v>-11611751.48</v>
      </c>
      <c r="D46" s="3617">
        <v>-37201</v>
      </c>
      <c r="E46" s="3612">
        <f t="shared" si="0"/>
        <v>-11648952.48</v>
      </c>
      <c r="F46" s="3612"/>
      <c r="G46" s="3822">
        <v>430374926.63999999</v>
      </c>
      <c r="H46" s="3617">
        <v>11571643</v>
      </c>
      <c r="I46" s="3612">
        <f t="shared" si="1"/>
        <v>441946569.63999999</v>
      </c>
      <c r="J46" s="3883"/>
      <c r="K46" s="3821"/>
      <c r="L46" s="3821"/>
    </row>
    <row r="47" spans="1:12" s="3820" customFormat="1" ht="17.25" customHeight="1">
      <c r="A47" s="3817" t="s">
        <v>1407</v>
      </c>
      <c r="B47" s="3818"/>
      <c r="C47" s="3822">
        <v>183101467.19999999</v>
      </c>
      <c r="D47" s="3617">
        <v>0</v>
      </c>
      <c r="E47" s="3612">
        <f t="shared" si="0"/>
        <v>183101467.19999999</v>
      </c>
      <c r="F47" s="3612"/>
      <c r="G47" s="3822">
        <v>1206937116.6900001</v>
      </c>
      <c r="H47" s="3617">
        <v>0</v>
      </c>
      <c r="I47" s="3612">
        <f t="shared" si="1"/>
        <v>1206937116.6900001</v>
      </c>
      <c r="J47" s="3883"/>
      <c r="K47" s="3821"/>
      <c r="L47" s="3821"/>
    </row>
    <row r="48" spans="1:12" s="3820" customFormat="1" ht="17.25" customHeight="1">
      <c r="A48" s="3817" t="s">
        <v>1416</v>
      </c>
      <c r="B48" s="3818"/>
      <c r="C48" s="3822">
        <v>0</v>
      </c>
      <c r="D48" s="3617">
        <v>0</v>
      </c>
      <c r="E48" s="3612">
        <f t="shared" si="0"/>
        <v>0</v>
      </c>
      <c r="F48" s="3612"/>
      <c r="G48" s="3822">
        <v>1437931.96</v>
      </c>
      <c r="H48" s="3617">
        <v>0</v>
      </c>
      <c r="I48" s="3612">
        <f t="shared" si="1"/>
        <v>1437931.96</v>
      </c>
      <c r="J48" s="3883"/>
      <c r="K48" s="3821"/>
      <c r="L48" s="3821"/>
    </row>
    <row r="49" spans="1:12" s="3820" customFormat="1" ht="17.25" customHeight="1">
      <c r="A49" s="3817" t="s">
        <v>1460</v>
      </c>
      <c r="B49" s="3818"/>
      <c r="C49" s="3822">
        <v>0</v>
      </c>
      <c r="D49" s="3617">
        <v>0</v>
      </c>
      <c r="E49" s="3612">
        <f t="shared" si="0"/>
        <v>0</v>
      </c>
      <c r="F49" s="3612"/>
      <c r="G49" s="3822">
        <v>0</v>
      </c>
      <c r="H49" s="3617">
        <v>0</v>
      </c>
      <c r="I49" s="3612">
        <f t="shared" si="1"/>
        <v>0</v>
      </c>
      <c r="J49" s="3883"/>
      <c r="K49" s="3821"/>
      <c r="L49" s="3821"/>
    </row>
    <row r="50" spans="1:12" s="3820" customFormat="1" ht="17.25" customHeight="1">
      <c r="A50" s="3817" t="s">
        <v>1396</v>
      </c>
      <c r="B50" s="3818"/>
      <c r="C50" s="3822">
        <v>350000000</v>
      </c>
      <c r="D50" s="3617">
        <v>0</v>
      </c>
      <c r="E50" s="3612">
        <f t="shared" si="0"/>
        <v>350000000</v>
      </c>
      <c r="F50" s="3612"/>
      <c r="G50" s="3822">
        <v>3365000000</v>
      </c>
      <c r="H50" s="3617">
        <v>0</v>
      </c>
      <c r="I50" s="3612">
        <f t="shared" si="1"/>
        <v>3365000000</v>
      </c>
      <c r="J50" s="3883"/>
      <c r="K50" s="3821"/>
      <c r="L50" s="3821"/>
    </row>
    <row r="51" spans="1:12" s="3820" customFormat="1" ht="17.25" customHeight="1">
      <c r="A51" s="3817" t="s">
        <v>1417</v>
      </c>
      <c r="B51" s="3818"/>
      <c r="C51" s="3822">
        <v>37900449.840000004</v>
      </c>
      <c r="D51" s="3617">
        <v>0</v>
      </c>
      <c r="E51" s="3612">
        <f t="shared" si="0"/>
        <v>37900449.840000004</v>
      </c>
      <c r="F51" s="3612"/>
      <c r="G51" s="3822">
        <v>621039712.47000003</v>
      </c>
      <c r="H51" s="3617">
        <v>0</v>
      </c>
      <c r="I51" s="3612">
        <f t="shared" si="1"/>
        <v>621039712.47000003</v>
      </c>
      <c r="J51" s="3893"/>
      <c r="K51" s="3821"/>
      <c r="L51" s="3821"/>
    </row>
    <row r="52" spans="1:12" s="3820" customFormat="1" ht="17.25" customHeight="1">
      <c r="A52" s="3817" t="s">
        <v>1418</v>
      </c>
      <c r="B52" s="3818"/>
      <c r="C52" s="3822">
        <v>73845000</v>
      </c>
      <c r="D52" s="3617">
        <v>0</v>
      </c>
      <c r="E52" s="3612">
        <f t="shared" si="0"/>
        <v>73845000</v>
      </c>
      <c r="F52" s="3612"/>
      <c r="G52" s="3822">
        <v>650852000</v>
      </c>
      <c r="H52" s="3617">
        <v>0</v>
      </c>
      <c r="I52" s="3612">
        <f t="shared" si="1"/>
        <v>650852000</v>
      </c>
      <c r="J52" s="3883"/>
      <c r="K52" s="3821"/>
      <c r="L52" s="3821"/>
    </row>
    <row r="53" spans="1:12" s="3820" customFormat="1" ht="17.25" customHeight="1">
      <c r="A53" s="3817" t="s">
        <v>1454</v>
      </c>
      <c r="B53" s="3818"/>
      <c r="C53" s="3822">
        <v>0</v>
      </c>
      <c r="D53" s="3617">
        <v>0</v>
      </c>
      <c r="E53" s="3612">
        <f t="shared" si="0"/>
        <v>0</v>
      </c>
      <c r="F53" s="3612"/>
      <c r="G53" s="3617">
        <v>0</v>
      </c>
      <c r="H53" s="3617">
        <v>0</v>
      </c>
      <c r="I53" s="3612">
        <f t="shared" si="1"/>
        <v>0</v>
      </c>
      <c r="J53" s="3883"/>
      <c r="K53" s="3821"/>
      <c r="L53" s="3821"/>
    </row>
    <row r="54" spans="1:12" s="3820" customFormat="1" ht="17.25" customHeight="1">
      <c r="A54" s="3817" t="s">
        <v>1455</v>
      </c>
      <c r="B54" s="3818"/>
      <c r="C54" s="3822">
        <v>0</v>
      </c>
      <c r="D54" s="3617">
        <v>0</v>
      </c>
      <c r="E54" s="3612">
        <f t="shared" si="0"/>
        <v>0</v>
      </c>
      <c r="F54" s="3612"/>
      <c r="G54" s="3617">
        <v>0</v>
      </c>
      <c r="H54" s="3617">
        <v>0</v>
      </c>
      <c r="I54" s="3612">
        <f t="shared" si="1"/>
        <v>0</v>
      </c>
      <c r="J54" s="3883"/>
      <c r="K54" s="3821"/>
      <c r="L54" s="3821"/>
    </row>
    <row r="55" spans="1:12" s="3820" customFormat="1" ht="17.25" customHeight="1">
      <c r="A55" s="3817" t="s">
        <v>1456</v>
      </c>
      <c r="B55" s="3818"/>
      <c r="C55" s="3822">
        <v>0</v>
      </c>
      <c r="D55" s="3617">
        <v>0</v>
      </c>
      <c r="E55" s="3612">
        <f t="shared" si="0"/>
        <v>0</v>
      </c>
      <c r="F55" s="3612"/>
      <c r="G55" s="3617">
        <v>0</v>
      </c>
      <c r="H55" s="3617">
        <v>0</v>
      </c>
      <c r="I55" s="3612">
        <f t="shared" si="1"/>
        <v>0</v>
      </c>
      <c r="J55" s="3883"/>
      <c r="K55" s="3821"/>
      <c r="L55" s="3821"/>
    </row>
    <row r="56" spans="1:12" s="3820" customFormat="1" ht="17.25" customHeight="1">
      <c r="A56" s="3817" t="s">
        <v>1458</v>
      </c>
      <c r="B56" s="3818"/>
      <c r="C56" s="3822"/>
      <c r="D56" s="3617">
        <v>0</v>
      </c>
      <c r="E56" s="3612">
        <f t="shared" si="0"/>
        <v>0</v>
      </c>
      <c r="F56" s="3612"/>
      <c r="G56" s="3617">
        <v>169029951.19999999</v>
      </c>
      <c r="H56" s="3617">
        <v>0</v>
      </c>
      <c r="I56" s="3612">
        <f t="shared" si="1"/>
        <v>169029951.19999999</v>
      </c>
      <c r="J56" s="3883"/>
      <c r="K56" s="3821"/>
      <c r="L56" s="3821"/>
    </row>
    <row r="57" spans="1:12" s="3816" customFormat="1" ht="17.25" customHeight="1">
      <c r="A57" s="3824" t="s">
        <v>1427</v>
      </c>
      <c r="B57" s="3768"/>
      <c r="C57" s="3825">
        <f>SUM(C11:C56)</f>
        <v>1525686156.1299999</v>
      </c>
      <c r="D57" s="3825">
        <f t="shared" ref="D57:E57" si="2">SUM(D11:D56)</f>
        <v>139998313.19999999</v>
      </c>
      <c r="E57" s="3825">
        <f t="shared" si="2"/>
        <v>1665684469.3299999</v>
      </c>
      <c r="F57" s="3826"/>
      <c r="G57" s="3825">
        <f t="shared" ref="G57:I57" si="3">SUM(G11:G56)</f>
        <v>18041875193.93</v>
      </c>
      <c r="H57" s="3825">
        <f t="shared" si="3"/>
        <v>1050883260.2099999</v>
      </c>
      <c r="I57" s="3825">
        <f t="shared" si="3"/>
        <v>19092758454.140003</v>
      </c>
      <c r="J57" s="3854"/>
      <c r="K57" s="3827"/>
      <c r="L57" s="3821"/>
    </row>
    <row r="58" spans="1:12" ht="9.6" customHeight="1">
      <c r="A58" s="3813"/>
      <c r="B58" s="3648"/>
      <c r="C58" s="3619"/>
      <c r="D58" s="3619"/>
      <c r="E58" s="3619"/>
      <c r="F58" s="3619"/>
      <c r="G58" s="3620"/>
      <c r="H58" s="3620"/>
      <c r="I58" s="3620"/>
    </row>
    <row r="59" spans="1:12" ht="32.1" customHeight="1">
      <c r="A59" s="3828" t="s">
        <v>1441</v>
      </c>
      <c r="B59" s="3648"/>
      <c r="C59" s="3902">
        <v>-196493564.94</v>
      </c>
      <c r="D59" s="3911">
        <v>0</v>
      </c>
      <c r="E59" s="3912">
        <f>C59+D59</f>
        <v>-196493564.94</v>
      </c>
      <c r="F59" s="3913"/>
      <c r="G59" s="3914">
        <v>-1531918178.3499999</v>
      </c>
      <c r="H59" s="3899">
        <v>0</v>
      </c>
      <c r="I59" s="3910">
        <f>G59+H59</f>
        <v>-1531918178.3499999</v>
      </c>
    </row>
    <row r="60" spans="1:12" ht="15.6" customHeight="1">
      <c r="A60" s="3829"/>
      <c r="B60" s="3648"/>
      <c r="C60" s="3830"/>
      <c r="D60" s="3830"/>
      <c r="E60" s="3830"/>
      <c r="F60" s="3830"/>
      <c r="G60" s="3647"/>
      <c r="H60" s="3647" t="s">
        <v>15</v>
      </c>
      <c r="I60" s="3647"/>
    </row>
    <row r="61" spans="1:12" ht="17.25" customHeight="1" thickBot="1">
      <c r="A61" s="3829" t="s">
        <v>1397</v>
      </c>
      <c r="B61" s="3648"/>
      <c r="C61" s="3831">
        <f>+C57+C59</f>
        <v>1329192591.1899998</v>
      </c>
      <c r="D61" s="3650">
        <f>+D57</f>
        <v>139998313.19999999</v>
      </c>
      <c r="E61" s="3650">
        <f>+E57+E59</f>
        <v>1469190904.3899999</v>
      </c>
      <c r="F61" s="3770"/>
      <c r="G61" s="3650">
        <f>+G57+G59</f>
        <v>16509957015.58</v>
      </c>
      <c r="H61" s="3650">
        <f>+H57</f>
        <v>1050883260.2099999</v>
      </c>
      <c r="I61" s="3650">
        <f>+I57+I59</f>
        <v>17560840275.790005</v>
      </c>
      <c r="K61" s="3837" t="s">
        <v>15</v>
      </c>
    </row>
    <row r="62" spans="1:12" ht="17.25" customHeight="1" thickTop="1">
      <c r="A62" s="3832"/>
      <c r="B62" s="3608"/>
      <c r="C62" s="3832"/>
      <c r="D62" s="3832"/>
      <c r="E62" s="3833"/>
      <c r="F62" s="3833"/>
      <c r="G62" s="3651"/>
      <c r="H62" s="3651"/>
      <c r="I62" s="3651"/>
      <c r="K62" s="3608" t="s">
        <v>15</v>
      </c>
    </row>
    <row r="63" spans="1:12" ht="16.350000000000001" customHeight="1">
      <c r="A63" s="3834" t="s">
        <v>1446</v>
      </c>
      <c r="B63" s="3608" t="s">
        <v>15</v>
      </c>
      <c r="C63" s="3832" t="s">
        <v>15</v>
      </c>
      <c r="D63" s="3835"/>
      <c r="E63" s="3836"/>
      <c r="F63" s="3832"/>
      <c r="G63" s="3837"/>
      <c r="H63" s="3608"/>
      <c r="I63" s="3837"/>
    </row>
    <row r="64" spans="1:12" ht="16.350000000000001" customHeight="1">
      <c r="A64" s="3838" t="s">
        <v>1449</v>
      </c>
      <c r="B64" s="3608"/>
      <c r="C64" s="3839"/>
      <c r="D64" s="3840"/>
      <c r="E64" s="3841" t="s">
        <v>15</v>
      </c>
      <c r="F64" s="3842"/>
      <c r="G64" s="3843" t="s">
        <v>15</v>
      </c>
      <c r="H64" s="3652" t="s">
        <v>15</v>
      </c>
      <c r="I64" s="3604"/>
    </row>
    <row r="65" spans="1:17" ht="16.350000000000001" customHeight="1">
      <c r="A65" s="3844" t="s">
        <v>1448</v>
      </c>
      <c r="B65" s="3608"/>
      <c r="C65" s="3836" t="s">
        <v>15</v>
      </c>
      <c r="D65" s="3832" t="s">
        <v>15</v>
      </c>
      <c r="E65" s="3836"/>
      <c r="F65" s="3832"/>
      <c r="G65" s="3898"/>
      <c r="H65" s="3608"/>
      <c r="I65" s="3837"/>
    </row>
    <row r="66" spans="1:17" s="3773" customFormat="1" ht="16.350000000000001" customHeight="1">
      <c r="A66" s="3844" t="s">
        <v>1452</v>
      </c>
      <c r="B66" s="3593"/>
      <c r="C66" s="3773" t="s">
        <v>15</v>
      </c>
      <c r="E66" s="3846"/>
      <c r="G66" s="3845" t="s">
        <v>15</v>
      </c>
      <c r="H66" s="3593"/>
      <c r="I66" s="3847"/>
      <c r="J66" s="3847"/>
      <c r="K66" s="3593"/>
      <c r="L66" s="3593"/>
      <c r="M66" s="3593"/>
      <c r="N66" s="3593"/>
      <c r="O66" s="3593"/>
      <c r="P66" s="3593"/>
      <c r="Q66" s="3593"/>
    </row>
    <row r="67" spans="1:17" s="3773" customFormat="1" ht="13.35" customHeight="1">
      <c r="A67" s="3844" t="s">
        <v>1444</v>
      </c>
      <c r="B67" s="3593"/>
      <c r="C67" s="3846"/>
      <c r="G67" s="3596"/>
      <c r="H67" s="3593"/>
      <c r="I67" s="3593"/>
      <c r="J67" s="3847"/>
      <c r="K67" s="3593"/>
      <c r="L67" s="3593"/>
      <c r="M67" s="3593"/>
      <c r="N67" s="3593"/>
      <c r="O67" s="3593"/>
      <c r="P67" s="3593"/>
      <c r="Q67" s="3593"/>
    </row>
    <row r="68" spans="1:17" ht="17.25" customHeight="1">
      <c r="A68" s="3844" t="s">
        <v>1435</v>
      </c>
    </row>
    <row r="69" spans="1:17" ht="17.25" customHeight="1">
      <c r="C69" s="3846"/>
    </row>
    <row r="70" spans="1:17" ht="17.25" customHeight="1">
      <c r="E70" s="3848" t="s">
        <v>15</v>
      </c>
      <c r="I70" s="3849" t="s">
        <v>15</v>
      </c>
    </row>
    <row r="72" spans="1:17" ht="17.25" customHeight="1">
      <c r="I72" s="3620"/>
    </row>
    <row r="73" spans="1:17" ht="17.25" customHeight="1">
      <c r="I73" s="3850"/>
    </row>
  </sheetData>
  <mergeCells count="2">
    <mergeCell ref="C7:E7"/>
    <mergeCell ref="G7:I7"/>
  </mergeCells>
  <printOptions horizontalCentered="1"/>
  <pageMargins left="0.17" right="0.18" top="0.44" bottom="0.27" header="0.23" footer="0.18"/>
  <pageSetup scale="47" firstPageNumber="57" orientation="landscape" useFirstPageNumber="1" r:id="rId1"/>
  <headerFooter scaleWithDoc="0" alignWithMargins="0">
    <oddFooter>&amp;C&amp;8&amp;P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0"/>
  <sheetViews>
    <sheetView showGridLines="0" zoomScale="70" zoomScaleNormal="90" workbookViewId="0"/>
  </sheetViews>
  <sheetFormatPr defaultColWidth="8.6640625" defaultRowHeight="15"/>
  <cols>
    <col min="1" max="1" width="58.6640625" style="3859" customWidth="1"/>
    <col min="2" max="2" width="2" style="3593" customWidth="1"/>
    <col min="3" max="3" width="21.109375" style="3773" customWidth="1"/>
    <col min="4" max="4" width="21.6640625" style="3773" customWidth="1"/>
    <col min="5" max="5" width="19.6640625" style="3773" customWidth="1"/>
    <col min="6" max="6" width="0.6640625" style="3773" customWidth="1"/>
    <col min="7" max="7" width="22.109375" style="3596" customWidth="1"/>
    <col min="8" max="8" width="20.6640625" style="3593" customWidth="1"/>
    <col min="9" max="9" width="21.6640625" style="3593" customWidth="1"/>
    <col min="10" max="10" width="21.21875" style="3593" customWidth="1"/>
    <col min="11" max="11" width="19.109375" style="3593" customWidth="1"/>
    <col min="12" max="12" width="17.6640625" style="3593" customWidth="1"/>
    <col min="13" max="16384" width="8.6640625" style="3593"/>
  </cols>
  <sheetData>
    <row r="1" spans="1:12" ht="15.75">
      <c r="A1" s="1501" t="s">
        <v>963</v>
      </c>
    </row>
    <row r="3" spans="1:12" ht="25.35" customHeight="1">
      <c r="A3" s="3809" t="s">
        <v>0</v>
      </c>
      <c r="C3" s="3594"/>
      <c r="D3" s="3594"/>
      <c r="E3" s="3594"/>
      <c r="F3" s="3595"/>
      <c r="I3" s="3599" t="s">
        <v>1422</v>
      </c>
    </row>
    <row r="4" spans="1:12" ht="25.35" customHeight="1">
      <c r="A4" s="3810" t="s">
        <v>1445</v>
      </c>
      <c r="C4" s="3594"/>
      <c r="D4" s="3594"/>
      <c r="E4" s="3594"/>
      <c r="F4" s="3595"/>
    </row>
    <row r="5" spans="1:12" ht="18.600000000000001" customHeight="1">
      <c r="A5" s="3811" t="s">
        <v>1470</v>
      </c>
      <c r="C5" s="3594"/>
      <c r="D5" s="3594"/>
      <c r="E5" s="3594"/>
      <c r="F5" s="3595"/>
    </row>
    <row r="6" spans="1:12" ht="21">
      <c r="A6" s="3851"/>
      <c r="C6" s="3594"/>
      <c r="D6" s="3594"/>
      <c r="E6" s="3594"/>
      <c r="F6" s="3595"/>
    </row>
    <row r="7" spans="1:12" ht="15.75">
      <c r="A7" s="3852"/>
      <c r="B7" s="3648"/>
      <c r="C7" s="3988" t="str">
        <f>'Appendix H'!C7:E7</f>
        <v>JANUARY 2021</v>
      </c>
      <c r="D7" s="3989"/>
      <c r="E7" s="3989"/>
      <c r="F7" s="3763"/>
      <c r="G7" s="3989" t="str">
        <f>'Appendix H'!G7:I7</f>
        <v>10 MONTHS ENDED JANUARY 31</v>
      </c>
      <c r="H7" s="3989"/>
      <c r="I7" s="3989"/>
    </row>
    <row r="8" spans="1:12" ht="15.75">
      <c r="A8" s="3852"/>
      <c r="B8" s="3648"/>
      <c r="C8" s="3764"/>
      <c r="D8" s="3764"/>
      <c r="E8" s="3764"/>
      <c r="F8" s="3764"/>
      <c r="G8" s="3765"/>
      <c r="H8" s="3648"/>
      <c r="I8" s="3648"/>
    </row>
    <row r="9" spans="1:12" ht="15.75">
      <c r="A9" s="3853"/>
      <c r="B9" s="3648"/>
      <c r="C9" s="3649" t="s">
        <v>1381</v>
      </c>
      <c r="D9" s="3649" t="s">
        <v>1382</v>
      </c>
      <c r="E9" s="3649" t="s">
        <v>1567</v>
      </c>
      <c r="F9" s="3649"/>
      <c r="G9" s="3649" t="s">
        <v>1381</v>
      </c>
      <c r="H9" s="3649" t="s">
        <v>1382</v>
      </c>
      <c r="I9" s="3597" t="s">
        <v>1383</v>
      </c>
    </row>
    <row r="10" spans="1:12" s="3816" customFormat="1" ht="15.75">
      <c r="A10" s="3814"/>
      <c r="B10" s="3768"/>
      <c r="C10" s="3766"/>
      <c r="D10" s="3766"/>
      <c r="E10" s="3766"/>
      <c r="F10" s="3766"/>
      <c r="G10" s="3767"/>
      <c r="H10" s="3768"/>
      <c r="I10" s="3767"/>
    </row>
    <row r="11" spans="1:12" s="3820" customFormat="1" ht="15.75">
      <c r="A11" s="3817" t="s">
        <v>1425</v>
      </c>
      <c r="B11" s="3818"/>
      <c r="C11" s="3769">
        <v>8018030.46</v>
      </c>
      <c r="D11" s="3769">
        <v>0</v>
      </c>
      <c r="E11" s="3770">
        <f>C11+D11</f>
        <v>8018030.46</v>
      </c>
      <c r="F11" s="3770"/>
      <c r="G11" s="3769">
        <v>101033831.67</v>
      </c>
      <c r="H11" s="3769">
        <v>0</v>
      </c>
      <c r="I11" s="3770">
        <f>G11+H11</f>
        <v>101033831.67</v>
      </c>
      <c r="J11" s="3821"/>
      <c r="K11" s="3821"/>
      <c r="L11" s="3821" t="s">
        <v>15</v>
      </c>
    </row>
    <row r="12" spans="1:12" s="3820" customFormat="1" ht="15.75">
      <c r="A12" s="3817" t="s">
        <v>1399</v>
      </c>
      <c r="B12" s="3818"/>
      <c r="C12" s="3617">
        <v>3127639.4</v>
      </c>
      <c r="D12" s="3617">
        <v>116001903</v>
      </c>
      <c r="E12" s="3612">
        <f>C12+D12</f>
        <v>119129542.40000001</v>
      </c>
      <c r="F12" s="3612"/>
      <c r="G12" s="3617">
        <v>81717999.519999996</v>
      </c>
      <c r="H12" s="3617">
        <v>262473510</v>
      </c>
      <c r="I12" s="3612">
        <f>G12+H12</f>
        <v>344191509.51999998</v>
      </c>
      <c r="J12" s="3821"/>
      <c r="K12" s="3821"/>
      <c r="L12" s="3821"/>
    </row>
    <row r="13" spans="1:12" s="3820" customFormat="1" ht="15.75">
      <c r="A13" s="3817" t="s">
        <v>1398</v>
      </c>
      <c r="B13" s="3818"/>
      <c r="C13" s="3617">
        <v>0</v>
      </c>
      <c r="D13" s="3617">
        <v>0</v>
      </c>
      <c r="E13" s="3612">
        <f t="shared" ref="E13:E25" si="0">C13+D13</f>
        <v>0</v>
      </c>
      <c r="F13" s="3612"/>
      <c r="G13" s="3617">
        <v>746230284.57000005</v>
      </c>
      <c r="H13" s="3617">
        <v>0</v>
      </c>
      <c r="I13" s="3612">
        <f t="shared" ref="I13:I25" si="1">G13+H13</f>
        <v>746230284.57000005</v>
      </c>
      <c r="J13" s="3821"/>
      <c r="K13" s="3821"/>
      <c r="L13" s="3821"/>
    </row>
    <row r="14" spans="1:12" s="3820" customFormat="1" ht="15.75">
      <c r="A14" s="3817" t="s">
        <v>1400</v>
      </c>
      <c r="B14" s="3818"/>
      <c r="C14" s="3617">
        <v>457732325.69</v>
      </c>
      <c r="D14" s="3617">
        <v>0</v>
      </c>
      <c r="E14" s="3612">
        <f t="shared" si="0"/>
        <v>457732325.69</v>
      </c>
      <c r="F14" s="3612"/>
      <c r="G14" s="3617">
        <v>3689886227.27</v>
      </c>
      <c r="H14" s="3617">
        <v>0</v>
      </c>
      <c r="I14" s="3612">
        <f t="shared" si="1"/>
        <v>3689886227.27</v>
      </c>
      <c r="J14" s="3821"/>
      <c r="K14" s="3821"/>
      <c r="L14" s="3821"/>
    </row>
    <row r="15" spans="1:12" s="3820" customFormat="1" ht="15.75">
      <c r="A15" s="3817" t="s">
        <v>1401</v>
      </c>
      <c r="B15" s="3818"/>
      <c r="C15" s="3617">
        <v>25399098.550000001</v>
      </c>
      <c r="D15" s="3617">
        <v>0</v>
      </c>
      <c r="E15" s="3612">
        <f t="shared" si="0"/>
        <v>25399098.550000001</v>
      </c>
      <c r="F15" s="3612"/>
      <c r="G15" s="3617">
        <v>495006225.31</v>
      </c>
      <c r="H15" s="3617">
        <v>0</v>
      </c>
      <c r="I15" s="3612">
        <f t="shared" si="1"/>
        <v>495006225.31</v>
      </c>
      <c r="J15" s="3821"/>
      <c r="K15" s="3821"/>
      <c r="L15" s="3821"/>
    </row>
    <row r="16" spans="1:12" s="3820" customFormat="1" ht="15.75">
      <c r="A16" s="3817" t="s">
        <v>1402</v>
      </c>
      <c r="B16" s="3818"/>
      <c r="C16" s="3617">
        <v>46319447.649999999</v>
      </c>
      <c r="D16" s="3617">
        <v>0</v>
      </c>
      <c r="E16" s="3612">
        <f t="shared" si="0"/>
        <v>46319447.649999999</v>
      </c>
      <c r="F16" s="3612"/>
      <c r="G16" s="3617">
        <v>529035104.32999998</v>
      </c>
      <c r="H16" s="3617">
        <v>0</v>
      </c>
      <c r="I16" s="3612">
        <f t="shared" si="1"/>
        <v>529035104.32999998</v>
      </c>
      <c r="J16" s="3821"/>
      <c r="K16" s="3821"/>
      <c r="L16" s="3821"/>
    </row>
    <row r="17" spans="1:12" s="3820" customFormat="1" ht="15.75">
      <c r="A17" s="3817" t="s">
        <v>1394</v>
      </c>
      <c r="B17" s="3818"/>
      <c r="C17" s="3617">
        <v>220549433.22</v>
      </c>
      <c r="D17" s="3617">
        <v>0</v>
      </c>
      <c r="E17" s="3612">
        <f t="shared" si="0"/>
        <v>220549433.22</v>
      </c>
      <c r="F17" s="3612"/>
      <c r="G17" s="3617">
        <v>1301404517.3099999</v>
      </c>
      <c r="H17" s="3617">
        <v>0</v>
      </c>
      <c r="I17" s="3612">
        <f t="shared" si="1"/>
        <v>1301404517.3099999</v>
      </c>
      <c r="J17" s="3821"/>
      <c r="K17" s="3821"/>
      <c r="L17" s="3821"/>
    </row>
    <row r="18" spans="1:12" s="3820" customFormat="1" ht="15.75">
      <c r="A18" s="3817" t="s">
        <v>1403</v>
      </c>
      <c r="B18" s="3818"/>
      <c r="C18" s="3617">
        <v>1359628618.26</v>
      </c>
      <c r="D18" s="3617">
        <v>0</v>
      </c>
      <c r="E18" s="3612">
        <f t="shared" si="0"/>
        <v>1359628618.26</v>
      </c>
      <c r="F18" s="3612"/>
      <c r="G18" s="3617">
        <v>12197879405.360001</v>
      </c>
      <c r="H18" s="3617">
        <v>0</v>
      </c>
      <c r="I18" s="3612">
        <f t="shared" si="1"/>
        <v>12197879405.360001</v>
      </c>
      <c r="J18" s="3821"/>
      <c r="K18" s="3821"/>
      <c r="L18" s="3821"/>
    </row>
    <row r="19" spans="1:12" s="3820" customFormat="1" ht="15.75">
      <c r="A19" s="3817" t="s">
        <v>1404</v>
      </c>
      <c r="B19" s="3818"/>
      <c r="C19" s="3617">
        <v>1746272018.5799999</v>
      </c>
      <c r="D19" s="3617">
        <v>0</v>
      </c>
      <c r="E19" s="3612">
        <f t="shared" si="0"/>
        <v>1746272018.5799999</v>
      </c>
      <c r="F19" s="3612"/>
      <c r="G19" s="3617">
        <v>17405712803.420002</v>
      </c>
      <c r="H19" s="3617">
        <v>0</v>
      </c>
      <c r="I19" s="3612">
        <f t="shared" si="1"/>
        <v>17405712803.420002</v>
      </c>
      <c r="J19" s="3821"/>
      <c r="K19" s="3821"/>
      <c r="L19" s="3821"/>
    </row>
    <row r="20" spans="1:12" s="3820" customFormat="1" ht="15.75">
      <c r="A20" s="3817" t="s">
        <v>1395</v>
      </c>
      <c r="B20" s="3818"/>
      <c r="C20" s="3617">
        <v>29568084.48</v>
      </c>
      <c r="D20" s="3617">
        <v>0</v>
      </c>
      <c r="E20" s="3612">
        <f t="shared" si="0"/>
        <v>29568084.48</v>
      </c>
      <c r="F20" s="3612"/>
      <c r="G20" s="3617">
        <v>340816204.88999999</v>
      </c>
      <c r="H20" s="3617">
        <v>0</v>
      </c>
      <c r="I20" s="3612">
        <f t="shared" si="1"/>
        <v>340816204.88999999</v>
      </c>
      <c r="J20" s="3821"/>
      <c r="K20" s="3821"/>
      <c r="L20" s="3821"/>
    </row>
    <row r="21" spans="1:12" s="3820" customFormat="1" ht="15.75">
      <c r="A21" s="3817" t="s">
        <v>1405</v>
      </c>
      <c r="B21" s="3818"/>
      <c r="C21" s="3617">
        <v>34406967.57</v>
      </c>
      <c r="D21" s="3617">
        <v>0</v>
      </c>
      <c r="E21" s="3612">
        <f t="shared" si="0"/>
        <v>34406967.57</v>
      </c>
      <c r="F21" s="3612"/>
      <c r="G21" s="3617">
        <v>397259909.62</v>
      </c>
      <c r="H21" s="3617">
        <v>0</v>
      </c>
      <c r="I21" s="3612">
        <f t="shared" si="1"/>
        <v>397259909.62</v>
      </c>
      <c r="J21" s="3821"/>
      <c r="K21" s="3821"/>
      <c r="L21" s="3821"/>
    </row>
    <row r="22" spans="1:12" s="3820" customFormat="1" ht="15.75">
      <c r="A22" s="3817" t="s">
        <v>1406</v>
      </c>
      <c r="B22" s="3818"/>
      <c r="C22" s="3617">
        <v>749517.55</v>
      </c>
      <c r="D22" s="3617">
        <v>0</v>
      </c>
      <c r="E22" s="3612">
        <f t="shared" si="0"/>
        <v>749517.55</v>
      </c>
      <c r="F22" s="3612"/>
      <c r="G22" s="3617">
        <v>8695169.0600000005</v>
      </c>
      <c r="H22" s="3617">
        <v>0</v>
      </c>
      <c r="I22" s="3612">
        <f t="shared" si="1"/>
        <v>8695169.0600000005</v>
      </c>
      <c r="J22" s="3821"/>
      <c r="K22" s="3821"/>
      <c r="L22" s="3821"/>
    </row>
    <row r="23" spans="1:12" s="3820" customFormat="1" ht="15.75">
      <c r="A23" s="3817" t="s">
        <v>1431</v>
      </c>
      <c r="B23" s="3818"/>
      <c r="C23" s="3617">
        <v>7469001.9900000002</v>
      </c>
      <c r="D23" s="3617">
        <v>24685707</v>
      </c>
      <c r="E23" s="3612">
        <f t="shared" si="0"/>
        <v>32154708.990000002</v>
      </c>
      <c r="F23" s="3612"/>
      <c r="G23" s="3617">
        <v>21178557.34</v>
      </c>
      <c r="H23" s="3617">
        <v>24103605</v>
      </c>
      <c r="I23" s="3612">
        <f t="shared" si="1"/>
        <v>45282162.340000004</v>
      </c>
      <c r="J23" s="3821"/>
      <c r="K23" s="3821"/>
      <c r="L23" s="3821"/>
    </row>
    <row r="24" spans="1:12" s="3820" customFormat="1" ht="15.75">
      <c r="A24" s="3817" t="s">
        <v>1407</v>
      </c>
      <c r="B24" s="3818"/>
      <c r="C24" s="3617">
        <v>56110138.009999998</v>
      </c>
      <c r="D24" s="3617">
        <v>0</v>
      </c>
      <c r="E24" s="3612">
        <f t="shared" si="0"/>
        <v>56110138.009999998</v>
      </c>
      <c r="F24" s="3612"/>
      <c r="G24" s="3617">
        <v>1073973623.0799999</v>
      </c>
      <c r="H24" s="3617">
        <v>0</v>
      </c>
      <c r="I24" s="3612">
        <f t="shared" si="1"/>
        <v>1073973623.0799999</v>
      </c>
      <c r="J24" s="3821"/>
      <c r="K24" s="3821"/>
      <c r="L24" s="3821"/>
    </row>
    <row r="25" spans="1:12" s="3820" customFormat="1" ht="15.75" customHeight="1">
      <c r="A25" s="3817" t="s">
        <v>1458</v>
      </c>
      <c r="B25" s="3818"/>
      <c r="C25" s="3617">
        <v>0</v>
      </c>
      <c r="D25" s="3617">
        <v>0</v>
      </c>
      <c r="E25" s="3612">
        <f t="shared" si="0"/>
        <v>0</v>
      </c>
      <c r="F25" s="3612"/>
      <c r="G25" s="3617">
        <v>221268617.80000001</v>
      </c>
      <c r="H25" s="3617">
        <v>0</v>
      </c>
      <c r="I25" s="3612">
        <f t="shared" si="1"/>
        <v>221268617.80000001</v>
      </c>
      <c r="J25" s="3821"/>
      <c r="K25" s="3821"/>
      <c r="L25" s="3821"/>
    </row>
    <row r="26" spans="1:12" s="3816" customFormat="1" ht="18.75">
      <c r="A26" s="3824" t="s">
        <v>1427</v>
      </c>
      <c r="B26" s="3768"/>
      <c r="C26" s="3618">
        <f>SUM(C11:C25)</f>
        <v>3995350321.4100003</v>
      </c>
      <c r="D26" s="3618">
        <f>SUM(D11:D25)</f>
        <v>140687610</v>
      </c>
      <c r="E26" s="3618">
        <f>SUM(E11:E25)</f>
        <v>4136037931.4100003</v>
      </c>
      <c r="F26" s="3771"/>
      <c r="G26" s="3618">
        <f>SUM(G11:G25)</f>
        <v>38611098480.550003</v>
      </c>
      <c r="H26" s="3618">
        <f>SUM(H11:H25)</f>
        <v>286577115</v>
      </c>
      <c r="I26" s="3618">
        <f>SUM(I11:I25)</f>
        <v>38897675595.550003</v>
      </c>
      <c r="J26" s="3854" t="s">
        <v>15</v>
      </c>
      <c r="K26" s="3855"/>
    </row>
    <row r="27" spans="1:12" ht="6" customHeight="1">
      <c r="A27" s="3856"/>
      <c r="B27" s="3648"/>
      <c r="C27" s="3772"/>
      <c r="D27" s="3772"/>
      <c r="E27" s="3772"/>
      <c r="F27" s="3772"/>
      <c r="G27" s="3646"/>
      <c r="H27" s="3646"/>
      <c r="I27" s="3646"/>
      <c r="K27" s="3857"/>
    </row>
    <row r="28" spans="1:12" ht="42" customHeight="1">
      <c r="A28" s="3828" t="s">
        <v>1442</v>
      </c>
      <c r="B28" s="3648"/>
      <c r="C28" s="3902">
        <v>-189668398.52000001</v>
      </c>
      <c r="D28" s="3903">
        <v>0</v>
      </c>
      <c r="E28" s="3904">
        <f>C28+D28</f>
        <v>-189668398.52000001</v>
      </c>
      <c r="F28" s="3905"/>
      <c r="G28" s="3899">
        <v>-987595200.70000005</v>
      </c>
      <c r="H28" s="3906">
        <v>0</v>
      </c>
      <c r="I28" s="3907">
        <f>G28+H28</f>
        <v>-987595200.70000005</v>
      </c>
      <c r="J28" s="3608"/>
      <c r="K28" s="3858"/>
    </row>
    <row r="29" spans="1:12" ht="15.6" customHeight="1">
      <c r="A29" s="3829"/>
      <c r="B29" s="3648"/>
      <c r="C29" s="3908"/>
      <c r="D29" s="3908"/>
      <c r="E29" s="3908"/>
      <c r="F29" s="3908"/>
      <c r="G29" s="3909"/>
      <c r="H29" s="3909"/>
      <c r="I29" s="3909"/>
      <c r="K29" s="3847"/>
    </row>
    <row r="30" spans="1:12" ht="19.5" thickBot="1">
      <c r="A30" s="3829" t="s">
        <v>1428</v>
      </c>
      <c r="B30" s="3648"/>
      <c r="C30" s="3650">
        <f>+C26+C28</f>
        <v>3805681922.8900003</v>
      </c>
      <c r="D30" s="3650">
        <f>D26</f>
        <v>140687610</v>
      </c>
      <c r="E30" s="3650">
        <f>E26+E28</f>
        <v>3946369532.8900003</v>
      </c>
      <c r="F30" s="3770"/>
      <c r="G30" s="3650">
        <f>+G26+G28</f>
        <v>37623503279.850006</v>
      </c>
      <c r="H30" s="3650">
        <f>H26</f>
        <v>286577115</v>
      </c>
      <c r="I30" s="3650">
        <f>I26+I28</f>
        <v>37910080394.850006</v>
      </c>
      <c r="J30" s="3850"/>
      <c r="K30" s="3847"/>
    </row>
    <row r="31" spans="1:12" ht="15.75" thickTop="1"/>
    <row r="32" spans="1:12" ht="16.350000000000001" customHeight="1">
      <c r="A32" s="3834" t="s">
        <v>1447</v>
      </c>
      <c r="D32" s="3848"/>
      <c r="G32" s="3899"/>
      <c r="I32" s="3837" t="s">
        <v>15</v>
      </c>
    </row>
    <row r="33" spans="1:9" ht="16.350000000000001" customHeight="1">
      <c r="A33" s="3838" t="s">
        <v>1449</v>
      </c>
      <c r="C33" s="3839"/>
      <c r="D33" s="3839"/>
      <c r="E33" s="3605"/>
      <c r="F33" s="3606"/>
      <c r="G33" s="3843"/>
      <c r="H33" s="3843"/>
      <c r="I33" s="3607"/>
    </row>
    <row r="34" spans="1:9" ht="14.85" customHeight="1">
      <c r="A34" s="3844" t="s">
        <v>1448</v>
      </c>
      <c r="G34" s="3847"/>
      <c r="I34" s="3850"/>
    </row>
    <row r="35" spans="1:9" ht="16.350000000000001" customHeight="1">
      <c r="A35" s="3844" t="s">
        <v>1433</v>
      </c>
      <c r="G35" s="3646"/>
    </row>
    <row r="36" spans="1:9" ht="16.350000000000001" customHeight="1">
      <c r="A36" s="3844" t="s">
        <v>1434</v>
      </c>
      <c r="G36" s="3847"/>
    </row>
    <row r="39" spans="1:9">
      <c r="A39" s="3860" t="s">
        <v>15</v>
      </c>
      <c r="C39" s="3846"/>
      <c r="E39" s="3887"/>
    </row>
    <row r="40" spans="1:9">
      <c r="A40" s="3990"/>
      <c r="B40" s="3990"/>
      <c r="C40" s="3846"/>
      <c r="I40" s="3850"/>
    </row>
  </sheetData>
  <mergeCells count="3">
    <mergeCell ref="C7:E7"/>
    <mergeCell ref="G7:I7"/>
    <mergeCell ref="A40:B40"/>
  </mergeCells>
  <printOptions horizontalCentered="1"/>
  <pageMargins left="0.17" right="0.18" top="0.5" bottom="0.27" header="0.23" footer="0.18"/>
  <pageSetup scale="60" firstPageNumber="58" orientation="landscape" useFirstPageNumber="1" r:id="rId1"/>
  <headerFooter scaleWithDoc="0" alignWithMargins="0">
    <oddFooter>&amp;C&amp;8&amp;P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fitToPage="1"/>
  </sheetPr>
  <dimension ref="A1:IT57"/>
  <sheetViews>
    <sheetView showGridLines="0" zoomScale="90" zoomScaleNormal="90" workbookViewId="0"/>
  </sheetViews>
  <sheetFormatPr defaultColWidth="8.6640625" defaultRowHeight="15"/>
  <cols>
    <col min="1" max="1" width="44.6640625" style="41" customWidth="1"/>
    <col min="2" max="2" width="13.6640625" style="41" customWidth="1"/>
    <col min="3" max="3" width="1.6640625" style="41" customWidth="1"/>
    <col min="4" max="4" width="13.6640625" style="41" customWidth="1"/>
    <col min="5" max="5" width="1.5546875" style="41" customWidth="1"/>
    <col min="6" max="6" width="13.6640625" style="41" customWidth="1"/>
    <col min="7" max="7" width="1.6640625" style="41" customWidth="1"/>
    <col min="8" max="8" width="13.6640625" style="41" customWidth="1"/>
    <col min="9" max="9" width="0.6640625" style="41" customWidth="1"/>
    <col min="10" max="10" width="12.6640625" style="41" customWidth="1"/>
    <col min="11" max="11" width="1.5546875" style="41" customWidth="1"/>
    <col min="12" max="12" width="13.6640625" style="41" customWidth="1"/>
    <col min="13" max="13" width="1" style="41" customWidth="1"/>
    <col min="14" max="14" width="13.44140625" style="1714" customWidth="1"/>
    <col min="15" max="15" width="1.109375" style="1714" customWidth="1"/>
    <col min="16" max="16" width="13.109375" style="1714" customWidth="1"/>
    <col min="17" max="17" width="1.5546875" style="41" customWidth="1"/>
    <col min="18" max="18" width="1" style="104" customWidth="1"/>
    <col min="19" max="19" width="11.6640625" style="41" customWidth="1"/>
    <col min="20" max="20" width="0.6640625" style="104" customWidth="1"/>
    <col min="21" max="21" width="10.6640625" style="41" customWidth="1"/>
    <col min="22" max="22" width="0.44140625" style="104" customWidth="1"/>
    <col min="23" max="16384" width="8.6640625" style="41"/>
  </cols>
  <sheetData>
    <row r="1" spans="1:254">
      <c r="A1" s="644" t="s">
        <v>963</v>
      </c>
    </row>
    <row r="2" spans="1:254">
      <c r="A2" s="824"/>
    </row>
    <row r="3" spans="1:254" s="34" customFormat="1" ht="18" customHeight="1">
      <c r="A3" s="29" t="s">
        <v>0</v>
      </c>
      <c r="B3" s="29"/>
      <c r="C3" s="29"/>
      <c r="D3" s="29"/>
      <c r="E3" s="29"/>
      <c r="F3" s="30"/>
      <c r="G3" s="30"/>
      <c r="H3" s="29"/>
      <c r="I3" s="29"/>
      <c r="J3" s="29"/>
      <c r="K3" s="29"/>
      <c r="L3" s="29"/>
      <c r="M3" s="29"/>
      <c r="N3" s="3498"/>
      <c r="O3" s="3938"/>
      <c r="P3" s="3938"/>
      <c r="Q3" s="1348"/>
      <c r="R3" s="1348"/>
      <c r="S3" s="31"/>
      <c r="T3" s="33"/>
      <c r="U3" s="3939" t="s">
        <v>61</v>
      </c>
      <c r="V3" s="3939"/>
      <c r="W3" s="32"/>
      <c r="X3" s="32"/>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0"/>
      <c r="IP3" s="30"/>
      <c r="IQ3" s="30"/>
      <c r="IR3" s="30"/>
      <c r="IS3" s="30"/>
      <c r="IT3" s="30"/>
    </row>
    <row r="4" spans="1:254" s="34" customFormat="1" ht="15.75">
      <c r="A4" s="29" t="s">
        <v>352</v>
      </c>
      <c r="B4" s="29"/>
      <c r="C4" s="29"/>
      <c r="D4" s="29"/>
      <c r="E4" s="29"/>
      <c r="F4" s="30"/>
      <c r="G4" s="30"/>
      <c r="H4" s="29"/>
      <c r="I4" s="29"/>
      <c r="J4" s="29"/>
      <c r="K4" s="29"/>
      <c r="L4" s="29"/>
      <c r="M4" s="29"/>
      <c r="N4" s="105"/>
      <c r="O4" s="105"/>
      <c r="P4" s="105"/>
      <c r="Q4" s="29"/>
      <c r="R4" s="254"/>
      <c r="S4" s="31"/>
      <c r="T4" s="33"/>
      <c r="U4" s="32"/>
      <c r="V4" s="33"/>
      <c r="W4" s="32"/>
      <c r="X4" s="32"/>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0"/>
      <c r="IH4" s="30"/>
      <c r="II4" s="30"/>
      <c r="IJ4" s="30"/>
      <c r="IK4" s="30"/>
      <c r="IL4" s="30"/>
      <c r="IM4" s="30"/>
      <c r="IN4" s="30"/>
      <c r="IO4" s="30"/>
      <c r="IP4" s="30"/>
      <c r="IQ4" s="30"/>
      <c r="IR4" s="30"/>
      <c r="IS4" s="30"/>
      <c r="IT4" s="30"/>
    </row>
    <row r="5" spans="1:254" s="34" customFormat="1" ht="15.75" customHeight="1">
      <c r="A5" s="1349" t="s">
        <v>871</v>
      </c>
      <c r="B5" s="29"/>
      <c r="C5" s="29"/>
      <c r="D5" s="29"/>
      <c r="E5" s="29"/>
      <c r="F5" s="30"/>
      <c r="G5" s="30"/>
      <c r="H5" s="29"/>
      <c r="I5" s="29"/>
      <c r="J5" s="29"/>
      <c r="K5" s="29"/>
      <c r="L5" s="29"/>
      <c r="M5" s="29"/>
      <c r="N5" s="105"/>
      <c r="O5" s="105"/>
      <c r="P5" s="105" t="s">
        <v>15</v>
      </c>
      <c r="Q5" s="29"/>
      <c r="R5" s="254"/>
      <c r="S5" s="31"/>
      <c r="T5" s="33"/>
      <c r="U5" s="32"/>
      <c r="V5" s="33"/>
      <c r="W5" s="32"/>
      <c r="X5" s="32"/>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0"/>
      <c r="IP5" s="30"/>
      <c r="IQ5" s="30"/>
      <c r="IR5" s="30"/>
      <c r="IS5" s="30"/>
      <c r="IT5" s="30"/>
    </row>
    <row r="6" spans="1:254" s="34" customFormat="1" ht="15.75">
      <c r="A6" s="29" t="s">
        <v>1363</v>
      </c>
      <c r="B6" s="29"/>
      <c r="C6" s="29"/>
      <c r="D6" s="29"/>
      <c r="E6" s="29"/>
      <c r="F6" s="30"/>
      <c r="G6" s="30"/>
      <c r="H6" s="29"/>
      <c r="I6" s="29"/>
      <c r="J6" s="29"/>
      <c r="K6" s="29"/>
      <c r="L6" s="29"/>
      <c r="M6" s="29"/>
      <c r="N6" s="105"/>
      <c r="O6" s="105"/>
      <c r="P6" s="105"/>
      <c r="Q6" s="29"/>
      <c r="R6" s="254"/>
      <c r="S6" s="31"/>
      <c r="T6" s="33"/>
      <c r="U6" s="32"/>
      <c r="V6" s="33"/>
      <c r="W6" s="32"/>
      <c r="X6" s="32"/>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0"/>
      <c r="CX6" s="30"/>
      <c r="CY6" s="30"/>
      <c r="CZ6" s="30"/>
      <c r="DA6" s="30"/>
      <c r="DB6" s="30"/>
      <c r="DC6" s="30"/>
      <c r="DD6" s="30"/>
      <c r="DE6" s="30"/>
      <c r="DF6" s="30"/>
      <c r="DG6" s="30"/>
      <c r="DH6" s="30"/>
      <c r="DI6" s="30"/>
      <c r="DJ6" s="30"/>
      <c r="DK6" s="30"/>
      <c r="DL6" s="30"/>
      <c r="DM6" s="30"/>
      <c r="DN6" s="30"/>
      <c r="DO6" s="30"/>
      <c r="DP6" s="30"/>
      <c r="DQ6" s="30"/>
      <c r="DR6" s="30"/>
      <c r="DS6" s="30"/>
      <c r="DT6" s="30"/>
      <c r="DU6" s="30"/>
      <c r="DV6" s="30"/>
      <c r="DW6" s="30"/>
      <c r="DX6" s="30"/>
      <c r="DY6" s="30"/>
      <c r="DZ6" s="30"/>
      <c r="EA6" s="30"/>
      <c r="EB6" s="30"/>
      <c r="EC6" s="30"/>
      <c r="ED6" s="30"/>
      <c r="EE6" s="30"/>
      <c r="EF6" s="30"/>
      <c r="EG6" s="30"/>
      <c r="EH6" s="30"/>
      <c r="EI6" s="30"/>
      <c r="EJ6" s="30"/>
      <c r="EK6" s="30"/>
      <c r="EL6" s="30"/>
      <c r="EM6" s="30"/>
      <c r="EN6" s="30"/>
      <c r="EO6" s="30"/>
      <c r="EP6" s="30"/>
      <c r="EQ6" s="30"/>
      <c r="ER6" s="30"/>
      <c r="ES6" s="30"/>
      <c r="ET6" s="30"/>
      <c r="EU6" s="30"/>
      <c r="EV6" s="30"/>
      <c r="EW6" s="30"/>
      <c r="EX6" s="30"/>
      <c r="EY6" s="30"/>
      <c r="EZ6" s="30"/>
      <c r="FA6" s="30"/>
      <c r="FB6" s="30"/>
      <c r="FC6" s="30"/>
      <c r="FD6" s="30"/>
      <c r="FE6" s="30"/>
      <c r="FF6" s="30"/>
      <c r="FG6" s="30"/>
      <c r="FH6" s="30"/>
      <c r="FI6" s="30"/>
      <c r="FJ6" s="30"/>
      <c r="FK6" s="30"/>
      <c r="FL6" s="30"/>
      <c r="FM6" s="30"/>
      <c r="FN6" s="30"/>
      <c r="FO6" s="30"/>
      <c r="FP6" s="30"/>
      <c r="FQ6" s="30"/>
      <c r="FR6" s="30"/>
      <c r="FS6" s="30"/>
      <c r="FT6" s="30"/>
      <c r="FU6" s="30"/>
      <c r="FV6" s="30"/>
      <c r="FW6" s="30"/>
      <c r="FX6" s="30"/>
      <c r="FY6" s="30"/>
      <c r="FZ6" s="30"/>
      <c r="GA6" s="30"/>
      <c r="GB6" s="30"/>
      <c r="GC6" s="30"/>
      <c r="GD6" s="30"/>
      <c r="GE6" s="30"/>
      <c r="GF6" s="30"/>
      <c r="GG6" s="30"/>
      <c r="GH6" s="30"/>
      <c r="GI6" s="30"/>
      <c r="GJ6" s="30"/>
      <c r="GK6" s="30"/>
      <c r="GL6" s="30"/>
      <c r="GM6" s="30"/>
      <c r="GN6" s="30"/>
      <c r="GO6" s="30"/>
      <c r="GP6" s="30"/>
      <c r="GQ6" s="30"/>
      <c r="GR6" s="30"/>
      <c r="GS6" s="30"/>
      <c r="GT6" s="30"/>
      <c r="GU6" s="30"/>
      <c r="GV6" s="30"/>
      <c r="GW6" s="30"/>
      <c r="GX6" s="30"/>
      <c r="GY6" s="30"/>
      <c r="GZ6" s="30"/>
      <c r="HA6" s="30"/>
      <c r="HB6" s="30"/>
      <c r="HC6" s="30"/>
      <c r="HD6" s="30"/>
      <c r="HE6" s="30"/>
      <c r="HF6" s="30"/>
      <c r="HG6" s="30"/>
      <c r="HH6" s="30"/>
      <c r="HI6" s="30"/>
      <c r="HJ6" s="30"/>
      <c r="HK6" s="30"/>
      <c r="HL6" s="30"/>
      <c r="HM6" s="30"/>
      <c r="HN6" s="30"/>
      <c r="HO6" s="30"/>
      <c r="HP6" s="30"/>
      <c r="HQ6" s="30"/>
      <c r="HR6" s="30"/>
      <c r="HS6" s="30"/>
      <c r="HT6" s="30"/>
      <c r="HU6" s="30"/>
      <c r="HV6" s="30"/>
      <c r="HW6" s="30"/>
      <c r="HX6" s="30"/>
      <c r="HY6" s="30"/>
      <c r="HZ6" s="30"/>
      <c r="IA6" s="30"/>
      <c r="IB6" s="30"/>
      <c r="IC6" s="30"/>
      <c r="ID6" s="30"/>
      <c r="IE6" s="30"/>
      <c r="IF6" s="30"/>
      <c r="IG6" s="30"/>
      <c r="IH6" s="30"/>
      <c r="II6" s="30"/>
      <c r="IJ6" s="30"/>
      <c r="IK6" s="30"/>
      <c r="IL6" s="30"/>
      <c r="IM6" s="30"/>
      <c r="IN6" s="30"/>
      <c r="IO6" s="30"/>
      <c r="IP6" s="30"/>
      <c r="IQ6" s="30"/>
      <c r="IR6" s="30"/>
      <c r="IS6" s="30"/>
      <c r="IT6" s="30"/>
    </row>
    <row r="7" spans="1:254" s="34" customFormat="1" ht="15.75">
      <c r="A7" s="35"/>
      <c r="B7" s="29"/>
      <c r="C7" s="29"/>
      <c r="D7" s="29"/>
      <c r="E7" s="29"/>
      <c r="F7" s="30"/>
      <c r="G7" s="30"/>
      <c r="H7" s="29"/>
      <c r="I7" s="29"/>
      <c r="J7" s="29"/>
      <c r="K7" s="29"/>
      <c r="L7" s="29"/>
      <c r="M7" s="29"/>
      <c r="N7" s="105"/>
      <c r="O7" s="105"/>
      <c r="P7" s="105"/>
      <c r="Q7" s="29"/>
      <c r="R7" s="254"/>
      <c r="S7" s="31"/>
      <c r="T7" s="33"/>
      <c r="U7" s="32"/>
      <c r="V7" s="33"/>
      <c r="W7" s="32"/>
      <c r="X7" s="32"/>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row>
    <row r="8" spans="1:254" s="34" customFormat="1" ht="15.75">
      <c r="B8" s="29"/>
      <c r="C8" s="29"/>
      <c r="D8" s="29"/>
      <c r="E8" s="29"/>
      <c r="F8" s="30"/>
      <c r="G8" s="30"/>
      <c r="H8" s="29"/>
      <c r="I8" s="29"/>
      <c r="J8" s="29"/>
      <c r="K8" s="29"/>
      <c r="L8" s="29"/>
      <c r="M8" s="29"/>
      <c r="N8" s="105"/>
      <c r="O8" s="105"/>
      <c r="P8" s="105"/>
      <c r="Q8" s="29"/>
      <c r="R8" s="254"/>
      <c r="S8" s="31"/>
      <c r="T8" s="33"/>
      <c r="U8" s="32"/>
      <c r="V8" s="33"/>
      <c r="W8" s="32"/>
      <c r="X8" s="32"/>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0"/>
      <c r="IQ8" s="30"/>
      <c r="IR8" s="30"/>
      <c r="IS8" s="30"/>
      <c r="IT8" s="30"/>
    </row>
    <row r="9" spans="1:254" s="34" customFormat="1" ht="8.1" customHeight="1">
      <c r="A9" s="31"/>
      <c r="B9" s="29"/>
      <c r="C9" s="29"/>
      <c r="D9" s="29"/>
      <c r="E9" s="29"/>
      <c r="F9" s="29"/>
      <c r="G9" s="30"/>
      <c r="H9" s="29"/>
      <c r="I9" s="29"/>
      <c r="J9" s="29"/>
      <c r="K9" s="29"/>
      <c r="L9" s="29"/>
      <c r="M9" s="29"/>
      <c r="N9" s="105"/>
      <c r="O9" s="105"/>
      <c r="P9" s="105"/>
      <c r="Q9" s="29"/>
      <c r="R9" s="254"/>
      <c r="S9" s="31"/>
      <c r="T9" s="36"/>
      <c r="U9" s="31"/>
      <c r="V9" s="37"/>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0"/>
      <c r="IP9" s="30"/>
      <c r="IQ9" s="30"/>
      <c r="IR9" s="30"/>
      <c r="IS9" s="30"/>
      <c r="IT9" s="30"/>
    </row>
    <row r="10" spans="1:254" s="34" customFormat="1" ht="15.75">
      <c r="A10" s="31"/>
      <c r="B10" s="29"/>
      <c r="C10" s="29"/>
      <c r="D10" s="29"/>
      <c r="E10" s="29"/>
      <c r="F10" s="29"/>
      <c r="G10" s="30"/>
      <c r="H10" s="29"/>
      <c r="I10" s="29"/>
      <c r="J10" s="29"/>
      <c r="K10" s="29"/>
      <c r="L10" s="29"/>
      <c r="M10" s="29"/>
      <c r="N10" s="105"/>
      <c r="O10" s="105"/>
      <c r="P10" s="105"/>
      <c r="Q10" s="29"/>
      <c r="R10" s="254"/>
      <c r="S10" s="31"/>
      <c r="T10" s="33"/>
      <c r="U10" s="32"/>
      <c r="V10" s="33"/>
      <c r="W10" s="32"/>
      <c r="X10" s="32"/>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c r="HW10" s="30"/>
      <c r="HX10" s="30"/>
      <c r="HY10" s="30"/>
      <c r="HZ10" s="30"/>
      <c r="IA10" s="30"/>
      <c r="IB10" s="30"/>
      <c r="IC10" s="30"/>
      <c r="ID10" s="30"/>
      <c r="IE10" s="30"/>
      <c r="IF10" s="30"/>
      <c r="IG10" s="30"/>
      <c r="IH10" s="30"/>
      <c r="II10" s="30"/>
      <c r="IJ10" s="30"/>
      <c r="IK10" s="30"/>
      <c r="IL10" s="30"/>
      <c r="IM10" s="30"/>
      <c r="IN10" s="30"/>
      <c r="IO10" s="30"/>
      <c r="IP10" s="30"/>
      <c r="IQ10" s="30"/>
      <c r="IR10" s="30"/>
      <c r="IS10" s="30"/>
      <c r="IT10" s="30"/>
    </row>
    <row r="11" spans="1:254" s="34" customFormat="1" ht="15.75">
      <c r="A11" s="31"/>
      <c r="B11" s="29"/>
      <c r="C11" s="29"/>
      <c r="D11" s="29"/>
      <c r="E11" s="29"/>
      <c r="F11" s="29"/>
      <c r="G11" s="30"/>
      <c r="H11" s="29"/>
      <c r="I11" s="29"/>
      <c r="K11" s="737"/>
      <c r="L11" s="1350"/>
      <c r="M11" s="211"/>
      <c r="N11" s="740"/>
      <c r="O11" s="740"/>
      <c r="P11" s="740"/>
      <c r="Q11" s="737"/>
      <c r="R11" s="754"/>
      <c r="S11" s="31"/>
      <c r="T11" s="33"/>
      <c r="U11" s="32"/>
      <c r="V11" s="33"/>
      <c r="W11" s="32"/>
      <c r="X11" s="32"/>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c r="IQ11" s="30"/>
      <c r="IR11" s="30"/>
      <c r="IS11" s="30"/>
      <c r="IT11" s="30"/>
    </row>
    <row r="12" spans="1:254" ht="16.350000000000001" customHeight="1">
      <c r="A12" s="31"/>
      <c r="B12" s="737"/>
      <c r="C12" s="737" t="s">
        <v>62</v>
      </c>
      <c r="D12" s="737"/>
      <c r="E12" s="29"/>
      <c r="F12" s="737"/>
      <c r="G12" s="737" t="s">
        <v>63</v>
      </c>
      <c r="H12" s="737"/>
      <c r="I12" s="29"/>
      <c r="J12" s="737"/>
      <c r="K12" s="737"/>
      <c r="L12" s="1350"/>
      <c r="M12" s="737" t="s">
        <v>64</v>
      </c>
      <c r="N12" s="740"/>
      <c r="O12" s="740"/>
      <c r="P12" s="740"/>
      <c r="Q12" s="737"/>
      <c r="R12" s="754"/>
      <c r="S12" s="2227" t="s">
        <v>892</v>
      </c>
      <c r="T12" s="2228"/>
      <c r="U12" s="2228"/>
      <c r="V12" s="39"/>
      <c r="W12" s="40"/>
      <c r="X12" s="40"/>
    </row>
    <row r="13" spans="1:254" ht="13.35" customHeight="1">
      <c r="A13" s="31"/>
      <c r="B13" s="42"/>
      <c r="C13" s="42"/>
      <c r="D13" s="42"/>
      <c r="E13" s="31"/>
      <c r="F13" s="42"/>
      <c r="G13" s="43"/>
      <c r="H13" s="42"/>
      <c r="I13" s="31"/>
      <c r="J13" s="42"/>
      <c r="K13" s="42"/>
      <c r="L13" s="42"/>
      <c r="M13" s="42"/>
      <c r="N13" s="3502"/>
      <c r="O13" s="3502"/>
      <c r="P13" s="3502"/>
      <c r="Q13" s="36"/>
      <c r="R13" s="984"/>
      <c r="S13" s="38"/>
      <c r="T13" s="44"/>
      <c r="U13" s="40"/>
      <c r="V13" s="44"/>
      <c r="W13" s="40"/>
      <c r="X13" s="40"/>
    </row>
    <row r="14" spans="1:254" ht="16.350000000000001" customHeight="1">
      <c r="A14" s="31"/>
      <c r="B14" s="737" t="s">
        <v>7</v>
      </c>
      <c r="C14" s="29"/>
      <c r="D14" s="737" t="str">
        <f>'Exhibit A'!F11</f>
        <v>10 MOS. ENDED</v>
      </c>
      <c r="E14" s="29"/>
      <c r="F14" s="737" t="s">
        <v>7</v>
      </c>
      <c r="G14" s="209"/>
      <c r="H14" s="737" t="str">
        <f>D14</f>
        <v>10 MOS. ENDED</v>
      </c>
      <c r="I14" s="29"/>
      <c r="J14" s="737" t="s">
        <v>7</v>
      </c>
      <c r="K14" s="29"/>
      <c r="L14" s="737" t="str">
        <f>D14</f>
        <v>10 MOS. ENDED</v>
      </c>
      <c r="M14" s="29"/>
      <c r="N14" s="740" t="s">
        <v>7</v>
      </c>
      <c r="O14" s="105"/>
      <c r="P14" s="740" t="str">
        <f>H14</f>
        <v>10 MOS. ENDED</v>
      </c>
      <c r="Q14" s="737"/>
      <c r="R14" s="985"/>
      <c r="S14" s="748" t="s">
        <v>8</v>
      </c>
      <c r="T14" s="210"/>
      <c r="U14" s="749" t="s">
        <v>9</v>
      </c>
      <c r="V14" s="44"/>
      <c r="W14" s="40"/>
      <c r="X14" s="40"/>
    </row>
    <row r="15" spans="1:254" ht="16.350000000000001" customHeight="1">
      <c r="A15" s="31"/>
      <c r="B15" s="738" t="str">
        <f>'Exhibit A'!D12</f>
        <v>JAN. 2021</v>
      </c>
      <c r="C15" s="29"/>
      <c r="D15" s="739" t="str">
        <f>'Exhibit A'!F12</f>
        <v>JAN. 31, 2021</v>
      </c>
      <c r="E15" s="29"/>
      <c r="F15" s="737" t="str">
        <f>B15</f>
        <v>JAN. 2021</v>
      </c>
      <c r="G15" s="29"/>
      <c r="H15" s="737" t="str">
        <f>D15</f>
        <v>JAN. 31, 2021</v>
      </c>
      <c r="I15" s="29"/>
      <c r="J15" s="737" t="str">
        <f>B15</f>
        <v>JAN. 2021</v>
      </c>
      <c r="K15" s="29"/>
      <c r="L15" s="737" t="str">
        <f>D15</f>
        <v>JAN. 31, 2021</v>
      </c>
      <c r="M15" s="29"/>
      <c r="N15" s="3499" t="str">
        <f>'Exhibit A'!AB12</f>
        <v>JAN. 2020</v>
      </c>
      <c r="O15" s="105"/>
      <c r="P15" s="3866" t="str">
        <f>'Exhibit A'!AD12</f>
        <v>JAN. 31, 2020</v>
      </c>
      <c r="Q15" s="736"/>
      <c r="R15" s="986"/>
      <c r="S15" s="751" t="s">
        <v>12</v>
      </c>
      <c r="T15" s="209"/>
      <c r="U15" s="752" t="s">
        <v>13</v>
      </c>
      <c r="V15" s="44"/>
      <c r="W15" s="40"/>
      <c r="X15" s="40"/>
    </row>
    <row r="16" spans="1:254" ht="13.35" customHeight="1">
      <c r="A16" s="31"/>
      <c r="B16" s="42"/>
      <c r="C16" s="31"/>
      <c r="D16" s="42" t="s">
        <v>15</v>
      </c>
      <c r="E16" s="31"/>
      <c r="F16" s="42"/>
      <c r="G16" s="31"/>
      <c r="H16" s="43" t="s">
        <v>15</v>
      </c>
      <c r="I16" s="45"/>
      <c r="J16" s="46"/>
      <c r="K16" s="31"/>
      <c r="L16" s="42"/>
      <c r="M16" s="45"/>
      <c r="N16" s="109"/>
      <c r="O16" s="107"/>
      <c r="P16" s="109"/>
      <c r="Q16" s="36"/>
      <c r="R16" s="984"/>
      <c r="S16" s="38"/>
      <c r="T16" s="36"/>
      <c r="U16" s="40"/>
      <c r="V16" s="36"/>
      <c r="W16" s="40"/>
      <c r="X16" s="40"/>
    </row>
    <row r="17" spans="1:247" ht="16.350000000000001" customHeight="1">
      <c r="A17" s="29" t="s">
        <v>14</v>
      </c>
      <c r="B17" s="47"/>
      <c r="C17" s="47"/>
      <c r="D17" s="47"/>
      <c r="E17" s="47"/>
      <c r="F17" s="47"/>
      <c r="G17" s="47"/>
      <c r="H17" s="47"/>
      <c r="I17" s="48"/>
      <c r="J17" s="48"/>
      <c r="K17" s="47"/>
      <c r="L17" s="47"/>
      <c r="M17" s="48"/>
      <c r="N17" s="3476"/>
      <c r="O17" s="3503"/>
      <c r="P17" s="3865"/>
      <c r="Q17" s="49"/>
      <c r="R17" s="987"/>
      <c r="S17" s="38"/>
      <c r="T17" s="49"/>
      <c r="U17" s="40"/>
      <c r="V17" s="49"/>
      <c r="W17" s="40"/>
      <c r="X17" s="40"/>
    </row>
    <row r="18" spans="1:247" ht="16.350000000000001" customHeight="1">
      <c r="A18" s="31" t="s">
        <v>20</v>
      </c>
      <c r="B18" s="658">
        <f>'Exhibit J'!U19</f>
        <v>9.6000000000000014</v>
      </c>
      <c r="C18" s="658"/>
      <c r="D18" s="971">
        <f>+'Exhibit J'!AB19</f>
        <v>58</v>
      </c>
      <c r="E18" s="658"/>
      <c r="F18" s="971">
        <f>'Exhibit K'!T17</f>
        <v>33</v>
      </c>
      <c r="G18" s="658"/>
      <c r="H18" s="971">
        <f>+'Exhibit K'!AA17</f>
        <v>329.7</v>
      </c>
      <c r="I18" s="1212"/>
      <c r="J18" s="1212">
        <f>ROUND(SUM(B18)+SUM(F18),1)</f>
        <v>42.6</v>
      </c>
      <c r="K18" s="658"/>
      <c r="L18" s="1385">
        <f>ROUND(SUM(D18)+SUM(H18),1)</f>
        <v>387.7</v>
      </c>
      <c r="M18" s="1212"/>
      <c r="N18" s="1015">
        <v>68.3</v>
      </c>
      <c r="O18" s="1015"/>
      <c r="P18" s="1015">
        <f>'Exhibit J'!AE19+'Exhibit K'!AD17</f>
        <v>540.4</v>
      </c>
      <c r="Q18" s="971"/>
      <c r="R18" s="1386"/>
      <c r="S18" s="658">
        <f>ROUND(SUM(L18-P18),1)</f>
        <v>-152.69999999999999</v>
      </c>
      <c r="T18" s="1196"/>
      <c r="U18" s="1432">
        <f>ROUND(+S18/P18,3)</f>
        <v>-0.28299999999999997</v>
      </c>
      <c r="V18" s="52"/>
      <c r="W18" s="53"/>
      <c r="X18" s="53"/>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1"/>
      <c r="CD18" s="51"/>
      <c r="CE18" s="51"/>
      <c r="CF18" s="51"/>
      <c r="CG18" s="51"/>
      <c r="CH18" s="51"/>
      <c r="CI18" s="51"/>
      <c r="CJ18" s="51"/>
      <c r="CK18" s="51"/>
      <c r="CL18" s="51"/>
      <c r="CM18" s="51"/>
      <c r="CN18" s="51"/>
      <c r="CO18" s="51"/>
      <c r="CP18" s="51"/>
      <c r="CQ18" s="51"/>
      <c r="CR18" s="51"/>
      <c r="CS18" s="51"/>
      <c r="CT18" s="51"/>
      <c r="CU18" s="51"/>
      <c r="CV18" s="51"/>
      <c r="CW18" s="51"/>
      <c r="CX18" s="51"/>
      <c r="CY18" s="51"/>
      <c r="CZ18" s="51"/>
      <c r="DA18" s="51"/>
      <c r="DB18" s="51"/>
      <c r="DC18" s="51"/>
      <c r="DD18" s="51"/>
      <c r="DE18" s="51"/>
      <c r="DF18" s="51"/>
      <c r="DG18" s="51"/>
      <c r="DH18" s="51"/>
      <c r="DI18" s="51"/>
      <c r="DJ18" s="51"/>
      <c r="DK18" s="51"/>
      <c r="DL18" s="51"/>
      <c r="DM18" s="51"/>
      <c r="DN18" s="51"/>
      <c r="DO18" s="51"/>
      <c r="DP18" s="51"/>
      <c r="DQ18" s="51"/>
      <c r="DR18" s="51"/>
      <c r="DS18" s="51"/>
      <c r="DT18" s="51"/>
      <c r="DU18" s="51"/>
      <c r="DV18" s="51"/>
      <c r="DW18" s="51"/>
      <c r="DX18" s="51"/>
      <c r="DY18" s="51"/>
      <c r="DZ18" s="51"/>
      <c r="EA18" s="51"/>
      <c r="EB18" s="51"/>
      <c r="EC18" s="51"/>
      <c r="ED18" s="51"/>
      <c r="EE18" s="51"/>
      <c r="EF18" s="51"/>
      <c r="EG18" s="51"/>
      <c r="EH18" s="51"/>
      <c r="EI18" s="51"/>
      <c r="EJ18" s="51"/>
      <c r="EK18" s="51"/>
      <c r="EL18" s="51"/>
      <c r="EM18" s="51"/>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row>
    <row r="19" spans="1:247" ht="16.350000000000001" customHeight="1">
      <c r="A19" s="820" t="s">
        <v>65</v>
      </c>
      <c r="B19" s="643">
        <f>'Exhibit J'!U20</f>
        <v>4910.8999999999978</v>
      </c>
      <c r="C19" s="643"/>
      <c r="D19" s="943">
        <f>+'Exhibit J'!AB20</f>
        <v>45943.8</v>
      </c>
      <c r="E19" s="643"/>
      <c r="F19" s="659">
        <v>0</v>
      </c>
      <c r="G19" s="643"/>
      <c r="H19" s="659">
        <v>0</v>
      </c>
      <c r="I19" s="1387"/>
      <c r="J19" s="1388">
        <f>ROUND(SUM(B19)+SUM(F19),1)</f>
        <v>4910.8999999999996</v>
      </c>
      <c r="K19" s="670"/>
      <c r="L19" s="943">
        <f>ROUND(SUM(D19)+SUM(H19),1)</f>
        <v>45943.8</v>
      </c>
      <c r="M19" s="1389"/>
      <c r="N19" s="1024">
        <v>1</v>
      </c>
      <c r="O19" s="1024"/>
      <c r="P19" s="1024">
        <f>'Exhibit J'!AE20</f>
        <v>14.7</v>
      </c>
      <c r="Q19" s="943"/>
      <c r="R19" s="1390"/>
      <c r="S19" s="643">
        <f>ROUND(SUM(L19-P19),1)</f>
        <v>45929.1</v>
      </c>
      <c r="T19" s="1391"/>
      <c r="U19" s="1519">
        <f>ROUND(+S19/P19,3)</f>
        <v>3124.4290000000001</v>
      </c>
      <c r="V19" s="59"/>
      <c r="W19" s="53"/>
      <c r="X19" s="53"/>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1"/>
      <c r="BX19" s="51"/>
      <c r="BY19" s="51"/>
      <c r="BZ19" s="51"/>
      <c r="CA19" s="51"/>
      <c r="CB19" s="51"/>
      <c r="CC19" s="51"/>
      <c r="CD19" s="51"/>
      <c r="CE19" s="51"/>
      <c r="CF19" s="51"/>
      <c r="CG19" s="51"/>
      <c r="CH19" s="51"/>
      <c r="CI19" s="51"/>
      <c r="CJ19" s="51"/>
      <c r="CK19" s="51"/>
      <c r="CL19" s="51"/>
      <c r="CM19" s="51"/>
      <c r="CN19" s="51"/>
      <c r="CO19" s="51"/>
      <c r="CP19" s="51"/>
      <c r="CQ19" s="51"/>
      <c r="CR19" s="51"/>
      <c r="CS19" s="51"/>
      <c r="CT19" s="51"/>
      <c r="CU19" s="51"/>
      <c r="CV19" s="51"/>
      <c r="CW19" s="51"/>
      <c r="CX19" s="51"/>
      <c r="CY19" s="51"/>
      <c r="CZ19" s="51"/>
      <c r="DA19" s="51"/>
      <c r="DB19" s="51"/>
      <c r="DC19" s="51"/>
      <c r="DD19" s="51"/>
      <c r="DE19" s="51"/>
      <c r="DF19" s="51"/>
      <c r="DG19" s="51"/>
      <c r="DH19" s="51"/>
      <c r="DI19" s="51"/>
      <c r="DJ19" s="51"/>
      <c r="DK19" s="51"/>
      <c r="DL19" s="51"/>
      <c r="DM19" s="51"/>
      <c r="DN19" s="51"/>
      <c r="DO19" s="51"/>
      <c r="DP19" s="51"/>
      <c r="DQ19" s="51"/>
      <c r="DR19" s="51"/>
      <c r="DS19" s="51"/>
      <c r="DT19" s="51"/>
      <c r="DU19" s="51"/>
      <c r="DV19" s="51"/>
      <c r="DW19" s="51"/>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row>
    <row r="20" spans="1:247" ht="16.350000000000001" customHeight="1">
      <c r="A20" s="31" t="s">
        <v>66</v>
      </c>
      <c r="B20" s="643">
        <f>'Exhibit J'!U21</f>
        <v>499.79999999999927</v>
      </c>
      <c r="C20" s="643"/>
      <c r="D20" s="943">
        <f>+'Exhibit J'!AB21</f>
        <v>14144.6</v>
      </c>
      <c r="E20" s="643"/>
      <c r="F20" s="659">
        <v>0</v>
      </c>
      <c r="G20" s="643"/>
      <c r="H20" s="659">
        <v>0</v>
      </c>
      <c r="I20" s="1387"/>
      <c r="J20" s="1392">
        <f>ROUND(SUM(B20+F20),1)</f>
        <v>499.8</v>
      </c>
      <c r="K20" s="670"/>
      <c r="L20" s="943">
        <f>ROUND(SUM(D20)+SUM(H20),1)</f>
        <v>14144.6</v>
      </c>
      <c r="M20" s="1389"/>
      <c r="N20" s="1024">
        <v>227.7</v>
      </c>
      <c r="O20" s="3501"/>
      <c r="P20" s="1024">
        <f>'Exhibit J'!AE21</f>
        <v>1704.7</v>
      </c>
      <c r="Q20" s="943"/>
      <c r="R20" s="1390"/>
      <c r="S20" s="643">
        <f>ROUND(SUM(L20-P20),1)</f>
        <v>12439.9</v>
      </c>
      <c r="T20" s="1391"/>
      <c r="U20" s="3654">
        <f>ROUND(+S20/P20,3)</f>
        <v>7.2969999999999997</v>
      </c>
      <c r="V20" s="59"/>
      <c r="W20" s="53"/>
      <c r="X20" s="53"/>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c r="BZ20" s="51"/>
      <c r="CA20" s="51"/>
      <c r="CB20" s="51"/>
      <c r="CC20" s="51"/>
      <c r="CD20" s="51"/>
      <c r="CE20" s="51"/>
      <c r="CF20" s="51"/>
      <c r="CG20" s="51"/>
      <c r="CH20" s="51"/>
      <c r="CI20" s="51"/>
      <c r="CJ20" s="51"/>
      <c r="CK20" s="51"/>
      <c r="CL20" s="51"/>
      <c r="CM20" s="51"/>
      <c r="CN20" s="51"/>
      <c r="CO20" s="51"/>
      <c r="CP20" s="51"/>
      <c r="CQ20" s="51"/>
      <c r="CR20" s="51"/>
      <c r="CS20" s="51"/>
      <c r="CT20" s="51"/>
      <c r="CU20" s="51"/>
      <c r="CV20" s="51"/>
      <c r="CW20" s="51"/>
      <c r="CX20" s="51"/>
      <c r="CY20" s="51"/>
      <c r="CZ20" s="51"/>
      <c r="DA20" s="51"/>
      <c r="DB20" s="51"/>
      <c r="DC20" s="51"/>
      <c r="DD20" s="51"/>
      <c r="DE20" s="51"/>
      <c r="DF20" s="51"/>
      <c r="DG20" s="51"/>
      <c r="DH20" s="51"/>
      <c r="DI20" s="51"/>
      <c r="DJ20" s="51"/>
      <c r="DK20" s="51"/>
      <c r="DL20" s="51"/>
      <c r="DM20" s="51"/>
      <c r="DN20" s="51"/>
      <c r="DO20" s="51"/>
      <c r="DP20" s="51"/>
      <c r="DQ20" s="51"/>
      <c r="DR20" s="51"/>
      <c r="DS20" s="51"/>
      <c r="DT20" s="51"/>
      <c r="DU20" s="51"/>
      <c r="DV20" s="51"/>
      <c r="DW20" s="51"/>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row>
    <row r="21" spans="1:247" ht="15.75">
      <c r="A21" s="29" t="s">
        <v>22</v>
      </c>
      <c r="B21" s="3422">
        <f>ROUND(SUM(B18:B20),1)</f>
        <v>5420.3</v>
      </c>
      <c r="C21" s="922"/>
      <c r="D21" s="61">
        <f>ROUND(SUM(D18:D20),1)</f>
        <v>60146.400000000001</v>
      </c>
      <c r="E21" s="922"/>
      <c r="F21" s="61">
        <f>ROUND(SUM(F18:F20),1)</f>
        <v>33</v>
      </c>
      <c r="G21" s="922"/>
      <c r="H21" s="61">
        <f>ROUND(SUM(H18:H20),1)</f>
        <v>329.7</v>
      </c>
      <c r="I21" s="63"/>
      <c r="J21" s="61">
        <f>SUM(J18:J20)</f>
        <v>5453.3</v>
      </c>
      <c r="K21" s="922"/>
      <c r="L21" s="61">
        <f>SUM(L18:L20)</f>
        <v>60476.1</v>
      </c>
      <c r="M21" s="64"/>
      <c r="N21" s="3422">
        <f>ROUND(SUM(N18:N20),1)</f>
        <v>297</v>
      </c>
      <c r="O21" s="112"/>
      <c r="P21" s="3422">
        <f>ROUND(SUM(P18:P20),1)</f>
        <v>2259.8000000000002</v>
      </c>
      <c r="Q21" s="76"/>
      <c r="R21" s="335"/>
      <c r="S21" s="61">
        <f>ROUND(SUM(S18:S20),1)</f>
        <v>58216.3</v>
      </c>
      <c r="T21" s="668"/>
      <c r="U21" s="3683">
        <f>ROUND(+S21/P21,3)</f>
        <v>25.762</v>
      </c>
      <c r="V21" s="59"/>
      <c r="W21" s="40"/>
      <c r="X21" s="40"/>
    </row>
    <row r="22" spans="1:247" ht="15.75">
      <c r="A22" s="29"/>
      <c r="B22" s="643"/>
      <c r="C22" s="643"/>
      <c r="D22" s="643"/>
      <c r="E22" s="643"/>
      <c r="F22" s="643"/>
      <c r="G22" s="643"/>
      <c r="H22" s="643"/>
      <c r="I22" s="1388"/>
      <c r="J22" s="1388"/>
      <c r="K22" s="643"/>
      <c r="L22" s="643"/>
      <c r="M22" s="1388"/>
      <c r="N22" s="1024"/>
      <c r="O22" s="895"/>
      <c r="P22" s="1024"/>
      <c r="Q22" s="943"/>
      <c r="R22" s="1390"/>
      <c r="S22" s="920"/>
      <c r="T22" s="1393"/>
      <c r="U22" s="1433"/>
      <c r="V22" s="49"/>
      <c r="W22" s="40"/>
      <c r="X22" s="40"/>
    </row>
    <row r="23" spans="1:247" ht="16.350000000000001" customHeight="1">
      <c r="A23" s="29" t="s">
        <v>23</v>
      </c>
      <c r="B23" s="643"/>
      <c r="C23" s="643"/>
      <c r="D23" s="643"/>
      <c r="E23" s="643"/>
      <c r="F23" s="643"/>
      <c r="G23" s="643"/>
      <c r="H23" s="643"/>
      <c r="I23" s="1388"/>
      <c r="J23" s="1388"/>
      <c r="K23" s="643"/>
      <c r="L23" s="643"/>
      <c r="M23" s="1388"/>
      <c r="N23" s="1024"/>
      <c r="O23" s="895"/>
      <c r="P23" s="1024"/>
      <c r="Q23" s="943"/>
      <c r="R23" s="1390"/>
      <c r="S23" s="920"/>
      <c r="T23" s="1393"/>
      <c r="U23" s="1433"/>
      <c r="V23" s="49"/>
      <c r="W23" s="40"/>
      <c r="X23" s="40"/>
    </row>
    <row r="24" spans="1:247" ht="16.350000000000001" customHeight="1">
      <c r="A24" s="31" t="s">
        <v>36</v>
      </c>
      <c r="B24" s="643"/>
      <c r="C24" s="643"/>
      <c r="D24" s="643"/>
      <c r="E24" s="643"/>
      <c r="F24" s="643"/>
      <c r="G24" s="643"/>
      <c r="H24" s="643"/>
      <c r="I24" s="1388"/>
      <c r="J24" s="1388"/>
      <c r="K24" s="643"/>
      <c r="L24" s="643"/>
      <c r="M24" s="1388"/>
      <c r="N24" s="1024"/>
      <c r="O24" s="895"/>
      <c r="P24" s="1024"/>
      <c r="Q24" s="943"/>
      <c r="R24" s="1390"/>
      <c r="S24" s="920"/>
      <c r="T24" s="1393"/>
      <c r="U24" s="1433"/>
      <c r="V24" s="49"/>
      <c r="W24" s="40"/>
      <c r="X24" s="40"/>
    </row>
    <row r="25" spans="1:247" ht="16.350000000000001" customHeight="1">
      <c r="A25" s="31" t="s">
        <v>67</v>
      </c>
      <c r="B25" s="643">
        <f>'Exhibit J'!U28</f>
        <v>0.69999999999999929</v>
      </c>
      <c r="C25" s="643"/>
      <c r="D25" s="943">
        <f>+'Exhibit J'!AB28</f>
        <v>11.1</v>
      </c>
      <c r="E25" s="643"/>
      <c r="F25" s="643">
        <f>'Exhibit K'!T24</f>
        <v>9.4000000000000057</v>
      </c>
      <c r="G25" s="643"/>
      <c r="H25" s="643">
        <f>+'Exhibit K'!AA24</f>
        <v>113.6</v>
      </c>
      <c r="I25" s="1388"/>
      <c r="J25" s="1388">
        <f>ROUND(SUM(B25)+SUM(F25),1)</f>
        <v>10.1</v>
      </c>
      <c r="K25" s="643"/>
      <c r="L25" s="943">
        <f>ROUND(SUM(D25)+SUM(H25),1)</f>
        <v>124.7</v>
      </c>
      <c r="M25" s="1388"/>
      <c r="N25" s="1024">
        <v>11.700000000000001</v>
      </c>
      <c r="O25" s="1024"/>
      <c r="P25" s="1024">
        <f>'Exhibit J'!AE28+'Exhibit K'!AD24</f>
        <v>121.6</v>
      </c>
      <c r="Q25" s="943"/>
      <c r="R25" s="1390"/>
      <c r="S25" s="643">
        <f>ROUND(SUM(L25-P25),1)</f>
        <v>3.1</v>
      </c>
      <c r="T25" s="668"/>
      <c r="U25" s="1432">
        <f>ROUND(+S25/P25,3)</f>
        <v>2.5000000000000001E-2</v>
      </c>
      <c r="V25" s="49"/>
      <c r="W25" s="40"/>
      <c r="X25" s="40"/>
    </row>
    <row r="26" spans="1:247" ht="16.350000000000001" customHeight="1">
      <c r="A26" s="31" t="s">
        <v>68</v>
      </c>
      <c r="B26" s="643">
        <f>'Exhibit J'!U29</f>
        <v>3.6000000000000032</v>
      </c>
      <c r="C26" s="643"/>
      <c r="D26" s="943">
        <f>+'Exhibit J'!AB29</f>
        <v>44</v>
      </c>
      <c r="E26" s="643"/>
      <c r="F26" s="643">
        <f>'Exhibit K'!T25</f>
        <v>6.4999999999999432</v>
      </c>
      <c r="G26" s="643"/>
      <c r="H26" s="643">
        <f>+'Exhibit K'!AA25</f>
        <v>366.7</v>
      </c>
      <c r="I26" s="1388"/>
      <c r="J26" s="1388">
        <f>ROUND(SUM(B26)+SUM(F26),1)</f>
        <v>10.1</v>
      </c>
      <c r="K26" s="643"/>
      <c r="L26" s="943">
        <f>ROUND(SUM(D26)+SUM(H26),1)</f>
        <v>410.7</v>
      </c>
      <c r="M26" s="1388"/>
      <c r="N26" s="1024">
        <v>31.8</v>
      </c>
      <c r="O26" s="1024"/>
      <c r="P26" s="1024">
        <f>'Exhibit J'!AE29+'Exhibit K'!AD25</f>
        <v>389.5</v>
      </c>
      <c r="Q26" s="943"/>
      <c r="R26" s="1390"/>
      <c r="S26" s="643">
        <f>ROUND(SUM(L26-P26),1)</f>
        <v>21.2</v>
      </c>
      <c r="T26" s="668"/>
      <c r="U26" s="1432">
        <f>ROUND(+S26/P26,3)</f>
        <v>5.3999999999999999E-2</v>
      </c>
      <c r="V26" s="49"/>
      <c r="W26" s="40"/>
      <c r="X26" s="40"/>
    </row>
    <row r="27" spans="1:247" ht="16.350000000000001" customHeight="1">
      <c r="A27" s="31" t="s">
        <v>69</v>
      </c>
      <c r="B27" s="643">
        <f>'Exhibit J'!U30</f>
        <v>0</v>
      </c>
      <c r="C27" s="643"/>
      <c r="D27" s="943">
        <f>+'Exhibit J'!AB30</f>
        <v>1.4</v>
      </c>
      <c r="E27" s="943"/>
      <c r="F27" s="643">
        <f>'Exhibit K'!T26</f>
        <v>4.5000000000000036</v>
      </c>
      <c r="G27" s="643"/>
      <c r="H27" s="1394">
        <f>+'Exhibit K'!AA26</f>
        <v>52</v>
      </c>
      <c r="I27" s="943"/>
      <c r="J27" s="1388">
        <f>ROUND(SUM(B27)+SUM(F27),1)</f>
        <v>4.5</v>
      </c>
      <c r="K27" s="643"/>
      <c r="L27" s="943">
        <f>ROUND(SUM(D27)+SUM(H27),1)</f>
        <v>53.4</v>
      </c>
      <c r="M27" s="1388"/>
      <c r="N27" s="1024">
        <v>7.4</v>
      </c>
      <c r="O27" s="3501"/>
      <c r="P27" s="1024">
        <f>'Exhibit J'!AE30+'Exhibit K'!AD26</f>
        <v>49.5</v>
      </c>
      <c r="Q27" s="943"/>
      <c r="R27" s="1390"/>
      <c r="S27" s="643">
        <f>ROUND(SUM(L27-P27),1)</f>
        <v>3.9</v>
      </c>
      <c r="T27" s="668"/>
      <c r="U27" s="1432">
        <f>ROUND(+S27/P27,3)</f>
        <v>7.9000000000000001E-2</v>
      </c>
      <c r="V27" s="49"/>
      <c r="W27" s="40"/>
      <c r="X27" s="40"/>
    </row>
    <row r="28" spans="1:247" ht="15.75" customHeight="1">
      <c r="A28" s="820" t="s">
        <v>70</v>
      </c>
      <c r="B28" s="643">
        <f>'Exhibit J'!U31</f>
        <v>5411.3999999999978</v>
      </c>
      <c r="C28" s="643"/>
      <c r="D28" s="943">
        <f>+'Exhibit J'!AB31</f>
        <v>60079.6</v>
      </c>
      <c r="E28" s="643"/>
      <c r="F28" s="946">
        <v>0</v>
      </c>
      <c r="G28" s="643"/>
      <c r="H28" s="1396">
        <v>0</v>
      </c>
      <c r="I28" s="943"/>
      <c r="J28" s="1388">
        <f>ROUND(SUM(B28)+SUM(F28),1)</f>
        <v>5411.4</v>
      </c>
      <c r="K28" s="1189"/>
      <c r="L28" s="943">
        <f>ROUND(SUM(D28)+SUM(H28),1)</f>
        <v>60079.6</v>
      </c>
      <c r="M28" s="1397"/>
      <c r="N28" s="1024">
        <v>228.4</v>
      </c>
      <c r="O28" s="1031"/>
      <c r="P28" s="1715">
        <f>'Exhibit J'!AE31</f>
        <v>1720.5</v>
      </c>
      <c r="Q28" s="974"/>
      <c r="R28" s="1398"/>
      <c r="S28" s="643">
        <f>ROUND(SUM(L28-P28),1)</f>
        <v>58359.1</v>
      </c>
      <c r="T28" s="668"/>
      <c r="U28" s="3654">
        <f>ROUND(+S28/P28,3)</f>
        <v>33.92</v>
      </c>
      <c r="V28" s="59"/>
      <c r="W28" s="40"/>
      <c r="X28" s="40"/>
    </row>
    <row r="29" spans="1:247" ht="15.75">
      <c r="A29" s="29" t="s">
        <v>57</v>
      </c>
      <c r="B29" s="3422">
        <f>ROUND(SUM(B25:B28),1)</f>
        <v>5415.7</v>
      </c>
      <c r="C29" s="922"/>
      <c r="D29" s="61">
        <f>ROUND(SUM(D25:D28),1)</f>
        <v>60136.1</v>
      </c>
      <c r="E29" s="922"/>
      <c r="F29" s="61">
        <f>ROUND(SUM(F24:F28),1)</f>
        <v>20.399999999999999</v>
      </c>
      <c r="G29" s="922"/>
      <c r="H29" s="61">
        <f>ROUND(SUM(H25:H28),1)</f>
        <v>532.29999999999995</v>
      </c>
      <c r="I29" s="63"/>
      <c r="J29" s="71">
        <f>ROUND(SUM(J25:J28),1)</f>
        <v>5436.1</v>
      </c>
      <c r="K29" s="922"/>
      <c r="L29" s="72">
        <f>ROUND(SUM(L25:L28),1)</f>
        <v>60668.4</v>
      </c>
      <c r="M29" s="64"/>
      <c r="N29" s="3422">
        <f>ROUND(SUM(N25:N28),1)</f>
        <v>279.3</v>
      </c>
      <c r="O29" s="112"/>
      <c r="P29" s="3422">
        <f>ROUND(SUM(P25:P28),1)</f>
        <v>2281.1</v>
      </c>
      <c r="Q29" s="76"/>
      <c r="R29" s="335"/>
      <c r="S29" s="61">
        <f>ROUND(SUM(S25:S28),1)</f>
        <v>58387.3</v>
      </c>
      <c r="T29" s="668"/>
      <c r="U29" s="3655">
        <f>ROUND(+S29/P29,3)</f>
        <v>25.596</v>
      </c>
      <c r="V29" s="59"/>
      <c r="W29" s="40"/>
      <c r="X29" s="40"/>
    </row>
    <row r="30" spans="1:247" ht="15.75">
      <c r="A30" s="29"/>
      <c r="B30" s="643"/>
      <c r="C30" s="643"/>
      <c r="D30" s="643"/>
      <c r="E30" s="643"/>
      <c r="F30" s="643"/>
      <c r="G30" s="643"/>
      <c r="H30" s="643"/>
      <c r="I30" s="1388"/>
      <c r="J30" s="1388"/>
      <c r="K30" s="643"/>
      <c r="L30" s="643"/>
      <c r="M30" s="1388"/>
      <c r="N30" s="1024"/>
      <c r="O30" s="895"/>
      <c r="P30" s="1024"/>
      <c r="Q30" s="943"/>
      <c r="R30" s="1390"/>
      <c r="S30" s="920"/>
      <c r="T30" s="1393"/>
      <c r="U30" s="1433"/>
      <c r="V30" s="49"/>
      <c r="W30" s="40"/>
      <c r="X30" s="40"/>
    </row>
    <row r="31" spans="1:247" ht="16.350000000000001" customHeight="1">
      <c r="A31" s="29" t="s">
        <v>44</v>
      </c>
      <c r="B31" s="643"/>
      <c r="C31" s="643"/>
      <c r="D31" s="643"/>
      <c r="E31" s="643"/>
      <c r="F31" s="643"/>
      <c r="G31" s="643"/>
      <c r="H31" s="643"/>
      <c r="I31" s="1388"/>
      <c r="J31" s="1388"/>
      <c r="K31" s="643"/>
      <c r="L31" s="643"/>
      <c r="M31" s="1388"/>
      <c r="N31" s="1024"/>
      <c r="O31" s="895"/>
      <c r="P31" s="1024"/>
      <c r="Q31" s="943"/>
      <c r="R31" s="1390"/>
      <c r="S31" s="920"/>
      <c r="T31" s="1393"/>
      <c r="U31" s="1433"/>
      <c r="V31" s="49"/>
      <c r="W31" s="40"/>
      <c r="X31" s="40"/>
    </row>
    <row r="32" spans="1:247" ht="15.75">
      <c r="A32" s="29" t="s">
        <v>71</v>
      </c>
      <c r="B32" s="73">
        <f>ROUND(SUM(B21-B29),1)</f>
        <v>4.5999999999999996</v>
      </c>
      <c r="C32" s="922"/>
      <c r="D32" s="74">
        <f>ROUND(SUM(D21-D29),1)</f>
        <v>10.3</v>
      </c>
      <c r="E32" s="922"/>
      <c r="F32" s="74">
        <f>ROUND(SUM(F21-F29),1)</f>
        <v>12.6</v>
      </c>
      <c r="G32" s="922"/>
      <c r="H32" s="74">
        <f>ROUND(SUM(H21-H29),1)</f>
        <v>-202.6</v>
      </c>
      <c r="I32" s="64"/>
      <c r="J32" s="75">
        <f>ROUND(SUM(J21-J29),1)</f>
        <v>17.2</v>
      </c>
      <c r="K32" s="922"/>
      <c r="L32" s="74">
        <f>ROUND(SUM(L21-L29),1)</f>
        <v>-192.3</v>
      </c>
      <c r="M32" s="64"/>
      <c r="N32" s="113">
        <f>ROUND(SUM(N21-N29),1)</f>
        <v>17.7</v>
      </c>
      <c r="O32" s="115"/>
      <c r="P32" s="113">
        <f>ROUND(SUM(P21-P29),1)</f>
        <v>-21.3</v>
      </c>
      <c r="Q32" s="76"/>
      <c r="R32" s="335"/>
      <c r="S32" s="74">
        <f>ROUND(SUM(S21-S29),1)</f>
        <v>-171</v>
      </c>
      <c r="T32" s="1393"/>
      <c r="U32" s="1618">
        <f>-ROUND(+S32/P32,3)</f>
        <v>-8.0280000000000005</v>
      </c>
      <c r="V32" s="49"/>
      <c r="W32" s="40"/>
      <c r="X32" s="40"/>
    </row>
    <row r="33" spans="1:247">
      <c r="A33" s="31"/>
      <c r="B33" s="643"/>
      <c r="C33" s="643"/>
      <c r="D33" s="643"/>
      <c r="E33" s="643"/>
      <c r="F33" s="643"/>
      <c r="G33" s="643"/>
      <c r="H33" s="643"/>
      <c r="I33" s="1388"/>
      <c r="J33" s="1388"/>
      <c r="K33" s="643"/>
      <c r="L33" s="643"/>
      <c r="M33" s="1388"/>
      <c r="N33" s="1024"/>
      <c r="O33" s="895"/>
      <c r="P33" s="1024"/>
      <c r="Q33" s="943"/>
      <c r="R33" s="1390"/>
      <c r="S33" s="920"/>
      <c r="T33" s="1393"/>
      <c r="U33" s="1433"/>
      <c r="V33" s="49"/>
      <c r="W33" s="40"/>
      <c r="X33" s="40"/>
    </row>
    <row r="34" spans="1:247" ht="16.350000000000001" customHeight="1">
      <c r="A34" s="29" t="s">
        <v>46</v>
      </c>
      <c r="B34" s="643"/>
      <c r="C34" s="643"/>
      <c r="D34" s="643"/>
      <c r="E34" s="643"/>
      <c r="F34" s="643"/>
      <c r="G34" s="643"/>
      <c r="H34" s="643"/>
      <c r="I34" s="1388"/>
      <c r="J34" s="1388"/>
      <c r="K34" s="643"/>
      <c r="L34" s="643"/>
      <c r="M34" s="1388"/>
      <c r="N34" s="1024"/>
      <c r="O34" s="895"/>
      <c r="P34" s="1024"/>
      <c r="Q34" s="943"/>
      <c r="R34" s="1390"/>
      <c r="S34" s="920"/>
      <c r="T34" s="1393"/>
      <c r="U34" s="1433"/>
      <c r="V34" s="49"/>
      <c r="W34" s="40"/>
      <c r="X34" s="40"/>
    </row>
    <row r="35" spans="1:247" ht="16.350000000000001" customHeight="1">
      <c r="A35" s="31" t="s">
        <v>47</v>
      </c>
      <c r="B35" s="946">
        <f>+'Exhibit J'!U41</f>
        <v>0</v>
      </c>
      <c r="C35" s="643"/>
      <c r="D35" s="946">
        <f>+'Exhibit J'!AB41</f>
        <v>3</v>
      </c>
      <c r="E35" s="643"/>
      <c r="F35" s="643">
        <f>'Exhibit K'!T36</f>
        <v>1.4000000000000057</v>
      </c>
      <c r="G35" s="681"/>
      <c r="H35" s="1399">
        <f>+'Exhibit K'!AA36</f>
        <v>89.9</v>
      </c>
      <c r="I35" s="1388"/>
      <c r="J35" s="1388">
        <f>ROUND(SUM(B35)+SUM(F35),1)</f>
        <v>1.4</v>
      </c>
      <c r="K35" s="681"/>
      <c r="L35" s="1394">
        <f>ROUND(SUM(D35)+SUM(H35),1)</f>
        <v>92.9</v>
      </c>
      <c r="M35" s="943"/>
      <c r="N35" s="1024">
        <v>10.7</v>
      </c>
      <c r="O35" s="1024"/>
      <c r="P35" s="1716">
        <f>'Exhibit J'!AE41+'Exhibit K'!AD36</f>
        <v>67.7</v>
      </c>
      <c r="Q35" s="1395"/>
      <c r="R35" s="1400"/>
      <c r="S35" s="643">
        <f>ROUND(SUM(L35-P35),1)</f>
        <v>25.2</v>
      </c>
      <c r="T35" s="668"/>
      <c r="U35" s="1383">
        <f>ROUND(IF(S35=0,0,S35/(P35)),3)</f>
        <v>0.372</v>
      </c>
      <c r="V35" s="80"/>
      <c r="W35" s="40"/>
      <c r="X35" s="40"/>
    </row>
    <row r="36" spans="1:247" s="1714" customFormat="1" ht="16.350000000000001" customHeight="1">
      <c r="A36" s="107" t="s">
        <v>72</v>
      </c>
      <c r="B36" s="3046">
        <f>+'Exhibit J'!U42</f>
        <v>0</v>
      </c>
      <c r="C36" s="1044"/>
      <c r="D36" s="1038">
        <f>+'Exhibit J'!AB42</f>
        <v>0</v>
      </c>
      <c r="E36" s="895"/>
      <c r="F36" s="895">
        <f>'Exhibit K'!T37</f>
        <v>0</v>
      </c>
      <c r="G36" s="895"/>
      <c r="H36" s="1028">
        <f>+'Exhibit K'!AA37</f>
        <v>-3.3</v>
      </c>
      <c r="I36" s="3047"/>
      <c r="J36" s="1415">
        <f>ROUND(SUM(B36)+SUM(F36),1)</f>
        <v>0</v>
      </c>
      <c r="K36" s="895"/>
      <c r="L36" s="1024">
        <f>ROUND(SUM(D36)+SUM(H36),1)</f>
        <v>-3.3</v>
      </c>
      <c r="M36" s="1415"/>
      <c r="N36" s="1024">
        <v>0</v>
      </c>
      <c r="O36" s="3501"/>
      <c r="P36" s="1716">
        <f>'Exhibit J'!AE42+'Exhibit K'!AD37</f>
        <v>-4.3</v>
      </c>
      <c r="Q36" s="1716"/>
      <c r="R36" s="3048"/>
      <c r="S36" s="3049">
        <f>-ROUND(SUM(L36-P36),1)</f>
        <v>-1</v>
      </c>
      <c r="T36" s="649"/>
      <c r="U36" s="3050">
        <f>ROUND(IF(P36=0,0,S36/ABS(P36)),3)</f>
        <v>-0.23300000000000001</v>
      </c>
      <c r="V36" s="3051"/>
      <c r="W36" s="3052"/>
      <c r="X36" s="3052"/>
    </row>
    <row r="37" spans="1:247" ht="15.75">
      <c r="A37" s="29" t="s">
        <v>49</v>
      </c>
      <c r="B37" s="81">
        <f>ROUND(SUM(B35:B36),1)</f>
        <v>0</v>
      </c>
      <c r="C37" s="82"/>
      <c r="D37" s="81">
        <f>ROUND(SUM(D35:D36),1)</f>
        <v>3</v>
      </c>
      <c r="E37" s="922"/>
      <c r="F37" s="83">
        <f>ROUND(SUM(F35:F36),1)</f>
        <v>1.4</v>
      </c>
      <c r="G37" s="84"/>
      <c r="H37" s="85">
        <f>ROUND(SUM(H35:H36),1)</f>
        <v>86.6</v>
      </c>
      <c r="I37" s="76"/>
      <c r="J37" s="86">
        <f>ROUND(SUM(J35:J36),1)</f>
        <v>1.4</v>
      </c>
      <c r="K37" s="84"/>
      <c r="L37" s="85">
        <f>ROUND(SUM(L35:L36),1)</f>
        <v>89.6</v>
      </c>
      <c r="M37" s="64"/>
      <c r="N37" s="3504">
        <f>ROUND(SUM(N35:N36),1)</f>
        <v>10.7</v>
      </c>
      <c r="O37" s="112"/>
      <c r="P37" s="3504">
        <f>ROUND(SUM(P35:P36),1)</f>
        <v>63.4</v>
      </c>
      <c r="Q37" s="982"/>
      <c r="R37" s="988"/>
      <c r="S37" s="83">
        <f>L37-P37</f>
        <v>26.199999999999996</v>
      </c>
      <c r="T37" s="1401"/>
      <c r="U37" s="285">
        <f>ROUND(SUM(S37/P37),3)</f>
        <v>0.41299999999999998</v>
      </c>
      <c r="V37" s="87"/>
      <c r="W37" s="40"/>
      <c r="X37" s="40"/>
    </row>
    <row r="38" spans="1:247" ht="15.75">
      <c r="A38" s="29"/>
      <c r="B38" s="688"/>
      <c r="C38" s="643"/>
      <c r="D38" s="688"/>
      <c r="E38" s="643"/>
      <c r="F38" s="943"/>
      <c r="G38" s="643"/>
      <c r="H38" s="943"/>
      <c r="I38" s="1388"/>
      <c r="J38" s="1388"/>
      <c r="K38" s="643"/>
      <c r="L38" s="688"/>
      <c r="M38" s="1388"/>
      <c r="N38" s="1024"/>
      <c r="O38" s="895"/>
      <c r="P38" s="1024"/>
      <c r="Q38" s="943"/>
      <c r="R38" s="1390"/>
      <c r="S38" s="920"/>
      <c r="T38" s="1393"/>
      <c r="U38" s="824"/>
      <c r="V38" s="49"/>
      <c r="W38" s="40"/>
      <c r="X38" s="40"/>
    </row>
    <row r="39" spans="1:247" ht="15.75" customHeight="1">
      <c r="A39" s="29" t="s">
        <v>44</v>
      </c>
      <c r="B39" s="643"/>
      <c r="C39" s="643"/>
      <c r="D39" s="643"/>
      <c r="E39" s="643"/>
      <c r="F39" s="895"/>
      <c r="G39" s="643"/>
      <c r="H39" s="643"/>
      <c r="I39" s="1388"/>
      <c r="J39" s="1388"/>
      <c r="K39" s="643"/>
      <c r="L39" s="643"/>
      <c r="M39" s="1388"/>
      <c r="N39" s="1024"/>
      <c r="O39" s="895"/>
      <c r="P39" s="1024"/>
      <c r="Q39" s="943"/>
      <c r="R39" s="1390"/>
      <c r="S39" s="920"/>
      <c r="T39" s="1393"/>
      <c r="U39" s="824"/>
      <c r="V39" s="49"/>
      <c r="W39" s="40"/>
      <c r="X39" s="40"/>
    </row>
    <row r="40" spans="1:247" ht="15.75" customHeight="1">
      <c r="A40" s="29" t="s">
        <v>73</v>
      </c>
      <c r="B40" s="643"/>
      <c r="C40" s="643"/>
      <c r="D40" s="643"/>
      <c r="E40" s="643"/>
      <c r="F40" s="895"/>
      <c r="G40" s="643"/>
      <c r="H40" s="643"/>
      <c r="I40" s="1388"/>
      <c r="J40" s="1388"/>
      <c r="K40" s="643"/>
      <c r="L40" s="643"/>
      <c r="M40" s="1388"/>
      <c r="N40" s="1024"/>
      <c r="O40" s="895"/>
      <c r="P40" s="1024"/>
      <c r="Q40" s="943"/>
      <c r="R40" s="1390"/>
      <c r="S40" s="920"/>
      <c r="T40" s="1393"/>
      <c r="U40" s="824"/>
      <c r="V40" s="49"/>
      <c r="W40" s="40"/>
      <c r="X40" s="40"/>
    </row>
    <row r="41" spans="1:247" ht="15.75" customHeight="1">
      <c r="A41" s="29" t="s">
        <v>74</v>
      </c>
      <c r="B41" s="643"/>
      <c r="C41" s="643"/>
      <c r="D41" s="643"/>
      <c r="E41" s="643"/>
      <c r="F41" s="895"/>
      <c r="G41" s="643"/>
      <c r="H41" s="643"/>
      <c r="I41" s="1388"/>
      <c r="J41" s="1388"/>
      <c r="K41" s="643"/>
      <c r="L41" s="643"/>
      <c r="M41" s="1388"/>
      <c r="N41" s="1024"/>
      <c r="O41" s="895"/>
      <c r="P41" s="1024"/>
      <c r="Q41" s="943"/>
      <c r="R41" s="1390"/>
      <c r="S41" s="920"/>
      <c r="T41" s="1393"/>
      <c r="U41" s="824"/>
      <c r="V41" s="49"/>
      <c r="W41" s="40"/>
      <c r="X41" s="40"/>
    </row>
    <row r="42" spans="1:247" ht="15.75" customHeight="1">
      <c r="A42" s="29" t="s">
        <v>75</v>
      </c>
      <c r="B42" s="89">
        <f>ROUND(SUM(B32,B37),1)</f>
        <v>4.5999999999999996</v>
      </c>
      <c r="C42" s="922"/>
      <c r="D42" s="89">
        <f>ROUND(SUM(D32,D37),1)</f>
        <v>13.3</v>
      </c>
      <c r="E42" s="922"/>
      <c r="F42" s="1617">
        <f>ROUND(SUM(F32,F37),1)</f>
        <v>14</v>
      </c>
      <c r="G42" s="922"/>
      <c r="H42" s="89">
        <f>ROUND(SUM(H32,H37),1)</f>
        <v>-116</v>
      </c>
      <c r="I42" s="90"/>
      <c r="J42" s="89">
        <f>ROUND(SUM(J32,J37),1)</f>
        <v>18.600000000000001</v>
      </c>
      <c r="K42" s="922"/>
      <c r="L42" s="89">
        <f>ROUND(SUM(L32,L37),1)</f>
        <v>-102.7</v>
      </c>
      <c r="M42" s="64"/>
      <c r="N42" s="1617">
        <f>ROUND(SUM(N32,N37),1)</f>
        <v>28.4</v>
      </c>
      <c r="O42" s="112"/>
      <c r="P42" s="1617">
        <f>ROUND(SUM(P32,P37),1)</f>
        <v>42.1</v>
      </c>
      <c r="Q42" s="89"/>
      <c r="R42" s="989"/>
      <c r="S42" s="89">
        <f>ROUND(SUM(S32,S37),1)</f>
        <v>-144.80000000000001</v>
      </c>
      <c r="T42" s="91"/>
      <c r="U42" s="1503">
        <f>ROUND(S42/P42,3)</f>
        <v>-3.4390000000000001</v>
      </c>
      <c r="V42" s="49"/>
      <c r="W42" s="40"/>
      <c r="X42" s="40"/>
    </row>
    <row r="43" spans="1:247" ht="15.75">
      <c r="A43" s="29"/>
      <c r="B43" s="643"/>
      <c r="C43" s="643"/>
      <c r="D43" s="643"/>
      <c r="E43" s="643"/>
      <c r="F43" s="895"/>
      <c r="G43" s="643"/>
      <c r="H43" s="643"/>
      <c r="I43" s="1388"/>
      <c r="J43" s="1388"/>
      <c r="K43" s="643"/>
      <c r="L43" s="643"/>
      <c r="M43" s="1388"/>
      <c r="N43" s="1024"/>
      <c r="O43" s="895"/>
      <c r="P43" s="1024"/>
      <c r="Q43" s="943"/>
      <c r="R43" s="1390"/>
      <c r="S43" s="920"/>
      <c r="T43" s="1393"/>
      <c r="U43" s="920"/>
      <c r="V43" s="49"/>
      <c r="W43" s="40"/>
      <c r="X43" s="40"/>
    </row>
    <row r="44" spans="1:247" s="65" customFormat="1" ht="15.75">
      <c r="A44" s="29" t="s">
        <v>76</v>
      </c>
      <c r="B44" s="922">
        <f>+'Exhibit J'!U16</f>
        <v>38.4</v>
      </c>
      <c r="C44" s="922"/>
      <c r="D44" s="922">
        <f>+'Exhibit J'!AB16</f>
        <v>29.7</v>
      </c>
      <c r="E44" s="922"/>
      <c r="F44" s="3507">
        <f>+'Exhibit K'!T14</f>
        <v>-427.5</v>
      </c>
      <c r="G44" s="922"/>
      <c r="H44" s="922">
        <f>+'Exhibit K'!AA14</f>
        <v>-297.5</v>
      </c>
      <c r="I44" s="64"/>
      <c r="J44" s="64">
        <f>ROUND(SUM(B44)+SUM(F44),1)</f>
        <v>-389.1</v>
      </c>
      <c r="K44" s="922"/>
      <c r="L44" s="922">
        <f>ROUND(SUM(D44)+SUM(H44),1)</f>
        <v>-267.8</v>
      </c>
      <c r="M44" s="64"/>
      <c r="N44" s="120">
        <v>-262.39999999999998</v>
      </c>
      <c r="O44" s="112"/>
      <c r="P44" s="113">
        <f>'Exhibit J'!AE16+'Exhibit K'!AD14</f>
        <v>-276.09999999999997</v>
      </c>
      <c r="Q44" s="76"/>
      <c r="R44" s="335"/>
      <c r="S44" s="922">
        <f>ROUND(SUM(L44-P44),1)</f>
        <v>8.3000000000000007</v>
      </c>
      <c r="T44" s="91"/>
      <c r="U44" s="1503">
        <f>-ROUND(SUM(S44/P44),3)</f>
        <v>0.03</v>
      </c>
      <c r="V44" s="91"/>
      <c r="W44" s="92"/>
      <c r="X44" s="92"/>
    </row>
    <row r="45" spans="1:247" ht="16.5" thickBot="1">
      <c r="A45" s="29" t="s">
        <v>77</v>
      </c>
      <c r="B45" s="93">
        <f>ROUND(SUM(B42+B44),1)</f>
        <v>43</v>
      </c>
      <c r="C45" s="94"/>
      <c r="D45" s="93">
        <f>ROUND(SUM(D42+D44),1)</f>
        <v>43</v>
      </c>
      <c r="E45" s="94"/>
      <c r="F45" s="136">
        <f>ROUND(SUM(F42+F44),1)</f>
        <v>-413.5</v>
      </c>
      <c r="G45" s="94"/>
      <c r="H45" s="93">
        <f>ROUND(SUM(H42+H44),1)</f>
        <v>-413.5</v>
      </c>
      <c r="I45" s="95"/>
      <c r="J45" s="96">
        <f>ROUND(SUM(J42+J44),1)</f>
        <v>-370.5</v>
      </c>
      <c r="K45" s="94"/>
      <c r="L45" s="97">
        <f>ROUND(SUM(L42+L44),1)</f>
        <v>-370.5</v>
      </c>
      <c r="M45" s="95"/>
      <c r="N45" s="1486">
        <f>ROUND(SUM(N42+N44),1)</f>
        <v>-234</v>
      </c>
      <c r="O45" s="135"/>
      <c r="P45" s="1486">
        <f>ROUND(SUM(P42+P44),1)</f>
        <v>-234</v>
      </c>
      <c r="Q45" s="219"/>
      <c r="R45" s="327"/>
      <c r="S45" s="98">
        <f>ROUND(SUM(S42+S44),1)</f>
        <v>-136.5</v>
      </c>
      <c r="T45" s="1196"/>
      <c r="U45" s="1476">
        <f>ROUND(SUM(S45/ABS(P45)),3)</f>
        <v>-0.58299999999999996</v>
      </c>
      <c r="V45" s="52"/>
      <c r="W45" s="40"/>
      <c r="X45" s="40"/>
    </row>
    <row r="46" spans="1:247" ht="4.3499999999999996" customHeight="1" thickTop="1">
      <c r="A46" s="31"/>
      <c r="B46" s="1402"/>
      <c r="C46" s="926"/>
      <c r="D46" s="1402"/>
      <c r="E46" s="926"/>
      <c r="F46" s="1046"/>
      <c r="G46" s="926"/>
      <c r="H46" s="1402"/>
      <c r="I46" s="926"/>
      <c r="J46" s="1402"/>
      <c r="K46" s="926"/>
      <c r="L46" s="1402"/>
      <c r="M46" s="926"/>
      <c r="N46" s="1019"/>
      <c r="O46" s="1017"/>
      <c r="P46" s="1019"/>
      <c r="Q46" s="1196"/>
      <c r="R46" s="1196"/>
      <c r="S46" s="926"/>
      <c r="T46" s="1403"/>
      <c r="U46" s="1404"/>
      <c r="V46" s="100"/>
      <c r="W46" s="53"/>
      <c r="X46" s="53"/>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c r="BC46" s="51"/>
      <c r="BD46" s="51"/>
      <c r="BE46" s="51"/>
      <c r="BF46" s="51"/>
      <c r="BG46" s="51"/>
      <c r="BH46" s="51"/>
      <c r="BI46" s="51"/>
      <c r="BJ46" s="51"/>
      <c r="BK46" s="51"/>
      <c r="BL46" s="51"/>
      <c r="BM46" s="51"/>
      <c r="BN46" s="51"/>
      <c r="BO46" s="51"/>
      <c r="BP46" s="51"/>
      <c r="BQ46" s="51"/>
      <c r="BR46" s="51"/>
      <c r="BS46" s="51"/>
      <c r="BT46" s="51"/>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1"/>
      <c r="DE46" s="51"/>
      <c r="DF46" s="51"/>
      <c r="DG46" s="51"/>
      <c r="DH46" s="51"/>
      <c r="DI46" s="51"/>
      <c r="DJ46" s="51"/>
      <c r="DK46" s="51"/>
      <c r="DL46" s="51"/>
      <c r="DM46" s="51"/>
      <c r="DN46" s="51"/>
      <c r="DO46" s="51"/>
      <c r="DP46" s="51"/>
      <c r="DQ46" s="51"/>
      <c r="DR46" s="51"/>
      <c r="DS46" s="51"/>
      <c r="DT46" s="51"/>
      <c r="DU46" s="51"/>
      <c r="DV46" s="51"/>
      <c r="DW46" s="51"/>
      <c r="DX46" s="51"/>
      <c r="DY46" s="51"/>
      <c r="DZ46" s="51"/>
      <c r="EA46" s="51"/>
      <c r="EB46" s="51"/>
      <c r="EC46" s="51"/>
      <c r="ED46" s="51"/>
      <c r="EE46" s="51"/>
      <c r="EF46" s="51"/>
      <c r="EG46" s="51"/>
      <c r="EH46" s="51"/>
      <c r="EI46" s="51"/>
      <c r="EJ46" s="51"/>
      <c r="EK46" s="51"/>
      <c r="EL46" s="51"/>
      <c r="EM46" s="51"/>
      <c r="EN46" s="51"/>
      <c r="EO46" s="51"/>
      <c r="EP46" s="51"/>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row>
    <row r="47" spans="1:247">
      <c r="A47" s="690"/>
      <c r="B47" s="38"/>
      <c r="C47" s="38"/>
      <c r="D47" s="38"/>
      <c r="E47" s="38"/>
      <c r="F47" s="1090"/>
      <c r="G47" s="38"/>
      <c r="H47" s="38"/>
      <c r="I47" s="38"/>
      <c r="J47" s="38"/>
      <c r="K47" s="38"/>
      <c r="L47" s="38"/>
      <c r="M47" s="38"/>
      <c r="N47" s="3505"/>
      <c r="O47" s="3505"/>
      <c r="P47" s="3505"/>
      <c r="Q47" s="38"/>
      <c r="R47" s="103"/>
      <c r="S47" s="38"/>
      <c r="T47" s="44"/>
      <c r="U47" s="40"/>
      <c r="V47" s="44"/>
      <c r="W47" s="40"/>
      <c r="X47" s="40"/>
    </row>
    <row r="48" spans="1:247" s="102" customFormat="1" ht="16.5" customHeight="1">
      <c r="A48" s="1051"/>
      <c r="N48" s="1713"/>
      <c r="O48" s="1713"/>
      <c r="P48" s="1713"/>
      <c r="R48" s="983"/>
    </row>
    <row r="49" spans="1:21">
      <c r="A49" s="690"/>
      <c r="B49" s="38"/>
      <c r="C49" s="38"/>
      <c r="D49" s="38"/>
      <c r="E49" s="38"/>
      <c r="F49" s="38"/>
      <c r="G49" s="38"/>
      <c r="H49" s="38"/>
      <c r="I49" s="38"/>
      <c r="J49" s="38"/>
      <c r="K49" s="38"/>
      <c r="L49" s="38"/>
      <c r="M49" s="38"/>
      <c r="N49" s="3506"/>
      <c r="O49" s="3505"/>
      <c r="P49" s="3506"/>
      <c r="Q49" s="38"/>
      <c r="R49" s="103"/>
      <c r="S49" s="38"/>
      <c r="T49" s="103"/>
      <c r="U49" s="38"/>
    </row>
    <row r="50" spans="1:21">
      <c r="A50" s="690"/>
      <c r="B50" s="38"/>
      <c r="C50" s="38"/>
      <c r="D50" s="38"/>
      <c r="E50" s="38"/>
      <c r="F50" s="38"/>
      <c r="G50" s="38"/>
      <c r="H50" s="38"/>
      <c r="I50" s="38"/>
      <c r="J50" s="38"/>
      <c r="K50" s="38"/>
      <c r="L50" s="38"/>
      <c r="M50" s="38"/>
      <c r="N50" s="278"/>
      <c r="O50" s="3505"/>
      <c r="P50" s="278"/>
      <c r="Q50" s="38"/>
      <c r="R50" s="103"/>
      <c r="S50" s="38"/>
      <c r="T50" s="103"/>
      <c r="U50" s="38"/>
    </row>
    <row r="51" spans="1:21">
      <c r="A51" s="690"/>
      <c r="B51" s="38"/>
      <c r="C51" s="38"/>
      <c r="D51" s="38"/>
      <c r="E51" s="38"/>
      <c r="F51" s="38"/>
      <c r="G51" s="38"/>
      <c r="H51" s="38"/>
      <c r="I51" s="38"/>
      <c r="J51" s="38"/>
      <c r="K51" s="38"/>
      <c r="L51" s="38"/>
      <c r="M51" s="38"/>
      <c r="N51" s="3505"/>
      <c r="O51" s="3505"/>
      <c r="P51" s="3505"/>
      <c r="Q51" s="38"/>
      <c r="R51" s="103"/>
      <c r="S51" s="38"/>
      <c r="T51" s="103"/>
      <c r="U51" s="38"/>
    </row>
    <row r="52" spans="1:21">
      <c r="A52" s="690"/>
      <c r="B52" s="38"/>
      <c r="C52" s="38"/>
      <c r="D52" s="38"/>
      <c r="E52" s="38"/>
      <c r="F52" s="38"/>
      <c r="G52" s="38"/>
      <c r="H52" s="38"/>
      <c r="I52" s="38"/>
      <c r="J52" s="38"/>
      <c r="K52" s="38"/>
      <c r="L52" s="38"/>
      <c r="M52" s="38"/>
      <c r="N52" s="3505"/>
      <c r="O52" s="3505"/>
      <c r="P52" s="3505"/>
      <c r="Q52" s="38"/>
      <c r="R52" s="103"/>
      <c r="S52" s="38"/>
      <c r="T52" s="103"/>
      <c r="U52" s="38"/>
    </row>
    <row r="53" spans="1:21">
      <c r="A53" s="920"/>
    </row>
    <row r="54" spans="1:21">
      <c r="A54" s="920"/>
    </row>
    <row r="55" spans="1:21">
      <c r="A55" s="920"/>
    </row>
    <row r="56" spans="1:21">
      <c r="A56" s="920"/>
    </row>
    <row r="57" spans="1:21">
      <c r="A57" s="920"/>
    </row>
  </sheetData>
  <mergeCells count="2">
    <mergeCell ref="O3:P3"/>
    <mergeCell ref="U3:V3"/>
  </mergeCells>
  <pageMargins left="0.25" right="0.25" top="0.5" bottom="0.36" header="0" footer="0.25"/>
  <pageSetup scale="60" firstPageNumber="5" orientation="landscape" useFirstPageNumber="1" r:id="rId1"/>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R61"/>
  <sheetViews>
    <sheetView showGridLines="0" topLeftCell="A4" zoomScale="90" zoomScaleNormal="90" workbookViewId="0"/>
  </sheetViews>
  <sheetFormatPr defaultColWidth="8.6640625" defaultRowHeight="15"/>
  <cols>
    <col min="1" max="1" width="38.109375" style="888" customWidth="1"/>
    <col min="2" max="2" width="13.6640625" style="888" customWidth="1"/>
    <col min="3" max="3" width="1.6640625" style="888" customWidth="1"/>
    <col min="4" max="4" width="13.6640625" style="888" customWidth="1"/>
    <col min="5" max="5" width="2.44140625" style="888" customWidth="1"/>
    <col min="6" max="6" width="13.6640625" style="888" customWidth="1"/>
    <col min="7" max="7" width="1.6640625" style="888" customWidth="1"/>
    <col min="8" max="8" width="13.6640625" style="888" customWidth="1"/>
    <col min="9" max="9" width="1.6640625" style="888" customWidth="1"/>
    <col min="10" max="10" width="13.6640625" style="888" customWidth="1"/>
    <col min="11" max="11" width="1.6640625" style="888" customWidth="1"/>
    <col min="12" max="12" width="13.6640625" style="888" customWidth="1"/>
    <col min="13" max="13" width="0.5546875" style="888" customWidth="1"/>
    <col min="14" max="14" width="13.6640625" style="888" customWidth="1"/>
    <col min="15" max="15" width="2.5546875" style="888" customWidth="1"/>
    <col min="16" max="16" width="13.6640625" style="888" customWidth="1"/>
    <col min="17" max="17" width="1.5546875" style="888" customWidth="1"/>
    <col min="18" max="18" width="2.109375" style="992" customWidth="1"/>
    <col min="19" max="19" width="10.5546875" style="888" bestFit="1" customWidth="1"/>
    <col min="20" max="20" width="2.44140625" style="992" customWidth="1"/>
    <col min="21" max="21" width="11.109375" style="888" bestFit="1" customWidth="1"/>
    <col min="22" max="16384" width="8.6640625" style="888"/>
  </cols>
  <sheetData>
    <row r="1" spans="1:252">
      <c r="A1" s="644" t="s">
        <v>963</v>
      </c>
    </row>
    <row r="2" spans="1:252">
      <c r="A2" s="825"/>
    </row>
    <row r="3" spans="1:252" s="993" customFormat="1" ht="18" customHeight="1">
      <c r="A3" s="105" t="s">
        <v>0</v>
      </c>
      <c r="B3" s="105"/>
      <c r="C3" s="105"/>
      <c r="D3" s="105"/>
      <c r="E3" s="105"/>
      <c r="F3" s="888"/>
      <c r="G3" s="888"/>
      <c r="H3" s="105"/>
      <c r="I3" s="105"/>
      <c r="J3" s="105"/>
      <c r="K3" s="105"/>
      <c r="L3" s="105"/>
      <c r="M3" s="105"/>
      <c r="N3" s="3498"/>
      <c r="P3" s="1008"/>
      <c r="Q3" s="994"/>
      <c r="R3" s="995"/>
      <c r="S3" s="825"/>
      <c r="T3" s="995"/>
      <c r="U3" s="979" t="s">
        <v>78</v>
      </c>
      <c r="V3" s="825"/>
      <c r="W3" s="888"/>
      <c r="X3" s="888"/>
      <c r="Y3" s="888"/>
      <c r="Z3" s="888"/>
      <c r="AA3" s="888"/>
      <c r="AB3" s="888"/>
      <c r="AC3" s="888"/>
      <c r="AD3" s="888"/>
      <c r="AE3" s="888"/>
      <c r="AF3" s="888"/>
      <c r="AG3" s="888"/>
      <c r="AH3" s="888"/>
      <c r="AI3" s="888"/>
      <c r="AJ3" s="888"/>
      <c r="AK3" s="888"/>
      <c r="AL3" s="888"/>
      <c r="AM3" s="888"/>
      <c r="AN3" s="888"/>
      <c r="AO3" s="888"/>
      <c r="AP3" s="888"/>
      <c r="AQ3" s="888"/>
      <c r="AR3" s="888"/>
      <c r="AS3" s="888"/>
      <c r="AT3" s="888"/>
      <c r="AU3" s="888"/>
      <c r="AV3" s="888"/>
      <c r="AW3" s="888"/>
      <c r="AX3" s="888"/>
      <c r="AY3" s="888"/>
      <c r="AZ3" s="888"/>
      <c r="BA3" s="888"/>
      <c r="BB3" s="888"/>
      <c r="BC3" s="888"/>
      <c r="BD3" s="888"/>
      <c r="BE3" s="888"/>
      <c r="BF3" s="888"/>
      <c r="BG3" s="888"/>
      <c r="BH3" s="888"/>
      <c r="BI3" s="888"/>
      <c r="BJ3" s="888"/>
      <c r="BK3" s="888"/>
      <c r="BL3" s="888"/>
      <c r="BM3" s="888"/>
      <c r="BN3" s="888"/>
      <c r="BO3" s="888"/>
      <c r="BP3" s="888"/>
      <c r="BQ3" s="888"/>
      <c r="BR3" s="888"/>
      <c r="BS3" s="888"/>
      <c r="BT3" s="888"/>
      <c r="BU3" s="888"/>
      <c r="BV3" s="888"/>
      <c r="BW3" s="888"/>
      <c r="BX3" s="888"/>
      <c r="BY3" s="888"/>
      <c r="BZ3" s="888"/>
      <c r="CA3" s="888"/>
      <c r="CB3" s="888"/>
      <c r="CC3" s="888"/>
      <c r="CD3" s="888"/>
      <c r="CE3" s="888"/>
      <c r="CF3" s="888"/>
      <c r="CG3" s="888"/>
      <c r="CH3" s="888"/>
      <c r="CI3" s="888"/>
      <c r="CJ3" s="888"/>
      <c r="CK3" s="888"/>
      <c r="CL3" s="888"/>
      <c r="CM3" s="888"/>
      <c r="CN3" s="888"/>
      <c r="CO3" s="888"/>
      <c r="CP3" s="888"/>
      <c r="CQ3" s="888"/>
      <c r="CR3" s="888"/>
      <c r="CS3" s="888"/>
      <c r="CT3" s="888"/>
      <c r="CU3" s="888"/>
      <c r="CV3" s="888"/>
      <c r="CW3" s="888"/>
      <c r="CX3" s="888"/>
      <c r="CY3" s="888"/>
      <c r="CZ3" s="888"/>
      <c r="DA3" s="888"/>
      <c r="DB3" s="888"/>
      <c r="DC3" s="888"/>
      <c r="DD3" s="888"/>
      <c r="DE3" s="888"/>
      <c r="DF3" s="888"/>
      <c r="DG3" s="888"/>
      <c r="DH3" s="888"/>
      <c r="DI3" s="888"/>
      <c r="DJ3" s="888"/>
      <c r="DK3" s="888"/>
      <c r="DL3" s="888"/>
      <c r="DM3" s="888"/>
      <c r="DN3" s="888"/>
      <c r="DO3" s="888"/>
      <c r="DP3" s="888"/>
      <c r="DQ3" s="888"/>
      <c r="DR3" s="888"/>
      <c r="DS3" s="888"/>
      <c r="DT3" s="888"/>
      <c r="DU3" s="888"/>
      <c r="DV3" s="888"/>
      <c r="DW3" s="888"/>
      <c r="DX3" s="888"/>
      <c r="DY3" s="888"/>
      <c r="DZ3" s="888"/>
      <c r="EA3" s="888"/>
      <c r="EB3" s="888"/>
      <c r="EC3" s="888"/>
      <c r="ED3" s="888"/>
      <c r="EE3" s="888"/>
      <c r="EF3" s="888"/>
      <c r="EG3" s="888"/>
      <c r="EH3" s="888"/>
      <c r="EI3" s="888"/>
      <c r="EJ3" s="888"/>
      <c r="EK3" s="888"/>
      <c r="EL3" s="888"/>
      <c r="EM3" s="888"/>
      <c r="EN3" s="888"/>
      <c r="EO3" s="888"/>
      <c r="EP3" s="888"/>
      <c r="EQ3" s="888"/>
      <c r="ER3" s="888"/>
      <c r="ES3" s="888"/>
      <c r="ET3" s="888"/>
      <c r="EU3" s="888"/>
      <c r="EV3" s="888"/>
      <c r="EW3" s="888"/>
      <c r="EX3" s="888"/>
      <c r="EY3" s="888"/>
      <c r="EZ3" s="888"/>
      <c r="FA3" s="888"/>
      <c r="FB3" s="888"/>
      <c r="FC3" s="888"/>
      <c r="FD3" s="888"/>
      <c r="FE3" s="888"/>
      <c r="FF3" s="888"/>
      <c r="FG3" s="888"/>
      <c r="FH3" s="888"/>
      <c r="FI3" s="888"/>
      <c r="FJ3" s="888"/>
      <c r="FK3" s="888"/>
      <c r="FL3" s="888"/>
      <c r="FM3" s="888"/>
      <c r="FN3" s="888"/>
      <c r="FO3" s="888"/>
      <c r="FP3" s="888"/>
      <c r="FQ3" s="888"/>
      <c r="FR3" s="888"/>
      <c r="FS3" s="888"/>
      <c r="FT3" s="888"/>
      <c r="FU3" s="888"/>
      <c r="FV3" s="888"/>
      <c r="FW3" s="888"/>
      <c r="FX3" s="888"/>
      <c r="FY3" s="888"/>
      <c r="FZ3" s="888"/>
      <c r="GA3" s="888"/>
      <c r="GB3" s="888"/>
      <c r="GC3" s="888"/>
      <c r="GD3" s="888"/>
      <c r="GE3" s="888"/>
      <c r="GF3" s="888"/>
      <c r="GG3" s="888"/>
      <c r="GH3" s="888"/>
      <c r="GI3" s="888"/>
      <c r="GJ3" s="888"/>
      <c r="GK3" s="888"/>
      <c r="GL3" s="888"/>
      <c r="GM3" s="888"/>
      <c r="GN3" s="888"/>
      <c r="GO3" s="888"/>
      <c r="GP3" s="888"/>
      <c r="GQ3" s="888"/>
      <c r="GR3" s="888"/>
      <c r="GS3" s="888"/>
      <c r="GT3" s="888"/>
      <c r="GU3" s="888"/>
      <c r="GV3" s="888"/>
      <c r="GW3" s="888"/>
      <c r="GX3" s="888"/>
      <c r="GY3" s="888"/>
      <c r="GZ3" s="888"/>
      <c r="HA3" s="888"/>
      <c r="HB3" s="888"/>
      <c r="HC3" s="888"/>
      <c r="HD3" s="888"/>
      <c r="HE3" s="888"/>
      <c r="HF3" s="888"/>
      <c r="HG3" s="888"/>
      <c r="HH3" s="888"/>
      <c r="HI3" s="888"/>
      <c r="HJ3" s="888"/>
      <c r="HK3" s="888"/>
      <c r="HL3" s="888"/>
      <c r="HM3" s="888"/>
      <c r="HN3" s="888"/>
      <c r="HO3" s="888"/>
      <c r="HP3" s="888"/>
      <c r="HQ3" s="888"/>
      <c r="HR3" s="888"/>
      <c r="HS3" s="888"/>
      <c r="HT3" s="888"/>
      <c r="HU3" s="888"/>
      <c r="HV3" s="888"/>
      <c r="HW3" s="888"/>
      <c r="HX3" s="888"/>
      <c r="HY3" s="888"/>
      <c r="HZ3" s="888"/>
      <c r="IA3" s="888"/>
      <c r="IB3" s="888"/>
      <c r="IC3" s="888"/>
      <c r="ID3" s="888"/>
      <c r="IE3" s="888"/>
      <c r="IF3" s="888"/>
      <c r="IG3" s="888"/>
      <c r="IH3" s="888"/>
      <c r="II3" s="888"/>
      <c r="IJ3" s="888"/>
      <c r="IK3" s="888"/>
      <c r="IL3" s="888"/>
      <c r="IM3" s="888"/>
      <c r="IN3" s="888"/>
      <c r="IO3" s="888"/>
      <c r="IP3" s="888"/>
      <c r="IQ3" s="888"/>
      <c r="IR3" s="888"/>
    </row>
    <row r="4" spans="1:252" s="993" customFormat="1" ht="15.75" customHeight="1">
      <c r="A4" s="105" t="s">
        <v>872</v>
      </c>
      <c r="B4" s="105"/>
      <c r="C4" s="105"/>
      <c r="D4" s="105"/>
      <c r="E4" s="105"/>
      <c r="F4" s="888"/>
      <c r="G4" s="888"/>
      <c r="H4" s="105"/>
      <c r="I4" s="105"/>
      <c r="J4" s="105"/>
      <c r="K4" s="105"/>
      <c r="L4" s="105"/>
      <c r="M4" s="105"/>
      <c r="N4" s="105"/>
      <c r="O4" s="105"/>
      <c r="P4" s="105"/>
      <c r="Q4" s="994"/>
      <c r="R4" s="995"/>
      <c r="S4" s="825"/>
      <c r="T4" s="995"/>
      <c r="U4" s="825"/>
      <c r="V4" s="825"/>
      <c r="W4" s="888"/>
      <c r="X4" s="888"/>
      <c r="Y4" s="888"/>
      <c r="Z4" s="888"/>
      <c r="AA4" s="888"/>
      <c r="AB4" s="888"/>
      <c r="AC4" s="888"/>
      <c r="AD4" s="888"/>
      <c r="AE4" s="888"/>
      <c r="AF4" s="888"/>
      <c r="AG4" s="888"/>
      <c r="AH4" s="888"/>
      <c r="AI4" s="888"/>
      <c r="AJ4" s="888"/>
      <c r="AK4" s="888"/>
      <c r="AL4" s="888"/>
      <c r="AM4" s="888"/>
      <c r="AN4" s="888"/>
      <c r="AO4" s="888"/>
      <c r="AP4" s="888"/>
      <c r="AQ4" s="888"/>
      <c r="AR4" s="888"/>
      <c r="AS4" s="888"/>
      <c r="AT4" s="888"/>
      <c r="AU4" s="888"/>
      <c r="AV4" s="888"/>
      <c r="AW4" s="888"/>
      <c r="AX4" s="888"/>
      <c r="AY4" s="888"/>
      <c r="AZ4" s="888"/>
      <c r="BA4" s="888"/>
      <c r="BB4" s="888"/>
      <c r="BC4" s="888"/>
      <c r="BD4" s="888"/>
      <c r="BE4" s="888"/>
      <c r="BF4" s="888"/>
      <c r="BG4" s="888"/>
      <c r="BH4" s="888"/>
      <c r="BI4" s="888"/>
      <c r="BJ4" s="888"/>
      <c r="BK4" s="888"/>
      <c r="BL4" s="888"/>
      <c r="BM4" s="888"/>
      <c r="BN4" s="888"/>
      <c r="BO4" s="888"/>
      <c r="BP4" s="888"/>
      <c r="BQ4" s="888"/>
      <c r="BR4" s="888"/>
      <c r="BS4" s="888"/>
      <c r="BT4" s="888"/>
      <c r="BU4" s="888"/>
      <c r="BV4" s="888"/>
      <c r="BW4" s="888"/>
      <c r="BX4" s="888"/>
      <c r="BY4" s="888"/>
      <c r="BZ4" s="888"/>
      <c r="CA4" s="888"/>
      <c r="CB4" s="888"/>
      <c r="CC4" s="888"/>
      <c r="CD4" s="888"/>
      <c r="CE4" s="888"/>
      <c r="CF4" s="888"/>
      <c r="CG4" s="888"/>
      <c r="CH4" s="888"/>
      <c r="CI4" s="888"/>
      <c r="CJ4" s="888"/>
      <c r="CK4" s="888"/>
      <c r="CL4" s="888"/>
      <c r="CM4" s="888"/>
      <c r="CN4" s="888"/>
      <c r="CO4" s="888"/>
      <c r="CP4" s="888"/>
      <c r="CQ4" s="888"/>
      <c r="CR4" s="888"/>
      <c r="CS4" s="888"/>
      <c r="CT4" s="888"/>
      <c r="CU4" s="888"/>
      <c r="CV4" s="888"/>
      <c r="CW4" s="888"/>
      <c r="CX4" s="888"/>
      <c r="CY4" s="888"/>
      <c r="CZ4" s="888"/>
      <c r="DA4" s="888"/>
      <c r="DB4" s="888"/>
      <c r="DC4" s="888"/>
      <c r="DD4" s="888"/>
      <c r="DE4" s="888"/>
      <c r="DF4" s="888"/>
      <c r="DG4" s="888"/>
      <c r="DH4" s="888"/>
      <c r="DI4" s="888"/>
      <c r="DJ4" s="888"/>
      <c r="DK4" s="888"/>
      <c r="DL4" s="888"/>
      <c r="DM4" s="888"/>
      <c r="DN4" s="888"/>
      <c r="DO4" s="888"/>
      <c r="DP4" s="888"/>
      <c r="DQ4" s="888"/>
      <c r="DR4" s="888"/>
      <c r="DS4" s="888"/>
      <c r="DT4" s="888"/>
      <c r="DU4" s="888"/>
      <c r="DV4" s="888"/>
      <c r="DW4" s="888"/>
      <c r="DX4" s="888"/>
      <c r="DY4" s="888"/>
      <c r="DZ4" s="888"/>
      <c r="EA4" s="888"/>
      <c r="EB4" s="888"/>
      <c r="EC4" s="888"/>
      <c r="ED4" s="888"/>
      <c r="EE4" s="888"/>
      <c r="EF4" s="888"/>
      <c r="EG4" s="888"/>
      <c r="EH4" s="888"/>
      <c r="EI4" s="888"/>
      <c r="EJ4" s="888"/>
      <c r="EK4" s="888"/>
      <c r="EL4" s="888"/>
      <c r="EM4" s="888"/>
      <c r="EN4" s="888"/>
      <c r="EO4" s="888"/>
      <c r="EP4" s="888"/>
      <c r="EQ4" s="888"/>
      <c r="ER4" s="888"/>
      <c r="ES4" s="888"/>
      <c r="ET4" s="888"/>
      <c r="EU4" s="888"/>
      <c r="EV4" s="888"/>
      <c r="EW4" s="888"/>
      <c r="EX4" s="888"/>
      <c r="EY4" s="888"/>
      <c r="EZ4" s="888"/>
      <c r="FA4" s="888"/>
      <c r="FB4" s="888"/>
      <c r="FC4" s="888"/>
      <c r="FD4" s="888"/>
      <c r="FE4" s="888"/>
      <c r="FF4" s="888"/>
      <c r="FG4" s="888"/>
      <c r="FH4" s="888"/>
      <c r="FI4" s="888"/>
      <c r="FJ4" s="888"/>
      <c r="FK4" s="888"/>
      <c r="FL4" s="888"/>
      <c r="FM4" s="888"/>
      <c r="FN4" s="888"/>
      <c r="FO4" s="888"/>
      <c r="FP4" s="888"/>
      <c r="FQ4" s="888"/>
      <c r="FR4" s="888"/>
      <c r="FS4" s="888"/>
      <c r="FT4" s="888"/>
      <c r="FU4" s="888"/>
      <c r="FV4" s="888"/>
      <c r="FW4" s="888"/>
      <c r="FX4" s="888"/>
      <c r="FY4" s="888"/>
      <c r="FZ4" s="888"/>
      <c r="GA4" s="888"/>
      <c r="GB4" s="888"/>
      <c r="GC4" s="888"/>
      <c r="GD4" s="888"/>
      <c r="GE4" s="888"/>
      <c r="GF4" s="888"/>
      <c r="GG4" s="888"/>
      <c r="GH4" s="888"/>
      <c r="GI4" s="888"/>
      <c r="GJ4" s="888"/>
      <c r="GK4" s="888"/>
      <c r="GL4" s="888"/>
      <c r="GM4" s="888"/>
      <c r="GN4" s="888"/>
      <c r="GO4" s="888"/>
      <c r="GP4" s="888"/>
      <c r="GQ4" s="888"/>
      <c r="GR4" s="888"/>
      <c r="GS4" s="888"/>
      <c r="GT4" s="888"/>
      <c r="GU4" s="888"/>
      <c r="GV4" s="888"/>
      <c r="GW4" s="888"/>
      <c r="GX4" s="888"/>
      <c r="GY4" s="888"/>
      <c r="GZ4" s="888"/>
      <c r="HA4" s="888"/>
      <c r="HB4" s="888"/>
      <c r="HC4" s="888"/>
      <c r="HD4" s="888"/>
      <c r="HE4" s="888"/>
      <c r="HF4" s="888"/>
      <c r="HG4" s="888"/>
      <c r="HH4" s="888"/>
      <c r="HI4" s="888"/>
      <c r="HJ4" s="888"/>
      <c r="HK4" s="888"/>
      <c r="HL4" s="888"/>
      <c r="HM4" s="888"/>
      <c r="HN4" s="888"/>
      <c r="HO4" s="888"/>
      <c r="HP4" s="888"/>
      <c r="HQ4" s="888"/>
      <c r="HR4" s="888"/>
      <c r="HS4" s="888"/>
      <c r="HT4" s="888"/>
      <c r="HU4" s="888"/>
      <c r="HV4" s="888"/>
      <c r="HW4" s="888"/>
      <c r="HX4" s="888"/>
      <c r="HY4" s="888"/>
      <c r="HZ4" s="888"/>
      <c r="IA4" s="888"/>
      <c r="IB4" s="888"/>
      <c r="IC4" s="888"/>
      <c r="ID4" s="888"/>
      <c r="IE4" s="888"/>
      <c r="IF4" s="888"/>
      <c r="IG4" s="888"/>
      <c r="IH4" s="888"/>
      <c r="II4" s="888"/>
      <c r="IJ4" s="888"/>
      <c r="IK4" s="888"/>
      <c r="IL4" s="888"/>
      <c r="IM4" s="888"/>
      <c r="IN4" s="888"/>
      <c r="IO4" s="888"/>
      <c r="IP4" s="888"/>
      <c r="IQ4" s="888"/>
      <c r="IR4" s="888"/>
    </row>
    <row r="5" spans="1:252" s="993" customFormat="1" ht="15.75" customHeight="1">
      <c r="A5" s="261" t="s">
        <v>873</v>
      </c>
      <c r="B5" s="105"/>
      <c r="C5" s="105"/>
      <c r="D5" s="105"/>
      <c r="E5" s="105"/>
      <c r="F5" s="888"/>
      <c r="G5" s="888"/>
      <c r="H5" s="105"/>
      <c r="I5" s="105"/>
      <c r="J5" s="105"/>
      <c r="K5" s="105"/>
      <c r="L5" s="105"/>
      <c r="M5" s="105"/>
      <c r="N5" s="105"/>
      <c r="O5" s="105"/>
      <c r="P5" s="105" t="s">
        <v>15</v>
      </c>
      <c r="Q5" s="994"/>
      <c r="R5" s="995"/>
      <c r="S5" s="825"/>
      <c r="T5" s="995"/>
      <c r="U5" s="825"/>
      <c r="V5" s="825"/>
      <c r="W5" s="888"/>
      <c r="X5" s="888"/>
      <c r="Y5" s="888"/>
      <c r="Z5" s="888"/>
      <c r="AA5" s="888"/>
      <c r="AB5" s="888"/>
      <c r="AC5" s="888"/>
      <c r="AD5" s="888"/>
      <c r="AE5" s="888"/>
      <c r="AF5" s="888"/>
      <c r="AG5" s="888"/>
      <c r="AH5" s="888"/>
      <c r="AI5" s="888"/>
      <c r="AJ5" s="888"/>
      <c r="AK5" s="888"/>
      <c r="AL5" s="888"/>
      <c r="AM5" s="888"/>
      <c r="AN5" s="888"/>
      <c r="AO5" s="888"/>
      <c r="AP5" s="888"/>
      <c r="AQ5" s="888"/>
      <c r="AR5" s="888"/>
      <c r="AS5" s="888"/>
      <c r="AT5" s="888"/>
      <c r="AU5" s="888"/>
      <c r="AV5" s="888"/>
      <c r="AW5" s="888"/>
      <c r="AX5" s="888"/>
      <c r="AY5" s="888"/>
      <c r="AZ5" s="888"/>
      <c r="BA5" s="888"/>
      <c r="BB5" s="888"/>
      <c r="BC5" s="888"/>
      <c r="BD5" s="888"/>
      <c r="BE5" s="888"/>
      <c r="BF5" s="888"/>
      <c r="BG5" s="888"/>
      <c r="BH5" s="888"/>
      <c r="BI5" s="888"/>
      <c r="BJ5" s="888"/>
      <c r="BK5" s="888"/>
      <c r="BL5" s="888"/>
      <c r="BM5" s="888"/>
      <c r="BN5" s="888"/>
      <c r="BO5" s="888"/>
      <c r="BP5" s="888"/>
      <c r="BQ5" s="888"/>
      <c r="BR5" s="888"/>
      <c r="BS5" s="888"/>
      <c r="BT5" s="888"/>
      <c r="BU5" s="888"/>
      <c r="BV5" s="888"/>
      <c r="BW5" s="888"/>
      <c r="BX5" s="888"/>
      <c r="BY5" s="888"/>
      <c r="BZ5" s="888"/>
      <c r="CA5" s="888"/>
      <c r="CB5" s="888"/>
      <c r="CC5" s="888"/>
      <c r="CD5" s="888"/>
      <c r="CE5" s="888"/>
      <c r="CF5" s="888"/>
      <c r="CG5" s="888"/>
      <c r="CH5" s="888"/>
      <c r="CI5" s="888"/>
      <c r="CJ5" s="888"/>
      <c r="CK5" s="888"/>
      <c r="CL5" s="888"/>
      <c r="CM5" s="888"/>
      <c r="CN5" s="888"/>
      <c r="CO5" s="888"/>
      <c r="CP5" s="888"/>
      <c r="CQ5" s="888"/>
      <c r="CR5" s="888"/>
      <c r="CS5" s="888"/>
      <c r="CT5" s="888"/>
      <c r="CU5" s="888"/>
      <c r="CV5" s="888"/>
      <c r="CW5" s="888"/>
      <c r="CX5" s="888"/>
      <c r="CY5" s="888"/>
      <c r="CZ5" s="888"/>
      <c r="DA5" s="888"/>
      <c r="DB5" s="888"/>
      <c r="DC5" s="888"/>
      <c r="DD5" s="888"/>
      <c r="DE5" s="888"/>
      <c r="DF5" s="888"/>
      <c r="DG5" s="888"/>
      <c r="DH5" s="888"/>
      <c r="DI5" s="888"/>
      <c r="DJ5" s="888"/>
      <c r="DK5" s="888"/>
      <c r="DL5" s="888"/>
      <c r="DM5" s="888"/>
      <c r="DN5" s="888"/>
      <c r="DO5" s="888"/>
      <c r="DP5" s="888"/>
      <c r="DQ5" s="888"/>
      <c r="DR5" s="888"/>
      <c r="DS5" s="888"/>
      <c r="DT5" s="888"/>
      <c r="DU5" s="888"/>
      <c r="DV5" s="888"/>
      <c r="DW5" s="888"/>
      <c r="DX5" s="888"/>
      <c r="DY5" s="888"/>
      <c r="DZ5" s="888"/>
      <c r="EA5" s="888"/>
      <c r="EB5" s="888"/>
      <c r="EC5" s="888"/>
      <c r="ED5" s="888"/>
      <c r="EE5" s="888"/>
      <c r="EF5" s="888"/>
      <c r="EG5" s="888"/>
      <c r="EH5" s="888"/>
      <c r="EI5" s="888"/>
      <c r="EJ5" s="888"/>
      <c r="EK5" s="888"/>
      <c r="EL5" s="888"/>
      <c r="EM5" s="888"/>
      <c r="EN5" s="888"/>
      <c r="EO5" s="888"/>
      <c r="EP5" s="888"/>
      <c r="EQ5" s="888"/>
      <c r="ER5" s="888"/>
      <c r="ES5" s="888"/>
      <c r="ET5" s="888"/>
      <c r="EU5" s="888"/>
      <c r="EV5" s="888"/>
      <c r="EW5" s="888"/>
      <c r="EX5" s="888"/>
      <c r="EY5" s="888"/>
      <c r="EZ5" s="888"/>
      <c r="FA5" s="888"/>
      <c r="FB5" s="888"/>
      <c r="FC5" s="888"/>
      <c r="FD5" s="888"/>
      <c r="FE5" s="888"/>
      <c r="FF5" s="888"/>
      <c r="FG5" s="888"/>
      <c r="FH5" s="888"/>
      <c r="FI5" s="888"/>
      <c r="FJ5" s="888"/>
      <c r="FK5" s="888"/>
      <c r="FL5" s="888"/>
      <c r="FM5" s="888"/>
      <c r="FN5" s="888"/>
      <c r="FO5" s="888"/>
      <c r="FP5" s="888"/>
      <c r="FQ5" s="888"/>
      <c r="FR5" s="888"/>
      <c r="FS5" s="888"/>
      <c r="FT5" s="888"/>
      <c r="FU5" s="888"/>
      <c r="FV5" s="888"/>
      <c r="FW5" s="888"/>
      <c r="FX5" s="888"/>
      <c r="FY5" s="888"/>
      <c r="FZ5" s="888"/>
      <c r="GA5" s="888"/>
      <c r="GB5" s="888"/>
      <c r="GC5" s="888"/>
      <c r="GD5" s="888"/>
      <c r="GE5" s="888"/>
      <c r="GF5" s="888"/>
      <c r="GG5" s="888"/>
      <c r="GH5" s="888"/>
      <c r="GI5" s="888"/>
      <c r="GJ5" s="888"/>
      <c r="GK5" s="888"/>
      <c r="GL5" s="888"/>
      <c r="GM5" s="888"/>
      <c r="GN5" s="888"/>
      <c r="GO5" s="888"/>
      <c r="GP5" s="888"/>
      <c r="GQ5" s="888"/>
      <c r="GR5" s="888"/>
      <c r="GS5" s="888"/>
      <c r="GT5" s="888"/>
      <c r="GU5" s="888"/>
      <c r="GV5" s="888"/>
      <c r="GW5" s="888"/>
      <c r="GX5" s="888"/>
      <c r="GY5" s="888"/>
      <c r="GZ5" s="888"/>
      <c r="HA5" s="888"/>
      <c r="HB5" s="888"/>
      <c r="HC5" s="888"/>
      <c r="HD5" s="888"/>
      <c r="HE5" s="888"/>
      <c r="HF5" s="888"/>
      <c r="HG5" s="888"/>
      <c r="HH5" s="888"/>
      <c r="HI5" s="888"/>
      <c r="HJ5" s="888"/>
      <c r="HK5" s="888"/>
      <c r="HL5" s="888"/>
      <c r="HM5" s="888"/>
      <c r="HN5" s="888"/>
      <c r="HO5" s="888"/>
      <c r="HP5" s="888"/>
      <c r="HQ5" s="888"/>
      <c r="HR5" s="888"/>
      <c r="HS5" s="888"/>
      <c r="HT5" s="888"/>
      <c r="HU5" s="888"/>
      <c r="HV5" s="888"/>
      <c r="HW5" s="888"/>
      <c r="HX5" s="888"/>
      <c r="HY5" s="888"/>
      <c r="HZ5" s="888"/>
      <c r="IA5" s="888"/>
      <c r="IB5" s="888"/>
      <c r="IC5" s="888"/>
      <c r="ID5" s="888"/>
      <c r="IE5" s="888"/>
      <c r="IF5" s="888"/>
      <c r="IG5" s="888"/>
      <c r="IH5" s="888"/>
      <c r="II5" s="888"/>
      <c r="IJ5" s="888"/>
      <c r="IK5" s="888"/>
      <c r="IL5" s="888"/>
      <c r="IM5" s="888"/>
      <c r="IN5" s="888"/>
      <c r="IO5" s="888"/>
      <c r="IP5" s="888"/>
      <c r="IQ5" s="888"/>
      <c r="IR5" s="888"/>
    </row>
    <row r="6" spans="1:252" s="993" customFormat="1" ht="15.75" customHeight="1">
      <c r="A6" s="105" t="s">
        <v>1363</v>
      </c>
      <c r="B6" s="105"/>
      <c r="C6" s="105"/>
      <c r="D6" s="105"/>
      <c r="E6" s="105"/>
      <c r="F6" s="888"/>
      <c r="G6" s="888"/>
      <c r="H6" s="105"/>
      <c r="I6" s="105"/>
      <c r="J6" s="105"/>
      <c r="K6" s="105"/>
      <c r="L6" s="105"/>
      <c r="M6" s="105"/>
      <c r="N6" s="105"/>
      <c r="O6" s="105"/>
      <c r="P6" s="105"/>
      <c r="Q6" s="994"/>
      <c r="R6" s="995"/>
      <c r="S6" s="825"/>
      <c r="T6" s="995"/>
      <c r="U6" s="825"/>
      <c r="V6" s="825"/>
      <c r="W6" s="888"/>
      <c r="X6" s="888"/>
      <c r="Y6" s="888"/>
      <c r="Z6" s="888"/>
      <c r="AA6" s="888"/>
      <c r="AB6" s="888"/>
      <c r="AC6" s="888"/>
      <c r="AD6" s="888"/>
      <c r="AE6" s="888"/>
      <c r="AF6" s="888"/>
      <c r="AG6" s="888"/>
      <c r="AH6" s="888"/>
      <c r="AI6" s="888"/>
      <c r="AJ6" s="888"/>
      <c r="AK6" s="888"/>
      <c r="AL6" s="888"/>
      <c r="AM6" s="888"/>
      <c r="AN6" s="888"/>
      <c r="AO6" s="888"/>
      <c r="AP6" s="888"/>
      <c r="AQ6" s="888"/>
      <c r="AR6" s="888"/>
      <c r="AS6" s="888"/>
      <c r="AT6" s="888"/>
      <c r="AU6" s="888"/>
      <c r="AV6" s="888"/>
      <c r="AW6" s="888"/>
      <c r="AX6" s="888"/>
      <c r="AY6" s="888"/>
      <c r="AZ6" s="888"/>
      <c r="BA6" s="888"/>
      <c r="BB6" s="888"/>
      <c r="BC6" s="888"/>
      <c r="BD6" s="888"/>
      <c r="BE6" s="888"/>
      <c r="BF6" s="888"/>
      <c r="BG6" s="888"/>
      <c r="BH6" s="888"/>
      <c r="BI6" s="888"/>
      <c r="BJ6" s="888"/>
      <c r="BK6" s="888"/>
      <c r="BL6" s="888"/>
      <c r="BM6" s="888"/>
      <c r="BN6" s="888"/>
      <c r="BO6" s="888"/>
      <c r="BP6" s="888"/>
      <c r="BQ6" s="888"/>
      <c r="BR6" s="888"/>
      <c r="BS6" s="888"/>
      <c r="BT6" s="888"/>
      <c r="BU6" s="888"/>
      <c r="BV6" s="888"/>
      <c r="BW6" s="888"/>
      <c r="BX6" s="888"/>
      <c r="BY6" s="888"/>
      <c r="BZ6" s="888"/>
      <c r="CA6" s="888"/>
      <c r="CB6" s="888"/>
      <c r="CC6" s="888"/>
      <c r="CD6" s="888"/>
      <c r="CE6" s="888"/>
      <c r="CF6" s="888"/>
      <c r="CG6" s="888"/>
      <c r="CH6" s="888"/>
      <c r="CI6" s="888"/>
      <c r="CJ6" s="888"/>
      <c r="CK6" s="888"/>
      <c r="CL6" s="888"/>
      <c r="CM6" s="888"/>
      <c r="CN6" s="888"/>
      <c r="CO6" s="888"/>
      <c r="CP6" s="888"/>
      <c r="CQ6" s="888"/>
      <c r="CR6" s="888"/>
      <c r="CS6" s="888"/>
      <c r="CT6" s="888"/>
      <c r="CU6" s="888"/>
      <c r="CV6" s="888"/>
      <c r="CW6" s="888"/>
      <c r="CX6" s="888"/>
      <c r="CY6" s="888"/>
      <c r="CZ6" s="888"/>
      <c r="DA6" s="888"/>
      <c r="DB6" s="888"/>
      <c r="DC6" s="888"/>
      <c r="DD6" s="888"/>
      <c r="DE6" s="888"/>
      <c r="DF6" s="888"/>
      <c r="DG6" s="888"/>
      <c r="DH6" s="888"/>
      <c r="DI6" s="888"/>
      <c r="DJ6" s="888"/>
      <c r="DK6" s="888"/>
      <c r="DL6" s="888"/>
      <c r="DM6" s="888"/>
      <c r="DN6" s="888"/>
      <c r="DO6" s="888"/>
      <c r="DP6" s="888"/>
      <c r="DQ6" s="888"/>
      <c r="DR6" s="888"/>
      <c r="DS6" s="888"/>
      <c r="DT6" s="888"/>
      <c r="DU6" s="888"/>
      <c r="DV6" s="888"/>
      <c r="DW6" s="888"/>
      <c r="DX6" s="888"/>
      <c r="DY6" s="888"/>
      <c r="DZ6" s="888"/>
      <c r="EA6" s="888"/>
      <c r="EB6" s="888"/>
      <c r="EC6" s="888"/>
      <c r="ED6" s="888"/>
      <c r="EE6" s="888"/>
      <c r="EF6" s="888"/>
      <c r="EG6" s="888"/>
      <c r="EH6" s="888"/>
      <c r="EI6" s="888"/>
      <c r="EJ6" s="888"/>
      <c r="EK6" s="888"/>
      <c r="EL6" s="888"/>
      <c r="EM6" s="888"/>
      <c r="EN6" s="888"/>
      <c r="EO6" s="888"/>
      <c r="EP6" s="888"/>
      <c r="EQ6" s="888"/>
      <c r="ER6" s="888"/>
      <c r="ES6" s="888"/>
      <c r="ET6" s="888"/>
      <c r="EU6" s="888"/>
      <c r="EV6" s="888"/>
      <c r="EW6" s="888"/>
      <c r="EX6" s="888"/>
      <c r="EY6" s="888"/>
      <c r="EZ6" s="888"/>
      <c r="FA6" s="888"/>
      <c r="FB6" s="888"/>
      <c r="FC6" s="888"/>
      <c r="FD6" s="888"/>
      <c r="FE6" s="888"/>
      <c r="FF6" s="888"/>
      <c r="FG6" s="888"/>
      <c r="FH6" s="888"/>
      <c r="FI6" s="888"/>
      <c r="FJ6" s="888"/>
      <c r="FK6" s="888"/>
      <c r="FL6" s="888"/>
      <c r="FM6" s="888"/>
      <c r="FN6" s="888"/>
      <c r="FO6" s="888"/>
      <c r="FP6" s="888"/>
      <c r="FQ6" s="888"/>
      <c r="FR6" s="888"/>
      <c r="FS6" s="888"/>
      <c r="FT6" s="888"/>
      <c r="FU6" s="888"/>
      <c r="FV6" s="888"/>
      <c r="FW6" s="888"/>
      <c r="FX6" s="888"/>
      <c r="FY6" s="888"/>
      <c r="FZ6" s="888"/>
      <c r="GA6" s="888"/>
      <c r="GB6" s="888"/>
      <c r="GC6" s="888"/>
      <c r="GD6" s="888"/>
      <c r="GE6" s="888"/>
      <c r="GF6" s="888"/>
      <c r="GG6" s="888"/>
      <c r="GH6" s="888"/>
      <c r="GI6" s="888"/>
      <c r="GJ6" s="888"/>
      <c r="GK6" s="888"/>
      <c r="GL6" s="888"/>
      <c r="GM6" s="888"/>
      <c r="GN6" s="888"/>
      <c r="GO6" s="888"/>
      <c r="GP6" s="888"/>
      <c r="GQ6" s="888"/>
      <c r="GR6" s="888"/>
      <c r="GS6" s="888"/>
      <c r="GT6" s="888"/>
      <c r="GU6" s="888"/>
      <c r="GV6" s="888"/>
      <c r="GW6" s="888"/>
      <c r="GX6" s="888"/>
      <c r="GY6" s="888"/>
      <c r="GZ6" s="888"/>
      <c r="HA6" s="888"/>
      <c r="HB6" s="888"/>
      <c r="HC6" s="888"/>
      <c r="HD6" s="888"/>
      <c r="HE6" s="888"/>
      <c r="HF6" s="888"/>
      <c r="HG6" s="888"/>
      <c r="HH6" s="888"/>
      <c r="HI6" s="888"/>
      <c r="HJ6" s="888"/>
      <c r="HK6" s="888"/>
      <c r="HL6" s="888"/>
      <c r="HM6" s="888"/>
      <c r="HN6" s="888"/>
      <c r="HO6" s="888"/>
      <c r="HP6" s="888"/>
      <c r="HQ6" s="888"/>
      <c r="HR6" s="888"/>
      <c r="HS6" s="888"/>
      <c r="HT6" s="888"/>
      <c r="HU6" s="888"/>
      <c r="HV6" s="888"/>
      <c r="HW6" s="888"/>
      <c r="HX6" s="888"/>
      <c r="HY6" s="888"/>
      <c r="HZ6" s="888"/>
      <c r="IA6" s="888"/>
      <c r="IB6" s="888"/>
      <c r="IC6" s="888"/>
      <c r="ID6" s="888"/>
      <c r="IE6" s="888"/>
      <c r="IF6" s="888"/>
      <c r="IG6" s="888"/>
      <c r="IH6" s="888"/>
      <c r="II6" s="888"/>
      <c r="IJ6" s="888"/>
      <c r="IK6" s="888"/>
      <c r="IL6" s="888"/>
      <c r="IM6" s="888"/>
      <c r="IN6" s="888"/>
      <c r="IO6" s="888"/>
      <c r="IP6" s="888"/>
      <c r="IQ6" s="888"/>
      <c r="IR6" s="888"/>
    </row>
    <row r="7" spans="1:252" s="993" customFormat="1" ht="15.75">
      <c r="A7" s="108"/>
      <c r="B7" s="105"/>
      <c r="C7" s="105"/>
      <c r="D7" s="105"/>
      <c r="E7" s="105"/>
      <c r="F7" s="888"/>
      <c r="G7" s="888"/>
      <c r="H7" s="105"/>
      <c r="I7" s="105"/>
      <c r="J7" s="105"/>
      <c r="K7" s="105"/>
      <c r="L7" s="105"/>
      <c r="M7" s="105"/>
      <c r="N7" s="105"/>
      <c r="O7" s="105"/>
      <c r="P7" s="105"/>
      <c r="Q7" s="994"/>
      <c r="R7" s="995"/>
      <c r="S7" s="825"/>
      <c r="T7" s="995"/>
      <c r="U7" s="825"/>
      <c r="V7" s="825"/>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c r="GF7" s="888"/>
      <c r="GG7" s="888"/>
      <c r="GH7" s="888"/>
      <c r="GI7" s="888"/>
      <c r="GJ7" s="888"/>
      <c r="GK7" s="888"/>
      <c r="GL7" s="888"/>
      <c r="GM7" s="888"/>
      <c r="GN7" s="888"/>
      <c r="GO7" s="888"/>
      <c r="GP7" s="888"/>
      <c r="GQ7" s="888"/>
      <c r="GR7" s="888"/>
      <c r="GS7" s="888"/>
      <c r="GT7" s="888"/>
      <c r="GU7" s="888"/>
      <c r="GV7" s="888"/>
      <c r="GW7" s="888"/>
      <c r="GX7" s="888"/>
      <c r="GY7" s="888"/>
      <c r="GZ7" s="888"/>
      <c r="HA7" s="888"/>
      <c r="HB7" s="888"/>
      <c r="HC7" s="888"/>
      <c r="HD7" s="888"/>
      <c r="HE7" s="888"/>
      <c r="HF7" s="888"/>
      <c r="HG7" s="888"/>
      <c r="HH7" s="888"/>
      <c r="HI7" s="888"/>
      <c r="HJ7" s="888"/>
      <c r="HK7" s="888"/>
      <c r="HL7" s="888"/>
      <c r="HM7" s="888"/>
      <c r="HN7" s="888"/>
      <c r="HO7" s="888"/>
      <c r="HP7" s="888"/>
      <c r="HQ7" s="888"/>
      <c r="HR7" s="888"/>
      <c r="HS7" s="888"/>
      <c r="HT7" s="888"/>
      <c r="HU7" s="888"/>
      <c r="HV7" s="888"/>
      <c r="HW7" s="888"/>
      <c r="HX7" s="888"/>
      <c r="HY7" s="888"/>
      <c r="HZ7" s="888"/>
      <c r="IA7" s="888"/>
      <c r="IB7" s="888"/>
      <c r="IC7" s="888"/>
      <c r="ID7" s="888"/>
      <c r="IE7" s="888"/>
      <c r="IF7" s="888"/>
      <c r="IG7" s="888"/>
      <c r="IH7" s="888"/>
      <c r="II7" s="888"/>
      <c r="IJ7" s="888"/>
      <c r="IK7" s="888"/>
      <c r="IL7" s="888"/>
      <c r="IM7" s="888"/>
      <c r="IN7" s="888"/>
      <c r="IO7" s="888"/>
      <c r="IP7" s="888"/>
      <c r="IQ7" s="888"/>
      <c r="IR7" s="888"/>
    </row>
    <row r="8" spans="1:252" s="993" customFormat="1" ht="15.75">
      <c r="B8" s="105"/>
      <c r="C8" s="105"/>
      <c r="D8" s="105"/>
      <c r="E8" s="105"/>
      <c r="F8" s="888"/>
      <c r="G8" s="888"/>
      <c r="H8" s="105"/>
      <c r="I8" s="105"/>
      <c r="J8" s="105"/>
      <c r="K8" s="105"/>
      <c r="L8" s="105"/>
      <c r="M8" s="105"/>
      <c r="N8" s="105"/>
      <c r="O8" s="105"/>
      <c r="P8" s="105"/>
      <c r="Q8" s="994"/>
      <c r="R8" s="995"/>
      <c r="S8" s="825"/>
      <c r="T8" s="995"/>
      <c r="U8" s="825"/>
      <c r="V8" s="825"/>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c r="GF8" s="888"/>
      <c r="GG8" s="888"/>
      <c r="GH8" s="888"/>
      <c r="GI8" s="888"/>
      <c r="GJ8" s="888"/>
      <c r="GK8" s="888"/>
      <c r="GL8" s="888"/>
      <c r="GM8" s="888"/>
      <c r="GN8" s="888"/>
      <c r="GO8" s="888"/>
      <c r="GP8" s="888"/>
      <c r="GQ8" s="888"/>
      <c r="GR8" s="888"/>
      <c r="GS8" s="888"/>
      <c r="GT8" s="888"/>
      <c r="GU8" s="888"/>
      <c r="GV8" s="888"/>
      <c r="GW8" s="888"/>
      <c r="GX8" s="888"/>
      <c r="GY8" s="888"/>
      <c r="GZ8" s="888"/>
      <c r="HA8" s="888"/>
      <c r="HB8" s="888"/>
      <c r="HC8" s="888"/>
      <c r="HD8" s="888"/>
      <c r="HE8" s="888"/>
      <c r="HF8" s="888"/>
      <c r="HG8" s="888"/>
      <c r="HH8" s="888"/>
      <c r="HI8" s="888"/>
      <c r="HJ8" s="888"/>
      <c r="HK8" s="888"/>
      <c r="HL8" s="888"/>
      <c r="HM8" s="888"/>
      <c r="HN8" s="888"/>
      <c r="HO8" s="888"/>
      <c r="HP8" s="888"/>
      <c r="HQ8" s="888"/>
      <c r="HR8" s="888"/>
      <c r="HS8" s="888"/>
      <c r="HT8" s="888"/>
      <c r="HU8" s="888"/>
      <c r="HV8" s="888"/>
      <c r="HW8" s="888"/>
      <c r="HX8" s="888"/>
      <c r="HY8" s="888"/>
      <c r="HZ8" s="888"/>
      <c r="IA8" s="888"/>
      <c r="IB8" s="888"/>
      <c r="IC8" s="888"/>
      <c r="ID8" s="888"/>
      <c r="IE8" s="888"/>
      <c r="IF8" s="888"/>
      <c r="IG8" s="888"/>
      <c r="IH8" s="888"/>
      <c r="II8" s="888"/>
      <c r="IJ8" s="888"/>
      <c r="IK8" s="888"/>
      <c r="IL8" s="888"/>
      <c r="IM8" s="888"/>
      <c r="IN8" s="888"/>
      <c r="IO8" s="888"/>
      <c r="IP8" s="888"/>
      <c r="IQ8" s="888"/>
      <c r="IR8" s="888"/>
    </row>
    <row r="9" spans="1:252" s="993" customFormat="1" ht="8.1" customHeight="1">
      <c r="A9" s="994"/>
      <c r="B9" s="105"/>
      <c r="C9" s="105"/>
      <c r="D9" s="105"/>
      <c r="E9" s="105"/>
      <c r="F9" s="105"/>
      <c r="G9" s="888"/>
      <c r="H9" s="105"/>
      <c r="I9" s="105"/>
      <c r="J9" s="105"/>
      <c r="K9" s="105"/>
      <c r="L9" s="105"/>
      <c r="M9" s="105"/>
      <c r="N9" s="105"/>
      <c r="O9" s="105"/>
      <c r="P9" s="105"/>
      <c r="Q9" s="994"/>
      <c r="R9" s="996"/>
      <c r="S9" s="994"/>
      <c r="T9" s="992"/>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c r="GF9" s="888"/>
      <c r="GG9" s="888"/>
      <c r="GH9" s="888"/>
      <c r="GI9" s="888"/>
      <c r="GJ9" s="888"/>
      <c r="GK9" s="888"/>
      <c r="GL9" s="888"/>
      <c r="GM9" s="888"/>
      <c r="GN9" s="888"/>
      <c r="GO9" s="888"/>
      <c r="GP9" s="888"/>
      <c r="GQ9" s="888"/>
      <c r="GR9" s="888"/>
      <c r="GS9" s="888"/>
      <c r="GT9" s="888"/>
      <c r="GU9" s="888"/>
      <c r="GV9" s="888"/>
      <c r="GW9" s="888"/>
      <c r="GX9" s="888"/>
      <c r="GY9" s="888"/>
      <c r="GZ9" s="888"/>
      <c r="HA9" s="888"/>
      <c r="HB9" s="888"/>
      <c r="HC9" s="888"/>
      <c r="HD9" s="888"/>
      <c r="HE9" s="888"/>
      <c r="HF9" s="888"/>
      <c r="HG9" s="888"/>
      <c r="HH9" s="888"/>
      <c r="HI9" s="888"/>
      <c r="HJ9" s="888"/>
      <c r="HK9" s="888"/>
      <c r="HL9" s="888"/>
      <c r="HM9" s="888"/>
      <c r="HN9" s="888"/>
      <c r="HO9" s="888"/>
      <c r="HP9" s="888"/>
      <c r="HQ9" s="888"/>
      <c r="HR9" s="888"/>
      <c r="HS9" s="888"/>
      <c r="HT9" s="888"/>
      <c r="HU9" s="888"/>
      <c r="HV9" s="888"/>
      <c r="HW9" s="888"/>
      <c r="HX9" s="888"/>
      <c r="HY9" s="888"/>
      <c r="HZ9" s="888"/>
      <c r="IA9" s="888"/>
      <c r="IB9" s="888"/>
      <c r="IC9" s="888"/>
      <c r="ID9" s="888"/>
      <c r="IE9" s="888"/>
      <c r="IF9" s="888"/>
      <c r="IG9" s="888"/>
      <c r="IH9" s="888"/>
      <c r="II9" s="888"/>
      <c r="IJ9" s="888"/>
      <c r="IK9" s="888"/>
      <c r="IL9" s="888"/>
      <c r="IM9" s="888"/>
      <c r="IN9" s="888"/>
      <c r="IO9" s="888"/>
      <c r="IP9" s="888"/>
      <c r="IQ9" s="888"/>
      <c r="IR9" s="888"/>
    </row>
    <row r="10" spans="1:252" s="993" customFormat="1" ht="15.75">
      <c r="A10" s="994"/>
      <c r="B10" s="105"/>
      <c r="C10" s="105"/>
      <c r="D10" s="105"/>
      <c r="E10" s="105"/>
      <c r="F10" s="105"/>
      <c r="G10" s="888"/>
      <c r="H10" s="105"/>
      <c r="I10" s="105"/>
      <c r="J10" s="105"/>
      <c r="K10" s="105"/>
      <c r="L10" s="105"/>
      <c r="M10" s="105"/>
      <c r="N10" s="105"/>
      <c r="O10" s="105"/>
      <c r="P10" s="105"/>
      <c r="Q10" s="994"/>
      <c r="R10" s="995"/>
      <c r="S10" s="825"/>
      <c r="T10" s="995"/>
      <c r="U10" s="825"/>
      <c r="V10" s="825"/>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c r="GF10" s="888"/>
      <c r="GG10" s="888"/>
      <c r="GH10" s="888"/>
      <c r="GI10" s="888"/>
      <c r="GJ10" s="888"/>
      <c r="GK10" s="888"/>
      <c r="GL10" s="888"/>
      <c r="GM10" s="888"/>
      <c r="GN10" s="888"/>
      <c r="GO10" s="888"/>
      <c r="GP10" s="888"/>
      <c r="GQ10" s="888"/>
      <c r="GR10" s="888"/>
      <c r="GS10" s="888"/>
      <c r="GT10" s="888"/>
      <c r="GU10" s="888"/>
      <c r="GV10" s="888"/>
      <c r="GW10" s="888"/>
      <c r="GX10" s="888"/>
      <c r="GY10" s="888"/>
      <c r="GZ10" s="888"/>
      <c r="HA10" s="888"/>
      <c r="HB10" s="888"/>
      <c r="HC10" s="888"/>
      <c r="HD10" s="888"/>
      <c r="HE10" s="888"/>
      <c r="HF10" s="888"/>
      <c r="HG10" s="888"/>
      <c r="HH10" s="888"/>
      <c r="HI10" s="888"/>
      <c r="HJ10" s="888"/>
      <c r="HK10" s="888"/>
      <c r="HL10" s="888"/>
      <c r="HM10" s="888"/>
      <c r="HN10" s="888"/>
      <c r="HO10" s="888"/>
      <c r="HP10" s="888"/>
      <c r="HQ10" s="888"/>
      <c r="HR10" s="888"/>
      <c r="HS10" s="888"/>
      <c r="HT10" s="888"/>
      <c r="HU10" s="888"/>
      <c r="HV10" s="888"/>
      <c r="HW10" s="888"/>
      <c r="HX10" s="888"/>
      <c r="HY10" s="888"/>
      <c r="HZ10" s="888"/>
      <c r="IA10" s="888"/>
      <c r="IB10" s="888"/>
      <c r="IC10" s="888"/>
      <c r="ID10" s="888"/>
      <c r="IE10" s="888"/>
      <c r="IF10" s="888"/>
      <c r="IG10" s="888"/>
      <c r="IH10" s="888"/>
      <c r="II10" s="888"/>
      <c r="IJ10" s="888"/>
      <c r="IK10" s="888"/>
      <c r="IL10" s="888"/>
      <c r="IM10" s="888"/>
      <c r="IN10" s="888"/>
      <c r="IO10" s="888"/>
      <c r="IP10" s="888"/>
      <c r="IQ10" s="888"/>
      <c r="IR10" s="888"/>
    </row>
    <row r="11" spans="1:252" s="993" customFormat="1" ht="15.75">
      <c r="A11" s="994"/>
      <c r="B11" s="105"/>
      <c r="C11" s="105"/>
      <c r="D11" s="105"/>
      <c r="E11" s="105"/>
      <c r="F11" s="105"/>
      <c r="G11" s="888"/>
      <c r="H11" s="105"/>
      <c r="I11" s="105"/>
      <c r="K11" s="110"/>
      <c r="L11" s="889"/>
      <c r="M11" s="889"/>
      <c r="N11" s="110"/>
      <c r="O11" s="110"/>
      <c r="P11" s="110"/>
      <c r="Q11" s="994"/>
      <c r="R11" s="995"/>
      <c r="S11" s="825"/>
      <c r="T11" s="995"/>
      <c r="U11" s="825"/>
      <c r="V11" s="825"/>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c r="GF11" s="888"/>
      <c r="GG11" s="888"/>
      <c r="GH11" s="888"/>
      <c r="GI11" s="888"/>
      <c r="GJ11" s="888"/>
      <c r="GK11" s="888"/>
      <c r="GL11" s="888"/>
      <c r="GM11" s="888"/>
      <c r="GN11" s="888"/>
      <c r="GO11" s="888"/>
      <c r="GP11" s="888"/>
      <c r="GQ11" s="888"/>
      <c r="GR11" s="888"/>
      <c r="GS11" s="888"/>
      <c r="GT11" s="888"/>
      <c r="GU11" s="888"/>
      <c r="GV11" s="888"/>
      <c r="GW11" s="888"/>
      <c r="GX11" s="888"/>
      <c r="GY11" s="888"/>
      <c r="GZ11" s="888"/>
      <c r="HA11" s="888"/>
      <c r="HB11" s="888"/>
      <c r="HC11" s="888"/>
      <c r="HD11" s="888"/>
      <c r="HE11" s="888"/>
      <c r="HF11" s="888"/>
      <c r="HG11" s="888"/>
      <c r="HH11" s="888"/>
      <c r="HI11" s="888"/>
      <c r="HJ11" s="888"/>
      <c r="HK11" s="888"/>
      <c r="HL11" s="888"/>
      <c r="HM11" s="888"/>
      <c r="HN11" s="888"/>
      <c r="HO11" s="888"/>
      <c r="HP11" s="888"/>
      <c r="HQ11" s="888"/>
      <c r="HR11" s="888"/>
      <c r="HS11" s="888"/>
      <c r="HT11" s="888"/>
      <c r="HU11" s="888"/>
      <c r="HV11" s="888"/>
      <c r="HW11" s="888"/>
      <c r="HX11" s="888"/>
      <c r="HY11" s="888"/>
      <c r="HZ11" s="888"/>
      <c r="IA11" s="888"/>
      <c r="IB11" s="888"/>
      <c r="IC11" s="888"/>
      <c r="ID11" s="888"/>
      <c r="IE11" s="888"/>
      <c r="IF11" s="888"/>
      <c r="IG11" s="888"/>
      <c r="IH11" s="888"/>
      <c r="II11" s="888"/>
      <c r="IJ11" s="888"/>
      <c r="IK11" s="888"/>
      <c r="IL11" s="888"/>
      <c r="IM11" s="888"/>
      <c r="IN11" s="888"/>
      <c r="IO11" s="888"/>
      <c r="IP11" s="888"/>
      <c r="IQ11" s="888"/>
      <c r="IR11" s="888"/>
    </row>
    <row r="12" spans="1:252" ht="16.350000000000001" customHeight="1">
      <c r="A12" s="994"/>
      <c r="B12" s="110" t="s">
        <v>79</v>
      </c>
      <c r="C12" s="997"/>
      <c r="D12" s="110"/>
      <c r="E12" s="105"/>
      <c r="F12" s="110" t="s">
        <v>80</v>
      </c>
      <c r="G12" s="997"/>
      <c r="H12" s="110"/>
      <c r="I12" s="105"/>
      <c r="J12" s="110" t="s">
        <v>81</v>
      </c>
      <c r="K12" s="110"/>
      <c r="L12" s="889"/>
      <c r="M12" s="110"/>
      <c r="N12" s="110"/>
      <c r="O12" s="110"/>
      <c r="P12" s="110"/>
      <c r="Q12" s="994"/>
      <c r="R12" s="998"/>
      <c r="S12" s="3940" t="s">
        <v>892</v>
      </c>
      <c r="T12" s="3940"/>
      <c r="U12" s="3940"/>
      <c r="V12" s="825"/>
    </row>
    <row r="13" spans="1:252" ht="13.35" customHeight="1">
      <c r="A13" s="994"/>
      <c r="B13" s="999"/>
      <c r="C13" s="999"/>
      <c r="D13" s="999"/>
      <c r="E13" s="994"/>
      <c r="F13" s="999"/>
      <c r="G13" s="1000"/>
      <c r="H13" s="999"/>
      <c r="I13" s="994"/>
      <c r="J13" s="999"/>
      <c r="K13" s="999"/>
      <c r="L13" s="999"/>
      <c r="M13" s="999"/>
      <c r="N13" s="999"/>
      <c r="O13" s="999"/>
      <c r="P13" s="999"/>
      <c r="Q13" s="994"/>
      <c r="R13" s="1001"/>
      <c r="S13" s="994"/>
      <c r="T13" s="1002"/>
      <c r="U13" s="824"/>
      <c r="V13" s="825"/>
    </row>
    <row r="14" spans="1:252" ht="16.350000000000001" customHeight="1">
      <c r="A14" s="994"/>
      <c r="B14" s="740" t="s">
        <v>7</v>
      </c>
      <c r="C14" s="105"/>
      <c r="D14" s="741" t="str">
        <f>'Exhibit A'!F11</f>
        <v>10 MOS. ENDED</v>
      </c>
      <c r="E14" s="105"/>
      <c r="F14" s="740" t="s">
        <v>7</v>
      </c>
      <c r="G14" s="742"/>
      <c r="H14" s="740" t="str">
        <f>D14</f>
        <v>10 MOS. ENDED</v>
      </c>
      <c r="I14" s="105"/>
      <c r="J14" s="740" t="s">
        <v>7</v>
      </c>
      <c r="K14" s="105"/>
      <c r="L14" s="740" t="str">
        <f>D14</f>
        <v>10 MOS. ENDED</v>
      </c>
      <c r="M14" s="105"/>
      <c r="N14" s="740" t="s">
        <v>7</v>
      </c>
      <c r="O14" s="105"/>
      <c r="P14" s="740" t="str">
        <f>H14</f>
        <v>10 MOS. ENDED</v>
      </c>
      <c r="Q14" s="994"/>
      <c r="R14" s="1001"/>
      <c r="S14" s="3314" t="s">
        <v>8</v>
      </c>
      <c r="T14" s="210"/>
      <c r="U14" s="749" t="s">
        <v>9</v>
      </c>
      <c r="V14" s="825"/>
    </row>
    <row r="15" spans="1:252" ht="16.350000000000001" customHeight="1">
      <c r="A15" s="994"/>
      <c r="B15" s="905" t="str">
        <f>'Exhibit A'!D12</f>
        <v>JAN. 2021</v>
      </c>
      <c r="C15" s="105"/>
      <c r="D15" s="905" t="str">
        <f>'Exhibit A'!F12</f>
        <v>JAN. 31, 2021</v>
      </c>
      <c r="E15" s="105"/>
      <c r="F15" s="743" t="str">
        <f>+B15</f>
        <v>JAN. 2021</v>
      </c>
      <c r="G15" s="105"/>
      <c r="H15" s="744" t="str">
        <f>D15</f>
        <v>JAN. 31, 2021</v>
      </c>
      <c r="I15" s="105"/>
      <c r="J15" s="743" t="str">
        <f>+F15</f>
        <v>JAN. 2021</v>
      </c>
      <c r="K15" s="105"/>
      <c r="L15" s="744" t="str">
        <f>D15</f>
        <v>JAN. 31, 2021</v>
      </c>
      <c r="M15" s="105"/>
      <c r="N15" s="3499" t="str">
        <f>'Exhibit A'!AB12</f>
        <v>JAN. 2020</v>
      </c>
      <c r="O15" s="105"/>
      <c r="P15" s="905" t="str">
        <f>'Exhibit A'!AD12</f>
        <v>JAN. 31, 2020</v>
      </c>
      <c r="Q15" s="994"/>
      <c r="R15" s="1001"/>
      <c r="S15" s="3315" t="s">
        <v>12</v>
      </c>
      <c r="T15" s="209"/>
      <c r="U15" s="752" t="s">
        <v>13</v>
      </c>
      <c r="V15" s="825"/>
    </row>
    <row r="16" spans="1:252" ht="13.35" customHeight="1">
      <c r="A16" s="994"/>
      <c r="B16" s="996"/>
      <c r="C16" s="994"/>
      <c r="D16" s="996" t="s">
        <v>15</v>
      </c>
      <c r="E16" s="994"/>
      <c r="F16" s="999"/>
      <c r="G16" s="994"/>
      <c r="H16" s="1003" t="s">
        <v>15</v>
      </c>
      <c r="I16" s="996"/>
      <c r="J16" s="1004"/>
      <c r="K16" s="994"/>
      <c r="L16" s="1005"/>
      <c r="M16" s="996"/>
      <c r="N16" s="996"/>
      <c r="O16" s="994"/>
      <c r="P16" s="996"/>
      <c r="Q16" s="994"/>
      <c r="R16" s="1006"/>
      <c r="S16" s="825"/>
      <c r="T16" s="996"/>
      <c r="U16" s="825"/>
      <c r="V16" s="825"/>
    </row>
    <row r="17" spans="1:245" ht="16.350000000000001" customHeight="1">
      <c r="A17" s="105" t="s">
        <v>14</v>
      </c>
      <c r="B17" s="1007"/>
      <c r="C17" s="1007"/>
      <c r="D17" s="1007"/>
      <c r="E17" s="1007"/>
      <c r="F17" s="1008"/>
      <c r="G17" s="1007"/>
      <c r="H17" s="1009"/>
      <c r="I17" s="1008"/>
      <c r="J17" s="1010"/>
      <c r="K17" s="1007"/>
      <c r="L17" s="1009"/>
      <c r="M17" s="1008"/>
      <c r="N17" s="1008"/>
      <c r="O17" s="1007"/>
      <c r="P17" s="1008"/>
      <c r="Q17" s="994"/>
      <c r="R17" s="1011"/>
      <c r="S17" s="825"/>
      <c r="T17" s="1008"/>
      <c r="U17" s="825"/>
      <c r="V17" s="825"/>
    </row>
    <row r="18" spans="1:245" ht="16.350000000000001" customHeight="1">
      <c r="A18" s="994" t="s">
        <v>20</v>
      </c>
      <c r="B18" s="1012">
        <f>+'Exhibit L'!T16</f>
        <v>5.5999999999999943</v>
      </c>
      <c r="C18" s="894"/>
      <c r="D18" s="893">
        <f>+'Exhibit L'!AA16</f>
        <v>100.6</v>
      </c>
      <c r="E18" s="894"/>
      <c r="F18" s="1013">
        <f>'Exhibit M'!T16</f>
        <v>0.10000000000000003</v>
      </c>
      <c r="G18" s="894"/>
      <c r="H18" s="1014">
        <f>+'Exhibit M'!AA16</f>
        <v>0.30000000000000004</v>
      </c>
      <c r="I18" s="1015"/>
      <c r="J18" s="1016">
        <f>SUM(B18)+SUM(F18)</f>
        <v>5.699999999999994</v>
      </c>
      <c r="K18" s="894"/>
      <c r="L18" s="1014">
        <f>D18+SUM(H18)</f>
        <v>100.89999999999999</v>
      </c>
      <c r="M18" s="1015"/>
      <c r="N18" s="3500">
        <v>5.3</v>
      </c>
      <c r="O18" s="894"/>
      <c r="P18" s="3500">
        <f>'Exhibit L'!AD16+'Exhibit M'!AD16</f>
        <v>119.3</v>
      </c>
      <c r="Q18" s="1017"/>
      <c r="R18" s="1018"/>
      <c r="S18" s="1123">
        <f>ROUND(SUM(L18-P18),1)</f>
        <v>-18.399999999999999</v>
      </c>
      <c r="T18" s="1019"/>
      <c r="U18" s="1383">
        <f>ROUND(IF(S18=0,0,S18/ABS(P18)),3)</f>
        <v>-0.154</v>
      </c>
      <c r="V18" s="1020"/>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1021"/>
      <c r="AS18" s="1021"/>
      <c r="AT18" s="1021"/>
      <c r="AU18" s="1021"/>
      <c r="AV18" s="1021"/>
      <c r="AW18" s="1021"/>
      <c r="AX18" s="1021"/>
      <c r="AY18" s="1021"/>
      <c r="AZ18" s="1021"/>
      <c r="BA18" s="1021"/>
      <c r="BB18" s="1021"/>
      <c r="BC18" s="1021"/>
      <c r="BD18" s="1021"/>
      <c r="BE18" s="1021"/>
      <c r="BF18" s="1021"/>
      <c r="BG18" s="1021"/>
      <c r="BH18" s="1021"/>
      <c r="BI18" s="1021"/>
      <c r="BJ18" s="1021"/>
      <c r="BK18" s="1021"/>
      <c r="BL18" s="1021"/>
      <c r="BM18" s="1021"/>
      <c r="BN18" s="1021"/>
      <c r="BO18" s="1021"/>
      <c r="BP18" s="1021"/>
      <c r="BQ18" s="1021"/>
      <c r="BR18" s="1021"/>
      <c r="BS18" s="1021"/>
      <c r="BT18" s="1021"/>
      <c r="BU18" s="1021"/>
      <c r="BV18" s="1021"/>
      <c r="BW18" s="1021"/>
      <c r="BX18" s="1021"/>
      <c r="BY18" s="1021"/>
      <c r="BZ18" s="1021"/>
      <c r="CA18" s="1021"/>
      <c r="CB18" s="1021"/>
      <c r="CC18" s="1021"/>
      <c r="CD18" s="1021"/>
      <c r="CE18" s="1021"/>
      <c r="CF18" s="1021"/>
      <c r="CG18" s="1021"/>
      <c r="CH18" s="1021"/>
      <c r="CI18" s="1021"/>
      <c r="CJ18" s="1021"/>
      <c r="CK18" s="1021"/>
      <c r="CL18" s="1021"/>
      <c r="CM18" s="1021"/>
      <c r="CN18" s="1021"/>
      <c r="CO18" s="1021"/>
      <c r="CP18" s="1021"/>
      <c r="CQ18" s="1021"/>
      <c r="CR18" s="1021"/>
      <c r="CS18" s="1021"/>
      <c r="CT18" s="1021"/>
      <c r="CU18" s="1021"/>
      <c r="CV18" s="1021"/>
      <c r="CW18" s="1021"/>
      <c r="CX18" s="1021"/>
      <c r="CY18" s="1021"/>
      <c r="CZ18" s="1021"/>
      <c r="DA18" s="1021"/>
      <c r="DB18" s="1021"/>
      <c r="DC18" s="1021"/>
      <c r="DD18" s="1021"/>
      <c r="DE18" s="1021"/>
      <c r="DF18" s="1021"/>
      <c r="DG18" s="1021"/>
      <c r="DH18" s="1021"/>
      <c r="DI18" s="1021"/>
      <c r="DJ18" s="1021"/>
      <c r="DK18" s="1021"/>
      <c r="DL18" s="1021"/>
      <c r="DM18" s="1021"/>
      <c r="DN18" s="1021"/>
      <c r="DO18" s="1021"/>
      <c r="DP18" s="1021"/>
      <c r="DQ18" s="1021"/>
      <c r="DR18" s="1021"/>
      <c r="DS18" s="1021"/>
      <c r="DT18" s="1021"/>
      <c r="DU18" s="1021"/>
      <c r="DV18" s="1021"/>
      <c r="DW18" s="1021"/>
      <c r="DX18" s="1021"/>
      <c r="DY18" s="1021"/>
      <c r="DZ18" s="1021"/>
      <c r="EA18" s="1021"/>
      <c r="EB18" s="1021"/>
      <c r="EC18" s="1021"/>
      <c r="ED18" s="1021"/>
      <c r="EE18" s="1021"/>
      <c r="EF18" s="1021"/>
      <c r="EG18" s="1021"/>
      <c r="EH18" s="1021"/>
      <c r="EI18" s="1021"/>
      <c r="EJ18" s="1021"/>
      <c r="EK18" s="1021"/>
      <c r="EL18" s="1021"/>
      <c r="EM18" s="1021"/>
      <c r="EN18" s="1021"/>
      <c r="EO18" s="1021"/>
      <c r="EP18" s="1021"/>
      <c r="EQ18" s="1021"/>
      <c r="ER18" s="1021"/>
      <c r="ES18" s="1021"/>
      <c r="ET18" s="1021"/>
      <c r="EU18" s="1021"/>
      <c r="EV18" s="1021"/>
      <c r="EW18" s="1021"/>
      <c r="EX18" s="1021"/>
      <c r="EY18" s="1021"/>
      <c r="EZ18" s="1021"/>
      <c r="FA18" s="1021"/>
      <c r="FB18" s="1021"/>
      <c r="FC18" s="1021"/>
      <c r="FD18" s="1021"/>
      <c r="FE18" s="1021"/>
      <c r="FF18" s="1021"/>
      <c r="FG18" s="1021"/>
      <c r="FH18" s="1021"/>
      <c r="FI18" s="1021"/>
      <c r="FJ18" s="1021"/>
      <c r="FK18" s="1021"/>
      <c r="FL18" s="1021"/>
      <c r="FM18" s="1021"/>
      <c r="FN18" s="1021"/>
      <c r="FO18" s="1021"/>
      <c r="FP18" s="1021"/>
      <c r="FQ18" s="1021"/>
      <c r="FR18" s="1021"/>
      <c r="FS18" s="1021"/>
      <c r="FT18" s="1021"/>
      <c r="FU18" s="1021"/>
      <c r="FV18" s="1021"/>
      <c r="FW18" s="1021"/>
      <c r="FX18" s="1021"/>
      <c r="FY18" s="1021"/>
      <c r="FZ18" s="1021"/>
      <c r="GA18" s="1021"/>
      <c r="GB18" s="1021"/>
      <c r="GC18" s="1021"/>
      <c r="GD18" s="1021"/>
      <c r="GE18" s="1021"/>
      <c r="GF18" s="1021"/>
      <c r="GG18" s="1021"/>
      <c r="GH18" s="1021"/>
      <c r="GI18" s="1021"/>
      <c r="GJ18" s="1021"/>
      <c r="GK18" s="1021"/>
      <c r="GL18" s="1021"/>
      <c r="GM18" s="1021"/>
      <c r="GN18" s="1021"/>
      <c r="GO18" s="1021"/>
      <c r="GP18" s="1021"/>
      <c r="GQ18" s="1021"/>
      <c r="GR18" s="1021"/>
      <c r="GS18" s="1021"/>
      <c r="GT18" s="1021"/>
      <c r="GU18" s="1021"/>
      <c r="GV18" s="1021"/>
      <c r="GW18" s="1021"/>
      <c r="GX18" s="1021"/>
      <c r="GY18" s="1021"/>
      <c r="GZ18" s="1021"/>
      <c r="HA18" s="1021"/>
      <c r="HB18" s="1021"/>
      <c r="HC18" s="1021"/>
      <c r="HD18" s="1021"/>
      <c r="HE18" s="1021"/>
      <c r="HF18" s="1021"/>
      <c r="HG18" s="1021"/>
      <c r="HH18" s="1021"/>
      <c r="HI18" s="1021"/>
      <c r="HJ18" s="1021"/>
      <c r="HK18" s="1021"/>
      <c r="HL18" s="1021"/>
      <c r="HM18" s="1021"/>
      <c r="HN18" s="1021"/>
      <c r="HO18" s="1021"/>
      <c r="HP18" s="1021"/>
      <c r="HQ18" s="1021"/>
      <c r="HR18" s="1021"/>
      <c r="HS18" s="1021"/>
      <c r="HT18" s="1021"/>
      <c r="HU18" s="1021"/>
      <c r="HV18" s="1021"/>
      <c r="HW18" s="1021"/>
      <c r="HX18" s="1021"/>
      <c r="HY18" s="1021"/>
      <c r="HZ18" s="1021"/>
      <c r="IA18" s="1021"/>
      <c r="IB18" s="1021"/>
      <c r="IC18" s="1021"/>
      <c r="ID18" s="1021"/>
      <c r="IE18" s="1021"/>
      <c r="IF18" s="1021"/>
      <c r="IG18" s="1021"/>
      <c r="IH18" s="1021"/>
      <c r="II18" s="1021"/>
      <c r="IJ18" s="1021"/>
      <c r="IK18" s="1021"/>
    </row>
    <row r="19" spans="1:245" ht="15.75">
      <c r="A19" s="105" t="s">
        <v>22</v>
      </c>
      <c r="B19" s="111">
        <f>ROUND(SUM(B18),1)</f>
        <v>5.6</v>
      </c>
      <c r="C19" s="112"/>
      <c r="D19" s="111">
        <f>ROUND(SUM(D18),1)</f>
        <v>100.6</v>
      </c>
      <c r="E19" s="112"/>
      <c r="F19" s="113">
        <f>ROUND(SUM(F18),1)</f>
        <v>0.1</v>
      </c>
      <c r="G19" s="112"/>
      <c r="H19" s="114">
        <f>ROUND(SUM(H18),1)</f>
        <v>0.3</v>
      </c>
      <c r="I19" s="115"/>
      <c r="J19" s="116">
        <f>ROUND(SUM(J18),1)</f>
        <v>5.7</v>
      </c>
      <c r="K19" s="112"/>
      <c r="L19" s="114">
        <f>ROUND(SUM(L18),1)</f>
        <v>100.9</v>
      </c>
      <c r="M19" s="115"/>
      <c r="N19" s="111">
        <f>ROUND(SUM(N18),1)</f>
        <v>5.3</v>
      </c>
      <c r="O19" s="112"/>
      <c r="P19" s="111">
        <f>ROUND(SUM(P18),1)</f>
        <v>119.3</v>
      </c>
      <c r="Q19" s="742"/>
      <c r="R19" s="1022"/>
      <c r="S19" s="1049">
        <f>ROUND(SUM(S18),3)</f>
        <v>-18.399999999999999</v>
      </c>
      <c r="T19" s="649"/>
      <c r="U19" s="1050">
        <f>ROUND(+S19/P19,3)</f>
        <v>-0.154</v>
      </c>
      <c r="V19" s="825"/>
    </row>
    <row r="20" spans="1:245" ht="15.75">
      <c r="A20" s="105"/>
      <c r="B20" s="895"/>
      <c r="C20" s="895"/>
      <c r="D20" s="895"/>
      <c r="E20" s="895"/>
      <c r="F20" s="895"/>
      <c r="G20" s="895"/>
      <c r="H20" s="1023"/>
      <c r="I20" s="1024"/>
      <c r="J20" s="1025"/>
      <c r="K20" s="895"/>
      <c r="L20" s="1026"/>
      <c r="M20" s="1024"/>
      <c r="N20" s="1024"/>
      <c r="O20" s="895"/>
      <c r="P20" s="1024"/>
      <c r="R20" s="1011"/>
      <c r="S20" s="1048"/>
      <c r="T20" s="1008"/>
      <c r="U20" s="825"/>
      <c r="V20" s="825"/>
    </row>
    <row r="21" spans="1:245" ht="16.350000000000001" customHeight="1">
      <c r="A21" s="105" t="s">
        <v>23</v>
      </c>
      <c r="B21" s="895"/>
      <c r="C21" s="895"/>
      <c r="D21" s="895"/>
      <c r="E21" s="895"/>
      <c r="F21" s="895"/>
      <c r="G21" s="895"/>
      <c r="H21" s="1026"/>
      <c r="I21" s="1024"/>
      <c r="J21" s="1025"/>
      <c r="K21" s="895"/>
      <c r="L21" s="1026"/>
      <c r="M21" s="1024"/>
      <c r="N21" s="1024"/>
      <c r="O21" s="895"/>
      <c r="P21" s="1024"/>
      <c r="R21" s="1011"/>
      <c r="S21" s="1048"/>
      <c r="T21" s="1008"/>
      <c r="U21" s="825"/>
      <c r="V21" s="825"/>
    </row>
    <row r="22" spans="1:245" ht="16.350000000000001" customHeight="1">
      <c r="A22" s="994" t="s">
        <v>36</v>
      </c>
      <c r="B22" s="895"/>
      <c r="C22" s="895"/>
      <c r="D22" s="895"/>
      <c r="E22" s="895"/>
      <c r="F22" s="895"/>
      <c r="G22" s="895"/>
      <c r="H22" s="1026"/>
      <c r="I22" s="1024"/>
      <c r="J22" s="1025"/>
      <c r="K22" s="895"/>
      <c r="L22" s="1026"/>
      <c r="M22" s="1024"/>
      <c r="N22" s="1024"/>
      <c r="O22" s="895"/>
      <c r="P22" s="1024"/>
      <c r="R22" s="1011"/>
      <c r="S22" s="1048"/>
      <c r="T22" s="1008"/>
      <c r="U22" s="825"/>
      <c r="V22" s="825"/>
    </row>
    <row r="23" spans="1:245" ht="16.350000000000001" customHeight="1">
      <c r="A23" s="994" t="s">
        <v>67</v>
      </c>
      <c r="B23" s="684">
        <f>+'Exhibit L'!T22</f>
        <v>5.5</v>
      </c>
      <c r="C23" s="895"/>
      <c r="D23" s="684">
        <f>+'Exhibit L'!AA22</f>
        <v>60.9</v>
      </c>
      <c r="E23" s="895"/>
      <c r="F23" s="1027">
        <f>+'Exhibit M'!T22</f>
        <v>0</v>
      </c>
      <c r="G23" s="895"/>
      <c r="H23" s="1028">
        <f>+'Exhibit M'!AA22</f>
        <v>0.2</v>
      </c>
      <c r="I23" s="1024"/>
      <c r="J23" s="1029">
        <f>SUM(B23)+SUM(F23)</f>
        <v>5.5</v>
      </c>
      <c r="K23" s="895"/>
      <c r="L23" s="1030">
        <f>SUM(D23)+SUM(H23)</f>
        <v>61.1</v>
      </c>
      <c r="M23" s="1024"/>
      <c r="N23" s="1031">
        <v>5.1000000000000005</v>
      </c>
      <c r="O23" s="895"/>
      <c r="P23" s="1031">
        <f>'Exhibit L'!AD22+'Exhibit M'!AD22</f>
        <v>57.4</v>
      </c>
      <c r="R23" s="1011"/>
      <c r="S23" s="1048">
        <f>ROUND(SUM(L23-P23),1)</f>
        <v>3.7</v>
      </c>
      <c r="T23" s="1008"/>
      <c r="U23" s="1383">
        <f>ROUND(IF(S23=0,0,S23/ABS(P23)),3)</f>
        <v>6.4000000000000001E-2</v>
      </c>
      <c r="V23" s="825"/>
    </row>
    <row r="24" spans="1:245" ht="16.350000000000001" customHeight="1">
      <c r="A24" s="994" t="s">
        <v>68</v>
      </c>
      <c r="B24" s="684">
        <f>+'Exhibit L'!T23</f>
        <v>2.2000000000000028</v>
      </c>
      <c r="C24" s="895"/>
      <c r="D24" s="1031">
        <f>+'Exhibit L'!AA23</f>
        <v>10.9</v>
      </c>
      <c r="E24" s="895"/>
      <c r="F24" s="1027">
        <f>+'Exhibit M'!T23</f>
        <v>0</v>
      </c>
      <c r="G24" s="895"/>
      <c r="H24" s="1028">
        <f>+'Exhibit M'!AA23</f>
        <v>0</v>
      </c>
      <c r="I24" s="1024"/>
      <c r="J24" s="1029">
        <f>SUM(B24)+SUM(F24)</f>
        <v>2.2000000000000028</v>
      </c>
      <c r="K24" s="895"/>
      <c r="L24" s="1030">
        <f>SUM(D24)+SUM(H24)</f>
        <v>10.9</v>
      </c>
      <c r="M24" s="1024"/>
      <c r="N24" s="1031">
        <v>1.4</v>
      </c>
      <c r="O24" s="1024"/>
      <c r="P24" s="1031">
        <f>'Exhibit L'!AD23+'Exhibit M'!AD23</f>
        <v>30.7</v>
      </c>
      <c r="R24" s="1011"/>
      <c r="S24" s="1048">
        <f>ROUND(SUM(L24-P24),1)</f>
        <v>-19.8</v>
      </c>
      <c r="T24" s="1008"/>
      <c r="U24" s="1383">
        <f>ROUND(IF(S24=0,0,S24/ABS(P24)),3)</f>
        <v>-0.64500000000000002</v>
      </c>
      <c r="V24" s="825"/>
    </row>
    <row r="25" spans="1:245" ht="16.350000000000001" customHeight="1">
      <c r="A25" s="994" t="s">
        <v>69</v>
      </c>
      <c r="B25" s="684">
        <f>+'Exhibit L'!T24</f>
        <v>3.3999999999999968</v>
      </c>
      <c r="C25" s="895"/>
      <c r="D25" s="1032">
        <f>+'Exhibit L'!AA24</f>
        <v>34.5</v>
      </c>
      <c r="E25" s="895"/>
      <c r="F25" s="1027">
        <f>+'Exhibit M'!T24</f>
        <v>0</v>
      </c>
      <c r="G25" s="895"/>
      <c r="H25" s="1033">
        <f>+'Exhibit M'!AA24</f>
        <v>0.1</v>
      </c>
      <c r="I25" s="1024"/>
      <c r="J25" s="1029">
        <f>SUM(B25)+SUM(F25)</f>
        <v>3.3999999999999968</v>
      </c>
      <c r="K25" s="895"/>
      <c r="L25" s="1034">
        <f>SUM(D25)+SUM(H25)</f>
        <v>34.6</v>
      </c>
      <c r="M25" s="1024"/>
      <c r="N25" s="1031">
        <v>5</v>
      </c>
      <c r="O25" s="3501"/>
      <c r="P25" s="1031">
        <f>'Exhibit L'!AD24+'Exhibit M'!AD24</f>
        <v>33.4</v>
      </c>
      <c r="R25" s="1011"/>
      <c r="S25" s="1048">
        <f>ROUND(SUM(L25-P25),1)</f>
        <v>1.2</v>
      </c>
      <c r="T25" s="1008"/>
      <c r="U25" s="3684">
        <f>ROUND(IF(P25=0,1,S25/ABS(P25)),3)</f>
        <v>3.5999999999999997E-2</v>
      </c>
      <c r="V25" s="825"/>
    </row>
    <row r="26" spans="1:245" ht="15.75">
      <c r="A26" s="105" t="s">
        <v>57</v>
      </c>
      <c r="B26" s="111">
        <f>ROUND(SUM(B23:B25),1)</f>
        <v>11.1</v>
      </c>
      <c r="C26" s="112"/>
      <c r="D26" s="111">
        <f>ROUND(SUM(D23:D25),1)</f>
        <v>106.3</v>
      </c>
      <c r="E26" s="112"/>
      <c r="F26" s="111">
        <f>ROUND(SUM(F23:F25),1)</f>
        <v>0</v>
      </c>
      <c r="G26" s="112"/>
      <c r="H26" s="114">
        <f>ROUND(SUM(H23:H25),1)</f>
        <v>0.3</v>
      </c>
      <c r="I26" s="115"/>
      <c r="J26" s="116">
        <f>ROUND(SUM(J23:J25),1)</f>
        <v>11.1</v>
      </c>
      <c r="K26" s="112"/>
      <c r="L26" s="114">
        <f>ROUND(SUM(L23:L25),1)</f>
        <v>106.6</v>
      </c>
      <c r="M26" s="115"/>
      <c r="N26" s="111">
        <f>ROUND(SUM(N23:N25),1)</f>
        <v>11.5</v>
      </c>
      <c r="O26" s="112"/>
      <c r="P26" s="111">
        <f>ROUND(SUM(P23:P25),1)</f>
        <v>121.5</v>
      </c>
      <c r="Q26" s="742"/>
      <c r="R26" s="990"/>
      <c r="S26" s="1049">
        <f>ROUND(SUM(S23:S25),3)</f>
        <v>-14.9</v>
      </c>
      <c r="T26" s="649"/>
      <c r="U26" s="3690">
        <f>ROUND(S26/P26,3)</f>
        <v>-0.123</v>
      </c>
      <c r="V26" s="825"/>
    </row>
    <row r="27" spans="1:245" ht="15.75">
      <c r="A27" s="105"/>
      <c r="B27" s="895"/>
      <c r="C27" s="895"/>
      <c r="D27" s="895"/>
      <c r="E27" s="895"/>
      <c r="F27" s="895"/>
      <c r="G27" s="895"/>
      <c r="H27" s="1026"/>
      <c r="I27" s="1024"/>
      <c r="J27" s="1025"/>
      <c r="K27" s="895"/>
      <c r="L27" s="1026"/>
      <c r="M27" s="1024"/>
      <c r="N27" s="1024"/>
      <c r="O27" s="895"/>
      <c r="P27" s="1024"/>
      <c r="R27" s="1011"/>
      <c r="S27" s="1048"/>
      <c r="T27" s="1008"/>
      <c r="U27" s="825"/>
      <c r="V27" s="825"/>
    </row>
    <row r="28" spans="1:245" ht="16.350000000000001" customHeight="1">
      <c r="A28" s="105" t="s">
        <v>44</v>
      </c>
      <c r="B28" s="895"/>
      <c r="C28" s="895"/>
      <c r="D28" s="895"/>
      <c r="E28" s="895"/>
      <c r="F28" s="895"/>
      <c r="G28" s="895"/>
      <c r="H28" s="1026"/>
      <c r="I28" s="1024"/>
      <c r="J28" s="1025"/>
      <c r="K28" s="895"/>
      <c r="L28" s="1026"/>
      <c r="M28" s="1024"/>
      <c r="N28" s="1024"/>
      <c r="O28" s="895"/>
      <c r="P28" s="1024"/>
      <c r="R28" s="1011"/>
      <c r="S28" s="1048"/>
      <c r="T28" s="1008"/>
      <c r="U28" s="825"/>
      <c r="V28" s="825"/>
    </row>
    <row r="29" spans="1:245" ht="15.75">
      <c r="A29" s="105" t="s">
        <v>71</v>
      </c>
      <c r="B29" s="120">
        <f>ROUND(SUM(B19-B26),1)</f>
        <v>-5.5</v>
      </c>
      <c r="C29" s="112"/>
      <c r="D29" s="120">
        <f>ROUND(SUM(D19-D26),1)</f>
        <v>-5.7</v>
      </c>
      <c r="E29" s="112"/>
      <c r="F29" s="120">
        <f>ROUND(SUM(F19-F26),1)</f>
        <v>0.1</v>
      </c>
      <c r="G29" s="112"/>
      <c r="H29" s="121">
        <f>ROUND(SUM(H19-H26),1)</f>
        <v>0</v>
      </c>
      <c r="I29" s="115"/>
      <c r="J29" s="122">
        <f>ROUND(SUM(J19-J26),1)</f>
        <v>-5.4</v>
      </c>
      <c r="K29" s="115"/>
      <c r="L29" s="121">
        <f>ROUND(SUM(L19-L26),1)</f>
        <v>-5.7</v>
      </c>
      <c r="M29" s="115"/>
      <c r="N29" s="120">
        <f>ROUND(SUM(N19-N26),1)</f>
        <v>-6.2</v>
      </c>
      <c r="O29" s="115"/>
      <c r="P29" s="120">
        <f>ROUND(SUM(P19-P26),1)</f>
        <v>-2.2000000000000002</v>
      </c>
      <c r="Q29" s="742"/>
      <c r="R29" s="1011"/>
      <c r="S29" s="1559">
        <f>ROUND(SUM(L29-P29),1)</f>
        <v>-3.5</v>
      </c>
      <c r="T29" s="1008"/>
      <c r="U29" s="2124">
        <f>ROUND(IF(P29=0,1,S29/ABS(P29)),3)</f>
        <v>-1.591</v>
      </c>
      <c r="V29" s="825"/>
    </row>
    <row r="30" spans="1:245">
      <c r="A30" s="994"/>
      <c r="B30" s="895"/>
      <c r="C30" s="895"/>
      <c r="D30" s="895"/>
      <c r="E30" s="895"/>
      <c r="F30" s="895"/>
      <c r="G30" s="895"/>
      <c r="H30" s="1026"/>
      <c r="I30" s="1024"/>
      <c r="J30" s="1025"/>
      <c r="K30" s="895"/>
      <c r="L30" s="1026"/>
      <c r="M30" s="1024"/>
      <c r="N30" s="1024"/>
      <c r="O30" s="895"/>
      <c r="P30" s="1024"/>
      <c r="R30" s="1011"/>
      <c r="S30" s="1048"/>
      <c r="T30" s="1008"/>
      <c r="U30" s="825"/>
      <c r="V30" s="825"/>
    </row>
    <row r="31" spans="1:245" ht="16.350000000000001" customHeight="1">
      <c r="A31" s="105" t="s">
        <v>46</v>
      </c>
      <c r="B31" s="895"/>
      <c r="C31" s="895"/>
      <c r="D31" s="895"/>
      <c r="E31" s="895"/>
      <c r="F31" s="895"/>
      <c r="G31" s="895"/>
      <c r="H31" s="1026"/>
      <c r="I31" s="1024"/>
      <c r="J31" s="1025"/>
      <c r="K31" s="895"/>
      <c r="L31" s="1026"/>
      <c r="M31" s="1024"/>
      <c r="N31" s="1024"/>
      <c r="O31" s="895"/>
      <c r="P31" s="1024"/>
      <c r="R31" s="1011"/>
      <c r="S31" s="1048"/>
      <c r="T31" s="1008"/>
      <c r="U31" s="825"/>
      <c r="V31" s="825"/>
    </row>
    <row r="32" spans="1:245" ht="16.350000000000001" customHeight="1">
      <c r="A32" s="994" t="s">
        <v>47</v>
      </c>
      <c r="B32" s="1027">
        <f>+'Exhibit L'!T31</f>
        <v>0</v>
      </c>
      <c r="C32" s="895"/>
      <c r="D32" s="1027">
        <f>+'Exhibit L'!AA31</f>
        <v>0</v>
      </c>
      <c r="E32" s="895"/>
      <c r="F32" s="1027">
        <f>+'Exhibit M'!T31</f>
        <v>0</v>
      </c>
      <c r="G32" s="684"/>
      <c r="H32" s="1035">
        <f>+'Exhibit M'!AA31</f>
        <v>0</v>
      </c>
      <c r="I32" s="1024"/>
      <c r="J32" s="1036">
        <f>SUM(B32)+SUM(F32)</f>
        <v>0</v>
      </c>
      <c r="K32" s="895"/>
      <c r="L32" s="1028">
        <f>SUM(D32)+SUM(H32)</f>
        <v>0</v>
      </c>
      <c r="M32" s="1024"/>
      <c r="N32" s="1031">
        <v>0</v>
      </c>
      <c r="O32" s="1024"/>
      <c r="P32" s="1032">
        <f>'Exhibit L'!AD31+'Exhibit M'!AD31</f>
        <v>0</v>
      </c>
      <c r="R32" s="1037"/>
      <c r="S32" s="1048">
        <f>ROUND(SUM(L32-P32),1)</f>
        <v>0</v>
      </c>
      <c r="T32" s="668"/>
      <c r="U32" s="1383">
        <f>ROUND(IF(S32=0,0,S32/ABS(P32)),3)</f>
        <v>0</v>
      </c>
      <c r="V32" s="825"/>
    </row>
    <row r="33" spans="1:245" ht="16.350000000000001" customHeight="1">
      <c r="A33" s="994" t="s">
        <v>72</v>
      </c>
      <c r="B33" s="1027">
        <f>+'Exhibit L'!R32</f>
        <v>0</v>
      </c>
      <c r="C33" s="895"/>
      <c r="D33" s="1038">
        <f>+'Exhibit L'!AA32</f>
        <v>0</v>
      </c>
      <c r="E33" s="895"/>
      <c r="F33" s="1027">
        <f>+'Exhibit M'!T32</f>
        <v>0</v>
      </c>
      <c r="G33" s="895"/>
      <c r="H33" s="1035">
        <f>+'Exhibit M'!AA32</f>
        <v>0</v>
      </c>
      <c r="I33" s="1024"/>
      <c r="J33" s="1036">
        <f>SUM(B33)+SUM(F33)</f>
        <v>0</v>
      </c>
      <c r="K33" s="895"/>
      <c r="L33" s="1039">
        <f>SUM(D33)+SUM(H33)</f>
        <v>0</v>
      </c>
      <c r="M33" s="1024"/>
      <c r="N33" s="1031">
        <v>0</v>
      </c>
      <c r="O33" s="3501"/>
      <c r="P33" s="1032">
        <f>'Exhibit L'!AD32+'Exhibit M'!AD32</f>
        <v>0</v>
      </c>
      <c r="R33" s="1040"/>
      <c r="S33" s="1048">
        <f>ROUND(SUM(L33-P33),1)</f>
        <v>0</v>
      </c>
      <c r="T33" s="668"/>
      <c r="U33" s="1383">
        <f>ROUND(IF(S33=0,0,S33/ABS(P33)),3)</f>
        <v>0</v>
      </c>
      <c r="V33" s="825"/>
    </row>
    <row r="34" spans="1:245" ht="15.75">
      <c r="A34" s="105" t="s">
        <v>49</v>
      </c>
      <c r="B34" s="123">
        <f>ROUND(SUM(B32:B33),1)</f>
        <v>0</v>
      </c>
      <c r="C34" s="112"/>
      <c r="D34" s="123">
        <f>ROUND(SUM(D32:D33),1)</f>
        <v>0</v>
      </c>
      <c r="E34" s="112"/>
      <c r="F34" s="123">
        <f>ROUND(SUM(F32:F33),1)</f>
        <v>0</v>
      </c>
      <c r="G34" s="112"/>
      <c r="H34" s="124">
        <f>ROUND(SUM(H32:H33),1)</f>
        <v>0</v>
      </c>
      <c r="I34" s="115"/>
      <c r="J34" s="125">
        <f>ROUND(SUM(J32:J33),1)</f>
        <v>0</v>
      </c>
      <c r="K34" s="112"/>
      <c r="L34" s="114">
        <f>ROUND(SUM(L32:L33),1)</f>
        <v>0</v>
      </c>
      <c r="M34" s="115"/>
      <c r="N34" s="111">
        <f>ROUND(SUM(N32:N33),1)</f>
        <v>0</v>
      </c>
      <c r="O34" s="112"/>
      <c r="P34" s="111">
        <f>ROUND(SUM(P32:P33),1)</f>
        <v>0</v>
      </c>
      <c r="R34" s="1041"/>
      <c r="S34" s="3316">
        <f>ROUND(SUM(S32-S33),3)</f>
        <v>0</v>
      </c>
      <c r="T34" s="1401"/>
      <c r="U34" s="1079">
        <f>ROUND(IF(P34=0,0,S34/ABS(P34)),3)</f>
        <v>0</v>
      </c>
      <c r="V34" s="825"/>
    </row>
    <row r="35" spans="1:245" ht="15.75">
      <c r="A35" s="105"/>
      <c r="B35" s="1042"/>
      <c r="C35" s="895"/>
      <c r="D35" s="1042"/>
      <c r="E35" s="895"/>
      <c r="F35" s="1024"/>
      <c r="G35" s="895"/>
      <c r="H35" s="1026"/>
      <c r="I35" s="1024"/>
      <c r="J35" s="1025"/>
      <c r="K35" s="895"/>
      <c r="L35" s="1043"/>
      <c r="M35" s="1024"/>
      <c r="N35" s="1024"/>
      <c r="O35" s="895"/>
      <c r="P35" s="1024"/>
      <c r="R35" s="1011"/>
      <c r="S35" s="1048"/>
      <c r="T35" s="1008"/>
      <c r="U35" s="825"/>
      <c r="V35" s="825"/>
    </row>
    <row r="36" spans="1:245" ht="15.75" customHeight="1">
      <c r="A36" s="105" t="s">
        <v>44</v>
      </c>
      <c r="B36" s="895"/>
      <c r="C36" s="895"/>
      <c r="D36" s="895"/>
      <c r="E36" s="895"/>
      <c r="F36" s="895"/>
      <c r="G36" s="895"/>
      <c r="H36" s="1026"/>
      <c r="I36" s="1024"/>
      <c r="J36" s="1025"/>
      <c r="K36" s="895"/>
      <c r="L36" s="1026"/>
      <c r="M36" s="1024"/>
      <c r="N36" s="1024"/>
      <c r="O36" s="895"/>
      <c r="P36" s="1024"/>
      <c r="R36" s="1011"/>
      <c r="S36" s="1048"/>
      <c r="T36" s="1008"/>
      <c r="U36" s="825"/>
      <c r="V36" s="825"/>
    </row>
    <row r="37" spans="1:245" ht="15.75" customHeight="1">
      <c r="A37" s="105" t="s">
        <v>73</v>
      </c>
      <c r="B37" s="895"/>
      <c r="C37" s="895"/>
      <c r="D37" s="895"/>
      <c r="E37" s="895"/>
      <c r="F37" s="895"/>
      <c r="G37" s="895"/>
      <c r="H37" s="1026"/>
      <c r="I37" s="1024"/>
      <c r="J37" s="1025"/>
      <c r="K37" s="895"/>
      <c r="L37" s="1026"/>
      <c r="M37" s="1024"/>
      <c r="N37" s="1024"/>
      <c r="O37" s="895"/>
      <c r="P37" s="1024"/>
      <c r="R37" s="1011"/>
      <c r="S37" s="1048"/>
      <c r="T37" s="1008"/>
      <c r="U37" s="825"/>
      <c r="V37" s="825"/>
    </row>
    <row r="38" spans="1:245" ht="15.75" customHeight="1">
      <c r="A38" s="105" t="s">
        <v>74</v>
      </c>
      <c r="B38" s="895"/>
      <c r="C38" s="895"/>
      <c r="D38" s="895"/>
      <c r="E38" s="895"/>
      <c r="F38" s="1044"/>
      <c r="G38" s="895"/>
      <c r="H38" s="1026"/>
      <c r="I38" s="1024"/>
      <c r="J38" s="1025"/>
      <c r="K38" s="895"/>
      <c r="L38" s="1026"/>
      <c r="M38" s="1024"/>
      <c r="N38" s="1024"/>
      <c r="O38" s="895"/>
      <c r="P38" s="1024"/>
      <c r="R38" s="1011"/>
      <c r="S38" s="1048"/>
      <c r="T38" s="1008"/>
      <c r="U38" s="825"/>
      <c r="V38" s="825"/>
    </row>
    <row r="39" spans="1:245" ht="15.75" customHeight="1">
      <c r="A39" s="105" t="s">
        <v>75</v>
      </c>
      <c r="B39" s="128">
        <f>ROUND(SUM(B29+B34),1)</f>
        <v>-5.5</v>
      </c>
      <c r="C39" s="112"/>
      <c r="D39" s="128">
        <f>ROUND(SUM(D29+D34),1)</f>
        <v>-5.7</v>
      </c>
      <c r="E39" s="112"/>
      <c r="F39" s="128">
        <f>ROUND(SUM(F29+F34),1)</f>
        <v>0.1</v>
      </c>
      <c r="G39" s="112"/>
      <c r="H39" s="129">
        <f>ROUND(SUM(H29+H34),1)</f>
        <v>0</v>
      </c>
      <c r="I39" s="115"/>
      <c r="J39" s="130">
        <f>ROUND(SUM(J29+J34),1)</f>
        <v>-5.4</v>
      </c>
      <c r="K39" s="112"/>
      <c r="L39" s="129">
        <f>ROUND(SUM(L29+L34),1)</f>
        <v>-5.7</v>
      </c>
      <c r="M39" s="115"/>
      <c r="N39" s="128">
        <f>ROUND(SUM(N29+N34),1)</f>
        <v>-6.2</v>
      </c>
      <c r="O39" s="115"/>
      <c r="P39" s="128">
        <f>ROUND(SUM(P29+P34),1)</f>
        <v>-2.2000000000000002</v>
      </c>
      <c r="Q39" s="742"/>
      <c r="R39" s="1011"/>
      <c r="S39" s="1462">
        <f>ROUND(SUM(L39-P39),1)</f>
        <v>-3.5</v>
      </c>
      <c r="T39" s="1008"/>
      <c r="U39" s="2125">
        <f>ROUND(IF(P39=0,1,S39/ABS(P39)),3)</f>
        <v>-1.591</v>
      </c>
      <c r="V39" s="825"/>
    </row>
    <row r="40" spans="1:245" ht="15.75">
      <c r="A40" s="105"/>
      <c r="B40" s="895"/>
      <c r="C40" s="895"/>
      <c r="D40" s="895"/>
      <c r="E40" s="895"/>
      <c r="F40" s="895"/>
      <c r="G40" s="895"/>
      <c r="H40" s="1026"/>
      <c r="I40" s="1024"/>
      <c r="J40" s="1025"/>
      <c r="K40" s="895"/>
      <c r="L40" s="1026"/>
      <c r="M40" s="1024"/>
      <c r="N40" s="1024"/>
      <c r="O40" s="895"/>
      <c r="P40" s="1024"/>
      <c r="R40" s="1011"/>
      <c r="T40" s="1393"/>
      <c r="U40" s="920"/>
      <c r="V40" s="825"/>
    </row>
    <row r="41" spans="1:245" s="742" customFormat="1" ht="15.75">
      <c r="A41" s="105" t="s">
        <v>52</v>
      </c>
      <c r="B41" s="131">
        <f>+'Exhibit L'!T13</f>
        <v>-1.3</v>
      </c>
      <c r="C41" s="112"/>
      <c r="D41" s="131">
        <f>+'Exhibit L'!AA13</f>
        <v>-1.1000000000000001</v>
      </c>
      <c r="E41" s="112"/>
      <c r="F41" s="131">
        <f>+'Exhibit M'!T13</f>
        <v>14.2</v>
      </c>
      <c r="G41" s="112"/>
      <c r="H41" s="132">
        <f>+'Exhibit M'!AA13</f>
        <v>14.3</v>
      </c>
      <c r="I41" s="115"/>
      <c r="J41" s="133">
        <f>ROUND(SUM(B41)+SUM(F41),1)</f>
        <v>12.9</v>
      </c>
      <c r="K41" s="112"/>
      <c r="L41" s="129">
        <f>ROUND(SUM(D41+H41),1)</f>
        <v>13.2</v>
      </c>
      <c r="M41" s="115"/>
      <c r="N41" s="120">
        <v>14.2</v>
      </c>
      <c r="O41" s="112"/>
      <c r="P41" s="120">
        <f>'Exhibit L'!AD13+'Exhibit M'!AD13</f>
        <v>10.199999999999999</v>
      </c>
      <c r="R41" s="991"/>
      <c r="S41" s="1617">
        <f>ROUND(SUM(+L41-P41),1)</f>
        <v>3</v>
      </c>
      <c r="T41" s="91"/>
      <c r="U41" s="1384">
        <f>ROUND(IF(S41=0,0,S41/ABS(P41)),3)</f>
        <v>0.29399999999999998</v>
      </c>
      <c r="V41" s="1045"/>
    </row>
    <row r="42" spans="1:245" ht="16.5" thickBot="1">
      <c r="A42" s="105" t="s">
        <v>77</v>
      </c>
      <c r="B42" s="134">
        <f>ROUND(SUM(B41)+SUM(B39),1)</f>
        <v>-6.8</v>
      </c>
      <c r="C42" s="135"/>
      <c r="D42" s="134">
        <f>ROUND(SUM(D41)+SUM(D39),1)</f>
        <v>-6.8</v>
      </c>
      <c r="E42" s="135"/>
      <c r="F42" s="136">
        <f>ROUND(SUM(F41)+SUM(F39),1)</f>
        <v>14.3</v>
      </c>
      <c r="G42" s="137"/>
      <c r="H42" s="801">
        <f>ROUND(SUM(H41)+SUM(H39),1)</f>
        <v>14.3</v>
      </c>
      <c r="I42" s="802"/>
      <c r="J42" s="801">
        <f>ROUND(SUM(J41)+SUM(J39),1)</f>
        <v>7.5</v>
      </c>
      <c r="K42" s="139"/>
      <c r="L42" s="138">
        <f>ROUND(SUM(L41)+SUM(L39),1)</f>
        <v>7.5</v>
      </c>
      <c r="M42" s="139"/>
      <c r="N42" s="801">
        <f>ROUND(SUM(N41)+SUM(N39),1)</f>
        <v>8</v>
      </c>
      <c r="O42" s="139"/>
      <c r="P42" s="801">
        <f>ROUND(SUM(P41)+SUM(P39),1)</f>
        <v>8</v>
      </c>
      <c r="Q42" s="263"/>
      <c r="R42" s="1018"/>
      <c r="S42" s="3317">
        <f>ROUND(SUM(S39+S41),3)</f>
        <v>-0.5</v>
      </c>
      <c r="T42" s="1196"/>
      <c r="U42" s="3546">
        <f>ROUND(S42/P42,3)</f>
        <v>-6.3E-2</v>
      </c>
      <c r="V42" s="825"/>
    </row>
    <row r="43" spans="1:245" ht="15.75" thickTop="1">
      <c r="A43" s="994"/>
      <c r="B43" s="1046"/>
      <c r="C43" s="1017"/>
      <c r="D43" s="1046"/>
      <c r="E43" s="1017"/>
      <c r="F43" s="1046"/>
      <c r="G43" s="1017"/>
      <c r="H43" s="1046"/>
      <c r="I43" s="1019"/>
      <c r="J43" s="1046"/>
      <c r="K43" s="1017"/>
      <c r="L43" s="1046"/>
      <c r="M43" s="1017"/>
      <c r="N43" s="1046"/>
      <c r="O43" s="1017"/>
      <c r="P43" s="1046"/>
      <c r="Q43" s="1017"/>
      <c r="R43" s="1047"/>
      <c r="S43" s="1020"/>
      <c r="T43" s="1047"/>
      <c r="U43" s="1020"/>
      <c r="V43" s="1020"/>
      <c r="W43" s="1021"/>
      <c r="X43" s="1021"/>
      <c r="Y43" s="1021"/>
      <c r="Z43" s="1021"/>
      <c r="AA43" s="1021"/>
      <c r="AB43" s="1021"/>
      <c r="AC43" s="1021"/>
      <c r="AD43" s="1021"/>
      <c r="AE43" s="1021"/>
      <c r="AF43" s="1021"/>
      <c r="AG43" s="1021"/>
      <c r="AH43" s="1021"/>
      <c r="AI43" s="1021"/>
      <c r="AJ43" s="1021"/>
      <c r="AK43" s="1021"/>
      <c r="AL43" s="1021"/>
      <c r="AM43" s="1021"/>
      <c r="AN43" s="1021"/>
      <c r="AO43" s="1021"/>
      <c r="AP43" s="1021"/>
      <c r="AQ43" s="1021"/>
      <c r="AR43" s="1021"/>
      <c r="AS43" s="1021"/>
      <c r="AT43" s="1021"/>
      <c r="AU43" s="1021"/>
      <c r="AV43" s="1021"/>
      <c r="AW43" s="1021"/>
      <c r="AX43" s="1021"/>
      <c r="AY43" s="1021"/>
      <c r="AZ43" s="1021"/>
      <c r="BA43" s="1021"/>
      <c r="BB43" s="1021"/>
      <c r="BC43" s="1021"/>
      <c r="BD43" s="1021"/>
      <c r="BE43" s="1021"/>
      <c r="BF43" s="1021"/>
      <c r="BG43" s="1021"/>
      <c r="BH43" s="1021"/>
      <c r="BI43" s="1021"/>
      <c r="BJ43" s="1021"/>
      <c r="BK43" s="1021"/>
      <c r="BL43" s="1021"/>
      <c r="BM43" s="1021"/>
      <c r="BN43" s="1021"/>
      <c r="BO43" s="1021"/>
      <c r="BP43" s="1021"/>
      <c r="BQ43" s="1021"/>
      <c r="BR43" s="1021"/>
      <c r="BS43" s="1021"/>
      <c r="BT43" s="1021"/>
      <c r="BU43" s="1021"/>
      <c r="BV43" s="1021"/>
      <c r="BW43" s="1021"/>
      <c r="BX43" s="1021"/>
      <c r="BY43" s="1021"/>
      <c r="BZ43" s="1021"/>
      <c r="CA43" s="1021"/>
      <c r="CB43" s="1021"/>
      <c r="CC43" s="1021"/>
      <c r="CD43" s="1021"/>
      <c r="CE43" s="1021"/>
      <c r="CF43" s="1021"/>
      <c r="CG43" s="1021"/>
      <c r="CH43" s="1021"/>
      <c r="CI43" s="1021"/>
      <c r="CJ43" s="1021"/>
      <c r="CK43" s="1021"/>
      <c r="CL43" s="1021"/>
      <c r="CM43" s="1021"/>
      <c r="CN43" s="1021"/>
      <c r="CO43" s="1021"/>
      <c r="CP43" s="1021"/>
      <c r="CQ43" s="1021"/>
      <c r="CR43" s="1021"/>
      <c r="CS43" s="1021"/>
      <c r="CT43" s="1021"/>
      <c r="CU43" s="1021"/>
      <c r="CV43" s="1021"/>
      <c r="CW43" s="1021"/>
      <c r="CX43" s="1021"/>
      <c r="CY43" s="1021"/>
      <c r="CZ43" s="1021"/>
      <c r="DA43" s="1021"/>
      <c r="DB43" s="1021"/>
      <c r="DC43" s="1021"/>
      <c r="DD43" s="1021"/>
      <c r="DE43" s="1021"/>
      <c r="DF43" s="1021"/>
      <c r="DG43" s="1021"/>
      <c r="DH43" s="1021"/>
      <c r="DI43" s="1021"/>
      <c r="DJ43" s="1021"/>
      <c r="DK43" s="1021"/>
      <c r="DL43" s="1021"/>
      <c r="DM43" s="1021"/>
      <c r="DN43" s="1021"/>
      <c r="DO43" s="1021"/>
      <c r="DP43" s="1021"/>
      <c r="DQ43" s="1021"/>
      <c r="DR43" s="1021"/>
      <c r="DS43" s="1021"/>
      <c r="DT43" s="1021"/>
      <c r="DU43" s="1021"/>
      <c r="DV43" s="1021"/>
      <c r="DW43" s="1021"/>
      <c r="DX43" s="1021"/>
      <c r="DY43" s="1021"/>
      <c r="DZ43" s="1021"/>
      <c r="EA43" s="1021"/>
      <c r="EB43" s="1021"/>
      <c r="EC43" s="1021"/>
      <c r="ED43" s="1021"/>
      <c r="EE43" s="1021"/>
      <c r="EF43" s="1021"/>
      <c r="EG43" s="1021"/>
      <c r="EH43" s="1021"/>
      <c r="EI43" s="1021"/>
      <c r="EJ43" s="1021"/>
      <c r="EK43" s="1021"/>
      <c r="EL43" s="1021"/>
      <c r="EM43" s="1021"/>
      <c r="EN43" s="1021"/>
      <c r="EO43" s="1021"/>
      <c r="EP43" s="1021"/>
      <c r="EQ43" s="1021"/>
      <c r="ER43" s="1021"/>
      <c r="ES43" s="1021"/>
      <c r="ET43" s="1021"/>
      <c r="EU43" s="1021"/>
      <c r="EV43" s="1021"/>
      <c r="EW43" s="1021"/>
      <c r="EX43" s="1021"/>
      <c r="EY43" s="1021"/>
      <c r="EZ43" s="1021"/>
      <c r="FA43" s="1021"/>
      <c r="FB43" s="1021"/>
      <c r="FC43" s="1021"/>
      <c r="FD43" s="1021"/>
      <c r="FE43" s="1021"/>
      <c r="FF43" s="1021"/>
      <c r="FG43" s="1021"/>
      <c r="FH43" s="1021"/>
      <c r="FI43" s="1021"/>
      <c r="FJ43" s="1021"/>
      <c r="FK43" s="1021"/>
      <c r="FL43" s="1021"/>
      <c r="FM43" s="1021"/>
      <c r="FN43" s="1021"/>
      <c r="FO43" s="1021"/>
      <c r="FP43" s="1021"/>
      <c r="FQ43" s="1021"/>
      <c r="FR43" s="1021"/>
      <c r="FS43" s="1021"/>
      <c r="FT43" s="1021"/>
      <c r="FU43" s="1021"/>
      <c r="FV43" s="1021"/>
      <c r="FW43" s="1021"/>
      <c r="FX43" s="1021"/>
      <c r="FY43" s="1021"/>
      <c r="FZ43" s="1021"/>
      <c r="GA43" s="1021"/>
      <c r="GB43" s="1021"/>
      <c r="GC43" s="1021"/>
      <c r="GD43" s="1021"/>
      <c r="GE43" s="1021"/>
      <c r="GF43" s="1021"/>
      <c r="GG43" s="1021"/>
      <c r="GH43" s="1021"/>
      <c r="GI43" s="1021"/>
      <c r="GJ43" s="1021"/>
      <c r="GK43" s="1021"/>
      <c r="GL43" s="1021"/>
      <c r="GM43" s="1021"/>
      <c r="GN43" s="1021"/>
      <c r="GO43" s="1021"/>
      <c r="GP43" s="1021"/>
      <c r="GQ43" s="1021"/>
      <c r="GR43" s="1021"/>
      <c r="GS43" s="1021"/>
      <c r="GT43" s="1021"/>
      <c r="GU43" s="1021"/>
      <c r="GV43" s="1021"/>
      <c r="GW43" s="1021"/>
      <c r="GX43" s="1021"/>
      <c r="GY43" s="1021"/>
      <c r="GZ43" s="1021"/>
      <c r="HA43" s="1021"/>
      <c r="HB43" s="1021"/>
      <c r="HC43" s="1021"/>
      <c r="HD43" s="1021"/>
      <c r="HE43" s="1021"/>
      <c r="HF43" s="1021"/>
      <c r="HG43" s="1021"/>
      <c r="HH43" s="1021"/>
      <c r="HI43" s="1021"/>
      <c r="HJ43" s="1021"/>
      <c r="HK43" s="1021"/>
      <c r="HL43" s="1021"/>
      <c r="HM43" s="1021"/>
      <c r="HN43" s="1021"/>
      <c r="HO43" s="1021"/>
      <c r="HP43" s="1021"/>
      <c r="HQ43" s="1021"/>
      <c r="HR43" s="1021"/>
      <c r="HS43" s="1021"/>
      <c r="HT43" s="1021"/>
      <c r="HU43" s="1021"/>
      <c r="HV43" s="1021"/>
      <c r="HW43" s="1021"/>
      <c r="HX43" s="1021"/>
      <c r="HY43" s="1021"/>
      <c r="HZ43" s="1021"/>
      <c r="IA43" s="1021"/>
      <c r="IB43" s="1021"/>
      <c r="IC43" s="1021"/>
      <c r="ID43" s="1021"/>
      <c r="IE43" s="1021"/>
      <c r="IF43" s="1021"/>
      <c r="IG43" s="1021"/>
      <c r="IH43" s="1021"/>
      <c r="II43" s="1021"/>
      <c r="IJ43" s="1021"/>
      <c r="IK43" s="1021"/>
    </row>
    <row r="44" spans="1:245">
      <c r="A44" s="994"/>
      <c r="B44" s="994"/>
      <c r="C44" s="994"/>
      <c r="D44" s="994"/>
      <c r="E44" s="994"/>
      <c r="F44" s="993"/>
      <c r="G44" s="994"/>
      <c r="H44" s="994"/>
      <c r="I44" s="994"/>
      <c r="J44" s="994"/>
      <c r="K44" s="994"/>
      <c r="L44" s="994"/>
      <c r="M44" s="994"/>
      <c r="N44" s="994"/>
      <c r="O44" s="994"/>
      <c r="P44" s="994"/>
      <c r="Q44" s="994"/>
      <c r="R44" s="995"/>
      <c r="S44" s="1351"/>
      <c r="T44" s="995"/>
      <c r="U44" s="825"/>
      <c r="V44" s="825"/>
    </row>
    <row r="45" spans="1:245">
      <c r="A45" s="994"/>
      <c r="B45" s="994"/>
      <c r="C45" s="994"/>
      <c r="D45" s="994"/>
      <c r="E45" s="994"/>
      <c r="F45" s="993" t="s">
        <v>15</v>
      </c>
      <c r="G45" s="994"/>
      <c r="H45" s="994"/>
      <c r="I45" s="994"/>
      <c r="J45" s="994"/>
      <c r="K45" s="994"/>
      <c r="L45" s="994"/>
      <c r="N45" s="994"/>
      <c r="O45" s="994"/>
      <c r="P45" s="994"/>
      <c r="Q45" s="994"/>
      <c r="R45" s="995"/>
      <c r="S45" s="825"/>
      <c r="T45" s="995"/>
      <c r="U45" s="825"/>
      <c r="V45" s="825"/>
    </row>
    <row r="46" spans="1:245">
      <c r="A46" s="891"/>
      <c r="B46" s="994"/>
      <c r="C46" s="994"/>
      <c r="D46" s="994"/>
      <c r="E46" s="994"/>
      <c r="F46" s="994"/>
      <c r="G46" s="994"/>
      <c r="H46" s="994"/>
      <c r="I46" s="994"/>
      <c r="J46" s="994"/>
      <c r="K46" s="994"/>
      <c r="L46" s="994"/>
      <c r="M46" s="994"/>
      <c r="N46" s="994"/>
      <c r="O46" s="994"/>
      <c r="P46" s="994"/>
      <c r="Q46" s="994"/>
      <c r="R46" s="995"/>
      <c r="S46" s="825"/>
      <c r="T46" s="995"/>
      <c r="U46" s="825"/>
      <c r="V46" s="825"/>
    </row>
    <row r="47" spans="1:245">
      <c r="A47" s="994"/>
      <c r="B47" s="994"/>
      <c r="C47" s="994"/>
      <c r="D47" s="994"/>
      <c r="E47" s="994"/>
      <c r="F47" s="994"/>
      <c r="G47" s="994"/>
      <c r="H47" s="994"/>
      <c r="I47" s="994"/>
      <c r="J47" s="994"/>
      <c r="K47" s="994"/>
      <c r="L47" s="994"/>
      <c r="M47" s="994"/>
      <c r="N47" s="994"/>
      <c r="O47" s="994"/>
      <c r="P47" s="994"/>
      <c r="Q47" s="994"/>
      <c r="R47" s="995"/>
      <c r="S47" s="825"/>
      <c r="T47" s="995"/>
      <c r="U47" s="825"/>
      <c r="V47" s="825"/>
    </row>
    <row r="48" spans="1:245">
      <c r="A48" s="994"/>
      <c r="B48" s="994"/>
      <c r="C48" s="994"/>
      <c r="D48" s="994"/>
      <c r="E48" s="994"/>
      <c r="F48" s="994"/>
      <c r="G48" s="994"/>
      <c r="H48" s="994"/>
      <c r="I48" s="994"/>
      <c r="J48" s="994"/>
      <c r="K48" s="994"/>
      <c r="L48" s="994"/>
      <c r="M48" s="994"/>
      <c r="N48" s="994"/>
      <c r="O48" s="994"/>
      <c r="P48" s="994"/>
      <c r="Q48" s="994"/>
      <c r="R48" s="995"/>
      <c r="S48" s="825"/>
      <c r="T48" s="995"/>
      <c r="U48" s="825"/>
      <c r="V48" s="825"/>
    </row>
    <row r="49" spans="1:22">
      <c r="A49" s="994"/>
      <c r="B49" s="994"/>
      <c r="C49" s="994"/>
      <c r="D49" s="994"/>
      <c r="E49" s="994"/>
      <c r="F49" s="994"/>
      <c r="G49" s="994"/>
      <c r="H49" s="994"/>
      <c r="I49" s="994"/>
      <c r="J49" s="994"/>
      <c r="K49" s="994"/>
      <c r="L49" s="994"/>
      <c r="M49" s="994"/>
      <c r="N49" s="994"/>
      <c r="O49" s="994"/>
      <c r="P49" s="994"/>
      <c r="Q49" s="994"/>
      <c r="R49" s="995"/>
      <c r="S49" s="825"/>
      <c r="T49" s="995"/>
      <c r="U49" s="825"/>
      <c r="V49" s="825"/>
    </row>
    <row r="50" spans="1:22">
      <c r="A50" s="994"/>
      <c r="B50" s="994"/>
      <c r="C50" s="994"/>
      <c r="D50" s="994"/>
      <c r="E50" s="994"/>
      <c r="F50" s="994"/>
      <c r="G50" s="994"/>
      <c r="H50" s="994"/>
      <c r="I50" s="994"/>
      <c r="J50" s="994"/>
      <c r="K50" s="994"/>
      <c r="L50" s="994"/>
      <c r="M50" s="994"/>
      <c r="N50" s="994"/>
      <c r="O50" s="994"/>
      <c r="P50" s="994"/>
      <c r="Q50" s="994"/>
      <c r="R50" s="995"/>
      <c r="S50" s="825"/>
      <c r="T50" s="995"/>
      <c r="U50" s="825"/>
      <c r="V50" s="825"/>
    </row>
    <row r="51" spans="1:22">
      <c r="A51" s="994"/>
      <c r="B51" s="994"/>
      <c r="C51" s="994"/>
      <c r="D51" s="994"/>
      <c r="E51" s="994"/>
      <c r="F51" s="994"/>
      <c r="G51" s="994"/>
      <c r="H51" s="994"/>
      <c r="I51" s="994"/>
      <c r="J51" s="994"/>
      <c r="K51" s="994"/>
      <c r="L51" s="994"/>
      <c r="M51" s="994"/>
      <c r="N51" s="994"/>
      <c r="O51" s="994"/>
      <c r="P51" s="994"/>
      <c r="Q51" s="994"/>
      <c r="R51" s="995"/>
      <c r="S51" s="825"/>
      <c r="T51" s="995"/>
      <c r="U51" s="825"/>
      <c r="V51" s="825"/>
    </row>
    <row r="52" spans="1:22">
      <c r="A52" s="994"/>
      <c r="B52" s="994"/>
      <c r="C52" s="994"/>
      <c r="D52" s="994"/>
      <c r="E52" s="994"/>
      <c r="F52" s="994"/>
      <c r="G52" s="994"/>
      <c r="H52" s="994"/>
      <c r="I52" s="994"/>
      <c r="J52" s="994"/>
      <c r="K52" s="994"/>
      <c r="L52" s="994"/>
      <c r="M52" s="994"/>
      <c r="N52" s="994"/>
      <c r="O52" s="994"/>
      <c r="P52" s="994"/>
      <c r="Q52" s="994"/>
      <c r="R52" s="995"/>
      <c r="S52" s="825"/>
      <c r="T52" s="995"/>
      <c r="U52" s="825"/>
      <c r="V52" s="825"/>
    </row>
    <row r="53" spans="1:22">
      <c r="A53" s="994"/>
      <c r="B53" s="994"/>
      <c r="C53" s="994"/>
      <c r="D53" s="994"/>
      <c r="E53" s="994"/>
      <c r="F53" s="994"/>
      <c r="G53" s="994"/>
      <c r="H53" s="994"/>
      <c r="I53" s="994"/>
      <c r="J53" s="994"/>
      <c r="K53" s="994"/>
      <c r="L53" s="994"/>
      <c r="M53" s="994"/>
      <c r="N53" s="994"/>
      <c r="O53" s="994"/>
      <c r="P53" s="994"/>
      <c r="Q53" s="994"/>
      <c r="R53" s="995"/>
      <c r="S53" s="825"/>
      <c r="T53" s="995"/>
      <c r="U53" s="825"/>
      <c r="V53" s="825"/>
    </row>
    <row r="54" spans="1:22">
      <c r="A54" s="994"/>
      <c r="B54" s="994"/>
      <c r="C54" s="994"/>
      <c r="D54" s="994"/>
      <c r="E54" s="994"/>
      <c r="F54" s="994"/>
      <c r="G54" s="994"/>
      <c r="H54" s="994"/>
      <c r="I54" s="994"/>
      <c r="J54" s="994"/>
      <c r="K54" s="994"/>
      <c r="L54" s="994"/>
      <c r="M54" s="994"/>
      <c r="N54" s="994"/>
      <c r="O54" s="994"/>
      <c r="P54" s="994"/>
      <c r="Q54" s="994"/>
      <c r="R54" s="995"/>
      <c r="S54" s="825"/>
      <c r="T54" s="995"/>
      <c r="U54" s="825"/>
      <c r="V54" s="825"/>
    </row>
    <row r="55" spans="1:22">
      <c r="A55" s="994"/>
      <c r="B55" s="994"/>
      <c r="C55" s="994"/>
      <c r="D55" s="994"/>
      <c r="E55" s="994"/>
      <c r="F55" s="994"/>
      <c r="G55" s="994"/>
      <c r="H55" s="994"/>
      <c r="I55" s="994"/>
      <c r="J55" s="994"/>
      <c r="K55" s="994"/>
      <c r="L55" s="994"/>
      <c r="M55" s="994"/>
      <c r="N55" s="994"/>
      <c r="O55" s="994"/>
      <c r="P55" s="994"/>
      <c r="Q55" s="994"/>
      <c r="R55" s="995"/>
      <c r="S55" s="825"/>
      <c r="T55" s="995"/>
      <c r="U55" s="825"/>
      <c r="V55" s="825"/>
    </row>
    <row r="56" spans="1:22">
      <c r="A56" s="994"/>
      <c r="B56" s="994"/>
      <c r="C56" s="994"/>
      <c r="D56" s="994"/>
      <c r="E56" s="994"/>
      <c r="F56" s="994"/>
      <c r="G56" s="994"/>
      <c r="H56" s="994"/>
      <c r="I56" s="994"/>
      <c r="J56" s="994"/>
      <c r="K56" s="994"/>
      <c r="L56" s="994"/>
      <c r="M56" s="994"/>
      <c r="N56" s="994"/>
      <c r="O56" s="994"/>
      <c r="P56" s="994"/>
      <c r="Q56" s="994"/>
      <c r="R56" s="996"/>
      <c r="S56" s="994"/>
    </row>
    <row r="57" spans="1:22">
      <c r="A57" s="994"/>
      <c r="B57" s="994"/>
      <c r="C57" s="994"/>
      <c r="D57" s="994"/>
      <c r="E57" s="994"/>
      <c r="F57" s="994"/>
      <c r="G57" s="994"/>
      <c r="H57" s="994"/>
      <c r="I57" s="994"/>
      <c r="J57" s="994"/>
      <c r="K57" s="994"/>
      <c r="L57" s="994"/>
      <c r="M57" s="994"/>
      <c r="N57" s="994"/>
      <c r="O57" s="994"/>
      <c r="P57" s="994"/>
      <c r="Q57" s="994"/>
      <c r="R57" s="996"/>
      <c r="S57" s="994"/>
    </row>
    <row r="58" spans="1:22">
      <c r="A58" s="994"/>
      <c r="B58" s="994"/>
      <c r="C58" s="994"/>
      <c r="D58" s="994"/>
      <c r="E58" s="994"/>
      <c r="F58" s="994"/>
      <c r="G58" s="994"/>
      <c r="H58" s="994"/>
      <c r="I58" s="994"/>
      <c r="J58" s="994"/>
      <c r="K58" s="994"/>
      <c r="L58" s="994"/>
      <c r="M58" s="994"/>
      <c r="N58" s="994"/>
      <c r="O58" s="994"/>
      <c r="P58" s="994"/>
      <c r="Q58" s="994"/>
      <c r="R58" s="996"/>
      <c r="S58" s="994"/>
    </row>
    <row r="59" spans="1:22">
      <c r="A59" s="994"/>
      <c r="B59" s="994"/>
      <c r="C59" s="994"/>
      <c r="D59" s="994"/>
      <c r="E59" s="994"/>
      <c r="F59" s="994"/>
      <c r="G59" s="994"/>
      <c r="H59" s="994"/>
      <c r="I59" s="994"/>
      <c r="J59" s="994"/>
      <c r="K59" s="994"/>
      <c r="L59" s="994"/>
      <c r="M59" s="994"/>
      <c r="N59" s="994"/>
      <c r="O59" s="994"/>
      <c r="P59" s="994"/>
      <c r="Q59" s="994"/>
      <c r="R59" s="996"/>
      <c r="S59" s="994"/>
    </row>
    <row r="60" spans="1:22">
      <c r="A60" s="994"/>
      <c r="B60" s="994"/>
      <c r="C60" s="994"/>
      <c r="D60" s="994"/>
      <c r="E60" s="994"/>
      <c r="F60" s="994"/>
      <c r="G60" s="994"/>
      <c r="H60" s="994"/>
      <c r="I60" s="994"/>
      <c r="J60" s="994"/>
      <c r="K60" s="994"/>
      <c r="L60" s="994"/>
      <c r="M60" s="994"/>
      <c r="N60" s="994"/>
      <c r="O60" s="994"/>
      <c r="P60" s="994"/>
      <c r="Q60" s="994"/>
      <c r="R60" s="996"/>
      <c r="S60" s="994"/>
    </row>
    <row r="61" spans="1:22">
      <c r="A61" s="994"/>
      <c r="B61" s="994"/>
      <c r="C61" s="994"/>
      <c r="D61" s="994"/>
      <c r="E61" s="994"/>
      <c r="F61" s="994"/>
      <c r="G61" s="994"/>
      <c r="H61" s="994"/>
      <c r="I61" s="994"/>
      <c r="J61" s="994"/>
      <c r="K61" s="994"/>
      <c r="L61" s="994"/>
      <c r="M61" s="994"/>
      <c r="N61" s="994"/>
      <c r="O61" s="994"/>
      <c r="P61" s="994"/>
      <c r="Q61" s="994"/>
      <c r="R61" s="996"/>
      <c r="S61" s="994"/>
    </row>
  </sheetData>
  <mergeCells count="1">
    <mergeCell ref="S12:U12"/>
  </mergeCells>
  <pageMargins left="0.25" right="0.25" top="0.5" bottom="0.5" header="0" footer="0.25"/>
  <pageSetup scale="60" firstPageNumber="6" orientation="landscape" useFirstPageNumber="1" r:id="rId1"/>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N56"/>
  <sheetViews>
    <sheetView showGridLines="0" zoomScale="90" zoomScaleNormal="80" workbookViewId="0"/>
  </sheetViews>
  <sheetFormatPr defaultColWidth="8.6640625" defaultRowHeight="15"/>
  <cols>
    <col min="1" max="1" width="45.6640625" style="101" customWidth="1"/>
    <col min="2" max="2" width="2.44140625" style="101" customWidth="1"/>
    <col min="3" max="3" width="15.109375" style="101" customWidth="1"/>
    <col min="4" max="4" width="1.6640625" style="101" customWidth="1"/>
    <col min="5" max="5" width="15.109375" style="101" customWidth="1"/>
    <col min="6" max="6" width="2.6640625" style="101" customWidth="1"/>
    <col min="7" max="7" width="15.109375" style="101" customWidth="1"/>
    <col min="8" max="8" width="2" style="101" customWidth="1"/>
    <col min="9" max="9" width="14.6640625" style="101" customWidth="1"/>
    <col min="10" max="10" width="2.109375" style="101" customWidth="1"/>
    <col min="11" max="11" width="14.109375" style="101" customWidth="1"/>
    <col min="12" max="12" width="8.6640625" style="101"/>
    <col min="13" max="13" width="10.109375" style="101" bestFit="1" customWidth="1"/>
    <col min="14" max="16384" width="8.6640625" style="101"/>
  </cols>
  <sheetData>
    <row r="1" spans="1:11">
      <c r="A1" s="923" t="s">
        <v>963</v>
      </c>
    </row>
    <row r="2" spans="1:11">
      <c r="A2" s="826"/>
    </row>
    <row r="3" spans="1:11" ht="17.25" customHeight="1">
      <c r="A3" s="141" t="s">
        <v>0</v>
      </c>
      <c r="B3" s="142"/>
      <c r="C3" s="142"/>
      <c r="D3" s="143"/>
      <c r="E3" s="142"/>
      <c r="F3" s="143"/>
      <c r="G3" s="143"/>
      <c r="H3" s="143"/>
      <c r="I3" s="143"/>
      <c r="J3" s="143"/>
      <c r="K3" s="144" t="s">
        <v>83</v>
      </c>
    </row>
    <row r="4" spans="1:11" ht="17.25" customHeight="1">
      <c r="A4" s="141" t="s">
        <v>82</v>
      </c>
      <c r="B4" s="142"/>
      <c r="C4" s="142"/>
      <c r="D4" s="143"/>
      <c r="E4" s="142"/>
      <c r="F4" s="143"/>
      <c r="G4" s="143"/>
      <c r="H4" s="143"/>
      <c r="I4" s="144"/>
      <c r="J4" s="145"/>
    </row>
    <row r="5" spans="1:11" ht="17.25" customHeight="1">
      <c r="A5" s="3941" t="s">
        <v>1464</v>
      </c>
      <c r="B5" s="3942"/>
      <c r="C5" s="3942"/>
      <c r="D5" s="3942"/>
      <c r="E5" s="3942"/>
      <c r="F5" s="143"/>
      <c r="G5" s="146"/>
      <c r="H5" s="143"/>
      <c r="I5" s="143"/>
      <c r="J5" s="143"/>
      <c r="K5" s="143"/>
    </row>
    <row r="6" spans="1:11" ht="17.25" customHeight="1">
      <c r="A6" s="821" t="s">
        <v>1557</v>
      </c>
      <c r="B6" s="147"/>
      <c r="C6" s="148"/>
      <c r="D6" s="143"/>
      <c r="E6" s="148"/>
      <c r="F6" s="143"/>
      <c r="G6" s="143"/>
      <c r="H6" s="143"/>
      <c r="I6" s="143"/>
      <c r="J6" s="143"/>
      <c r="K6" s="143"/>
    </row>
    <row r="7" spans="1:11" ht="18">
      <c r="A7" s="191" t="s">
        <v>1364</v>
      </c>
      <c r="B7" s="148"/>
      <c r="C7" s="148"/>
      <c r="D7" s="143"/>
      <c r="E7" s="148"/>
      <c r="F7" s="143"/>
      <c r="G7" s="143"/>
      <c r="H7" s="143"/>
      <c r="I7" s="143"/>
      <c r="J7" s="143"/>
      <c r="K7" s="143"/>
    </row>
    <row r="8" spans="1:11" ht="18">
      <c r="A8" s="149"/>
      <c r="B8" s="143"/>
      <c r="C8" s="143"/>
      <c r="D8" s="143"/>
      <c r="E8" s="143"/>
      <c r="F8" s="143"/>
      <c r="G8" s="143"/>
      <c r="H8" s="143"/>
      <c r="I8" s="143"/>
      <c r="J8" s="143"/>
      <c r="K8" s="143"/>
    </row>
    <row r="9" spans="1:11">
      <c r="A9" s="150"/>
      <c r="B9" s="143"/>
      <c r="C9" s="143"/>
      <c r="D9" s="143"/>
      <c r="E9" s="143"/>
      <c r="F9" s="143"/>
      <c r="G9" s="143"/>
      <c r="H9" s="143"/>
      <c r="I9" s="143"/>
      <c r="J9" s="143"/>
      <c r="K9" s="143"/>
    </row>
    <row r="10" spans="1:11">
      <c r="A10" s="150"/>
      <c r="B10" s="143"/>
      <c r="C10" s="143"/>
      <c r="D10" s="143"/>
      <c r="E10" s="143"/>
      <c r="F10" s="143"/>
      <c r="G10" s="143"/>
      <c r="H10" s="143"/>
      <c r="I10" s="143"/>
      <c r="J10" s="143"/>
      <c r="K10" s="143"/>
    </row>
    <row r="11" spans="1:11" ht="15.75">
      <c r="A11" s="31"/>
      <c r="B11" s="151"/>
      <c r="C11" s="3943" t="s">
        <v>1126</v>
      </c>
      <c r="D11" s="3943"/>
      <c r="E11" s="3943"/>
      <c r="F11" s="3943"/>
      <c r="G11" s="3943"/>
      <c r="H11" s="3943"/>
      <c r="I11" s="3943"/>
      <c r="J11" s="1172"/>
      <c r="K11" s="1173"/>
    </row>
    <row r="12" spans="1:11" ht="15.75">
      <c r="A12" s="31"/>
      <c r="B12" s="151"/>
      <c r="C12" s="152"/>
      <c r="D12" s="152"/>
      <c r="E12" s="152"/>
      <c r="F12" s="152"/>
      <c r="G12" s="152"/>
      <c r="H12" s="152"/>
      <c r="I12" s="153" t="s">
        <v>84</v>
      </c>
      <c r="J12" s="153"/>
      <c r="K12" s="153" t="s">
        <v>84</v>
      </c>
    </row>
    <row r="13" spans="1:11" ht="15.75">
      <c r="A13" s="31"/>
      <c r="B13" s="151"/>
      <c r="C13" s="152"/>
      <c r="D13" s="152"/>
      <c r="E13" s="152"/>
      <c r="F13" s="152"/>
      <c r="G13" s="152"/>
      <c r="H13" s="152"/>
      <c r="I13" s="153" t="s">
        <v>874</v>
      </c>
      <c r="J13" s="153"/>
      <c r="K13" s="153" t="s">
        <v>874</v>
      </c>
    </row>
    <row r="14" spans="1:11" ht="15.75">
      <c r="A14" s="31"/>
      <c r="B14" s="151"/>
      <c r="C14" s="154" t="s">
        <v>1075</v>
      </c>
      <c r="D14" s="152"/>
      <c r="E14" s="153" t="s">
        <v>1076</v>
      </c>
      <c r="F14" s="152"/>
      <c r="G14" s="152"/>
      <c r="H14" s="152"/>
      <c r="I14" s="153" t="s">
        <v>85</v>
      </c>
      <c r="J14" s="153"/>
      <c r="K14" s="153" t="s">
        <v>85</v>
      </c>
    </row>
    <row r="15" spans="1:11" ht="15.75">
      <c r="A15" s="31"/>
      <c r="B15" s="151"/>
      <c r="C15" s="153" t="s">
        <v>1112</v>
      </c>
      <c r="D15" s="152"/>
      <c r="E15" s="153" t="s">
        <v>1112</v>
      </c>
      <c r="F15" s="152"/>
      <c r="G15" s="152"/>
      <c r="H15" s="152"/>
      <c r="I15" s="153" t="s">
        <v>1075</v>
      </c>
      <c r="J15" s="153"/>
      <c r="K15" s="153" t="s">
        <v>1076</v>
      </c>
    </row>
    <row r="16" spans="1:11" ht="15.75">
      <c r="A16" s="31"/>
      <c r="B16" s="151"/>
      <c r="C16" s="153" t="s">
        <v>1113</v>
      </c>
      <c r="D16" s="152"/>
      <c r="E16" s="153" t="s">
        <v>1504</v>
      </c>
      <c r="F16" s="152"/>
      <c r="G16" s="154" t="s">
        <v>84</v>
      </c>
      <c r="H16" s="152"/>
      <c r="I16" s="153" t="s">
        <v>86</v>
      </c>
      <c r="J16" s="153"/>
      <c r="K16" s="153" t="s">
        <v>86</v>
      </c>
    </row>
    <row r="17" spans="1:13">
      <c r="A17" s="155"/>
      <c r="B17" s="156"/>
      <c r="C17" s="157"/>
      <c r="D17" s="143"/>
      <c r="E17" s="157"/>
      <c r="F17" s="143"/>
      <c r="G17" s="157"/>
      <c r="H17" s="143"/>
      <c r="I17" s="157"/>
      <c r="J17" s="156"/>
      <c r="K17" s="157"/>
    </row>
    <row r="18" spans="1:13" ht="15.75">
      <c r="A18" s="29" t="s">
        <v>14</v>
      </c>
      <c r="B18" s="158"/>
      <c r="C18" s="159"/>
      <c r="D18" s="159"/>
      <c r="E18" s="159"/>
      <c r="F18" s="159"/>
      <c r="G18" s="159"/>
      <c r="H18" s="159"/>
      <c r="I18" s="159"/>
      <c r="J18" s="159"/>
      <c r="K18" s="158"/>
    </row>
    <row r="19" spans="1:13" ht="15" customHeight="1">
      <c r="A19" s="820" t="s">
        <v>87</v>
      </c>
      <c r="B19" s="160" t="s">
        <v>15</v>
      </c>
      <c r="C19" s="161"/>
      <c r="D19" s="160"/>
      <c r="E19" s="161"/>
      <c r="F19" s="160"/>
      <c r="G19" s="99"/>
      <c r="H19" s="160"/>
      <c r="I19" s="99"/>
      <c r="J19" s="99"/>
      <c r="K19" s="52"/>
    </row>
    <row r="20" spans="1:13">
      <c r="A20" s="162" t="s">
        <v>88</v>
      </c>
      <c r="B20" s="160" t="s">
        <v>15</v>
      </c>
      <c r="C20" s="1879">
        <f>'Exh D General Fund'!C20+'Exh D Special Revenue'!C20+'Exh D Debt Service'!C20</f>
        <v>42554</v>
      </c>
      <c r="D20" s="2142"/>
      <c r="E20" s="1879">
        <f>+'Exh D General Fund'!E20+'Exh D Special Revenue'!E20+'Exh D Debt Service'!E20</f>
        <v>44830</v>
      </c>
      <c r="F20" s="163"/>
      <c r="G20" s="50">
        <f>+'Exh D General Fund'!G20+'Exh D Special Revenue'!G20+'Exh D Debt Service'!G20</f>
        <v>46251.199999999997</v>
      </c>
      <c r="H20" s="163"/>
      <c r="I20" s="50">
        <f>ROUND(SUM(G20)-SUM(C20),1)</f>
        <v>3697.2</v>
      </c>
      <c r="J20" s="164"/>
      <c r="K20" s="971">
        <f>ROUND(SUM(G20)-SUM(E20),1)</f>
        <v>1421.2</v>
      </c>
      <c r="M20" s="1174"/>
    </row>
    <row r="21" spans="1:13">
      <c r="A21" s="820" t="s">
        <v>89</v>
      </c>
      <c r="B21" s="158" t="s">
        <v>15</v>
      </c>
      <c r="C21" s="118">
        <f>+'Exh D General Fund'!C21+'Exh D Debt Service'!C21+'Exh D Special Revenue'!C21+'Exh D Capital Projects'!C20</f>
        <v>12937</v>
      </c>
      <c r="D21" s="118"/>
      <c r="E21" s="118">
        <f>+'Exh D General Fund'!E21+'Exh D Special Revenue'!E21+'Exh D Debt Service'!E21+'Exh D Capital Projects'!E20</f>
        <v>13455</v>
      </c>
      <c r="F21" s="66"/>
      <c r="G21" s="66">
        <f>+'Exh D General Fund'!G21+'Exh D Special Revenue'!G21+'Exh D Debt Service'!G21+'Exh D Capital Projects'!G20</f>
        <v>13493.1</v>
      </c>
      <c r="H21" s="66"/>
      <c r="I21" s="66">
        <f t="shared" ref="I21:I25" si="0">ROUND(SUM(G21)-SUM(C21),1)</f>
        <v>556.1</v>
      </c>
      <c r="J21" s="164"/>
      <c r="K21" s="943">
        <f>ROUND(SUM(G21)-SUM(E21),1)</f>
        <v>38.1</v>
      </c>
      <c r="M21" s="1174"/>
    </row>
    <row r="22" spans="1:13" ht="15" customHeight="1">
      <c r="A22" s="820" t="s">
        <v>90</v>
      </c>
      <c r="B22" s="160" t="s">
        <v>15</v>
      </c>
      <c r="C22" s="118">
        <f>+'Exh D General Fund'!C22+'Exh D Special Revenue'!C22+'Exh D Capital Projects'!C21</f>
        <v>6436</v>
      </c>
      <c r="D22" s="119"/>
      <c r="E22" s="118">
        <f>+'Exh D General Fund'!E22+'Exh D Special Revenue'!E22+'Exh D Capital Projects'!E21</f>
        <v>6117</v>
      </c>
      <c r="F22" s="77"/>
      <c r="G22" s="66">
        <f>+'Exh D General Fund'!G22+'Exh D Special Revenue'!G22+'Exh D Capital Projects'!G21</f>
        <v>6248.3</v>
      </c>
      <c r="H22" s="77"/>
      <c r="I22" s="66">
        <f t="shared" si="0"/>
        <v>-187.7</v>
      </c>
      <c r="J22" s="164"/>
      <c r="K22" s="943">
        <f t="shared" ref="K22:K25" si="1">ROUND(SUM(G22)-SUM(E22),1)</f>
        <v>131.30000000000001</v>
      </c>
      <c r="M22" s="1174"/>
    </row>
    <row r="23" spans="1:13" ht="14.25" customHeight="1">
      <c r="A23" s="820" t="s">
        <v>91</v>
      </c>
      <c r="B23" s="158" t="s">
        <v>15</v>
      </c>
      <c r="C23" s="118">
        <f>+'Exh D General Fund'!C23+'Exh D Capital Projects'!C22+'Exh D Debt Service'!C22</f>
        <v>1730</v>
      </c>
      <c r="D23" s="118"/>
      <c r="E23" s="118">
        <f>+'Exh D General Fund'!E23+'Exh D Debt Service'!E22+'Exh D Capital Projects'!E22</f>
        <v>1954</v>
      </c>
      <c r="F23" s="66"/>
      <c r="G23" s="66">
        <f>+'Exh D General Fund'!G23+'Exh D Debt Service'!G22+'Exh D Capital Projects'!G22</f>
        <v>2030.8999999999999</v>
      </c>
      <c r="H23" s="66"/>
      <c r="I23" s="66">
        <f t="shared" si="0"/>
        <v>300.89999999999998</v>
      </c>
      <c r="J23" s="164"/>
      <c r="K23" s="943">
        <f t="shared" si="1"/>
        <v>76.900000000000006</v>
      </c>
      <c r="L23" s="1174"/>
      <c r="M23" s="1174"/>
    </row>
    <row r="24" spans="1:13">
      <c r="A24" s="820" t="s">
        <v>20</v>
      </c>
      <c r="B24" s="158" t="s">
        <v>15</v>
      </c>
      <c r="C24" s="118">
        <f>+'Exh D General Fund'!C24+'Exh D Special Revenue'!C23+'Exh D Debt Service'!C23+'Exh D Capital Projects'!C23</f>
        <v>26178</v>
      </c>
      <c r="D24" s="118"/>
      <c r="E24" s="118">
        <f>+'Exh D General Fund'!E24+'Exh D Special Revenue'!E23+'Exh D Debt Service'!E23+'Exh D Capital Projects'!E23</f>
        <v>25912</v>
      </c>
      <c r="F24" s="66"/>
      <c r="G24" s="118">
        <f>+'Exh D General Fund'!G24+'Exh D Special Revenue'!G23+'Exh D Debt Service'!G23+'Exh D Capital Projects'!G23</f>
        <v>25732.699999999997</v>
      </c>
      <c r="H24" s="66"/>
      <c r="I24" s="66">
        <f t="shared" si="0"/>
        <v>-445.3</v>
      </c>
      <c r="J24" s="165"/>
      <c r="K24" s="943">
        <f t="shared" si="1"/>
        <v>-179.3</v>
      </c>
      <c r="M24" s="1174"/>
    </row>
    <row r="25" spans="1:13" ht="15" customHeight="1">
      <c r="A25" s="820" t="s">
        <v>21</v>
      </c>
      <c r="B25" s="158" t="s">
        <v>15</v>
      </c>
      <c r="C25" s="676">
        <f>+'Exh D General Fund'!C25+'Exh D Debt Service'!C24+'Exh D Special Revenue'!C24+'Exh D Capital Projects'!C24</f>
        <v>57239</v>
      </c>
      <c r="D25" s="118"/>
      <c r="E25" s="676">
        <f>+'Exh D General Fund'!E25+'Exh D Special Revenue'!E24+'Exh D Debt Service'!E24+'Exh D Capital Projects'!E24</f>
        <v>68291</v>
      </c>
      <c r="F25" s="66"/>
      <c r="G25" s="276">
        <f>+'Exh D General Fund'!G25+'Exh D Special Revenue'!G24+'Exh D Debt Service'!G24+'Exh D Capital Projects'!G24</f>
        <v>68074.699999999983</v>
      </c>
      <c r="H25" s="66"/>
      <c r="I25" s="66">
        <f t="shared" si="0"/>
        <v>10835.7</v>
      </c>
      <c r="J25" s="165"/>
      <c r="K25" s="943">
        <f t="shared" si="1"/>
        <v>-216.3</v>
      </c>
      <c r="M25" s="1174"/>
    </row>
    <row r="26" spans="1:13" ht="15.75">
      <c r="A26" s="173" t="s">
        <v>92</v>
      </c>
      <c r="B26" s="151" t="s">
        <v>15</v>
      </c>
      <c r="C26" s="1484">
        <f>ROUND(SUM(C20:C25),1)</f>
        <v>147074</v>
      </c>
      <c r="D26" s="112"/>
      <c r="E26" s="1484">
        <f>ROUND(SUM(E20:E25),1)</f>
        <v>160559</v>
      </c>
      <c r="F26" s="62"/>
      <c r="G26" s="215">
        <f>ROUND(SUM(G20:G25),1)</f>
        <v>161830.9</v>
      </c>
      <c r="H26" s="62"/>
      <c r="I26" s="215">
        <f>ROUND(SUM(I20:I25),1)</f>
        <v>14756.9</v>
      </c>
      <c r="J26" s="166"/>
      <c r="K26" s="215">
        <f>ROUND(SUM(K20:K25),1)</f>
        <v>1271.9000000000001</v>
      </c>
      <c r="M26" s="1174"/>
    </row>
    <row r="27" spans="1:13">
      <c r="A27" s="31"/>
      <c r="B27" s="158" t="s">
        <v>15</v>
      </c>
      <c r="C27" s="126"/>
      <c r="D27" s="118"/>
      <c r="E27" s="126"/>
      <c r="F27" s="66"/>
      <c r="G27" s="88"/>
      <c r="H27" s="66"/>
      <c r="I27" s="88"/>
      <c r="J27" s="59"/>
      <c r="K27" s="88"/>
      <c r="M27" s="1174"/>
    </row>
    <row r="28" spans="1:13" ht="15.75">
      <c r="A28" s="29" t="s">
        <v>23</v>
      </c>
      <c r="B28" s="158" t="s">
        <v>15</v>
      </c>
      <c r="C28" s="118"/>
      <c r="D28" s="118"/>
      <c r="E28" s="118"/>
      <c r="F28" s="66"/>
      <c r="G28" s="66"/>
      <c r="H28" s="66"/>
      <c r="I28" s="66"/>
      <c r="J28" s="165"/>
      <c r="K28" s="56"/>
      <c r="M28" s="1174"/>
    </row>
    <row r="29" spans="1:13">
      <c r="A29" s="820" t="s">
        <v>93</v>
      </c>
      <c r="B29" s="158" t="s">
        <v>15</v>
      </c>
      <c r="C29" s="676">
        <f>+'Exh D General Fund'!C34+'Exh D Special Revenue'!C29+'Exh D Capital Projects'!C30</f>
        <v>103057</v>
      </c>
      <c r="D29" s="118"/>
      <c r="E29" s="676">
        <f>+'Exh D General Fund'!E34+'Exh D Special Revenue'!E29+'Exh D Capital Projects'!E30</f>
        <v>107320</v>
      </c>
      <c r="F29" s="66"/>
      <c r="G29" s="676">
        <f>+'Exh D General Fund'!G34+'Exh D Special Revenue'!G29+'Exh D Capital Projects'!G30</f>
        <v>106585.5</v>
      </c>
      <c r="H29" s="66"/>
      <c r="I29" s="66">
        <f>ROUND(SUM(G29)-SUM(C29),1)</f>
        <v>3528.5</v>
      </c>
      <c r="J29" s="165"/>
      <c r="K29" s="943">
        <f>ROUND(SUM(G29)-SUM(E29),1)</f>
        <v>-734.5</v>
      </c>
      <c r="M29" s="1174"/>
    </row>
    <row r="30" spans="1:13">
      <c r="A30" s="820" t="s">
        <v>94</v>
      </c>
      <c r="B30" s="158" t="s">
        <v>15</v>
      </c>
      <c r="C30" s="119">
        <f>+'Exh D General Fund'!C35+'Exh D Special Revenue'!C30+'Exh D Debt Service'!C29</f>
        <v>17624</v>
      </c>
      <c r="D30" s="118"/>
      <c r="E30" s="119">
        <f>+'Exh D General Fund'!E35+'Exh D Special Revenue'!E30+'Exh D Debt Service'!E29</f>
        <v>18097</v>
      </c>
      <c r="F30" s="66"/>
      <c r="G30" s="77">
        <f>+'Exh D General Fund'!G35+'Exh D Special Revenue'!G30+'Exh D Debt Service'!G29</f>
        <v>18105.599999999999</v>
      </c>
      <c r="H30" s="66"/>
      <c r="I30" s="66">
        <f>ROUND(SUM(G30)-SUM(C30),1)</f>
        <v>481.6</v>
      </c>
      <c r="J30" s="165"/>
      <c r="K30" s="943">
        <f t="shared" ref="K30:K33" si="2">ROUND(SUM(G30)-SUM(E30),1)</f>
        <v>8.6</v>
      </c>
      <c r="M30" s="1174"/>
    </row>
    <row r="31" spans="1:13">
      <c r="A31" s="820" t="s">
        <v>69</v>
      </c>
      <c r="B31" s="158" t="s">
        <v>15</v>
      </c>
      <c r="C31" s="676">
        <f>+'Exh D General Fund'!C36+'Exh D Special Revenue'!C31</f>
        <v>7321</v>
      </c>
      <c r="D31" s="118"/>
      <c r="E31" s="676">
        <f>+'Exh D General Fund'!E36+'Exh D Special Revenue'!E31</f>
        <v>6962</v>
      </c>
      <c r="F31" s="66"/>
      <c r="G31" s="276">
        <f>+'Exh D General Fund'!G36+'Exh D Special Revenue'!G31</f>
        <v>7107.7999999999993</v>
      </c>
      <c r="H31" s="66"/>
      <c r="I31" s="66">
        <f>ROUND(SUM(G31)-SUM(C31),1)</f>
        <v>-213.2</v>
      </c>
      <c r="J31" s="165"/>
      <c r="K31" s="943">
        <f t="shared" si="2"/>
        <v>145.80000000000001</v>
      </c>
      <c r="M31" s="1174"/>
    </row>
    <row r="32" spans="1:13">
      <c r="A32" s="820" t="s">
        <v>95</v>
      </c>
      <c r="B32" s="158" t="s">
        <v>15</v>
      </c>
      <c r="C32" s="119">
        <f>+'Exh D Debt Service'!C30+'Exh D Special Revenue'!C32</f>
        <v>1742</v>
      </c>
      <c r="D32" s="118"/>
      <c r="E32" s="119">
        <f>+'Exh D Debt Service'!E30+'Exh D Special Revenue'!E32</f>
        <v>2692</v>
      </c>
      <c r="F32" s="66"/>
      <c r="G32" s="77">
        <f>+'Exh D Debt Service'!G30+'Exh D Special Revenue'!K32</f>
        <v>2691.7999999999997</v>
      </c>
      <c r="H32" s="66"/>
      <c r="I32" s="66">
        <f>ROUND(SUM(G32)-SUM(C32),1)</f>
        <v>949.8</v>
      </c>
      <c r="J32" s="165"/>
      <c r="K32" s="943">
        <f t="shared" si="2"/>
        <v>-0.2</v>
      </c>
      <c r="M32" s="1174"/>
    </row>
    <row r="33" spans="1:14" ht="15" customHeight="1">
      <c r="A33" s="820" t="s">
        <v>42</v>
      </c>
      <c r="B33" s="158" t="s">
        <v>15</v>
      </c>
      <c r="C33" s="676">
        <f>+'Exh D Special Revenue'!C33+'Exh D Capital Projects'!C31</f>
        <v>8067</v>
      </c>
      <c r="D33" s="118"/>
      <c r="E33" s="676">
        <f>+'Exh D Special Revenue'!E33+'Exh D Capital Projects'!E31</f>
        <v>6272</v>
      </c>
      <c r="F33" s="66"/>
      <c r="G33" s="276">
        <f>+'Exh D Special Revenue'!G33+'Exh D Capital Projects'!G31</f>
        <v>5840.8</v>
      </c>
      <c r="H33" s="66"/>
      <c r="I33" s="66">
        <f>ROUND(SUM(G33)-SUM(C33),1)</f>
        <v>-2226.1999999999998</v>
      </c>
      <c r="J33" s="165"/>
      <c r="K33" s="943">
        <f t="shared" si="2"/>
        <v>-431.2</v>
      </c>
      <c r="M33" s="1174"/>
    </row>
    <row r="34" spans="1:14" ht="15.75" customHeight="1">
      <c r="A34" s="173" t="s">
        <v>96</v>
      </c>
      <c r="B34" s="151" t="s">
        <v>15</v>
      </c>
      <c r="C34" s="1096">
        <f>ROUND(SUM(C29:C33),1)</f>
        <v>137811</v>
      </c>
      <c r="D34" s="112"/>
      <c r="E34" s="1096">
        <f>ROUND(SUM(E29:E33),1)</f>
        <v>141343</v>
      </c>
      <c r="F34" s="62"/>
      <c r="G34" s="294">
        <f>ROUND(SUM(G29:G33),1)</f>
        <v>140331.5</v>
      </c>
      <c r="H34" s="62"/>
      <c r="I34" s="294">
        <f>ROUND(SUM(I29:I33),1)</f>
        <v>2520.5</v>
      </c>
      <c r="J34" s="166"/>
      <c r="K34" s="294">
        <f>ROUND(SUM(K29:K33),1)</f>
        <v>-1011.5</v>
      </c>
      <c r="M34" s="1174"/>
    </row>
    <row r="35" spans="1:14">
      <c r="A35" s="31"/>
      <c r="B35" s="158"/>
      <c r="C35" s="118"/>
      <c r="D35" s="118"/>
      <c r="E35" s="118"/>
      <c r="F35" s="66"/>
      <c r="G35" s="66"/>
      <c r="H35" s="66"/>
      <c r="I35" s="66"/>
      <c r="J35" s="165"/>
      <c r="K35" s="56"/>
      <c r="M35" s="1174"/>
    </row>
    <row r="36" spans="1:14" ht="15.75">
      <c r="A36" s="173" t="s">
        <v>44</v>
      </c>
      <c r="B36" s="158"/>
      <c r="C36" s="118"/>
      <c r="D36" s="118"/>
      <c r="E36" s="118"/>
      <c r="F36" s="66"/>
      <c r="G36" s="66"/>
      <c r="H36" s="66"/>
      <c r="I36" s="66"/>
      <c r="J36" s="165"/>
      <c r="K36" s="56"/>
      <c r="M36" s="1174"/>
    </row>
    <row r="37" spans="1:14" ht="15.75">
      <c r="A37" s="173" t="s">
        <v>45</v>
      </c>
      <c r="B37" s="158" t="s">
        <v>15</v>
      </c>
      <c r="C37" s="113">
        <f>ROUND(SUM(+C26-C34),1)</f>
        <v>9263</v>
      </c>
      <c r="D37" s="118"/>
      <c r="E37" s="113">
        <f>ROUND(SUM(+E26-E34),1)</f>
        <v>19216</v>
      </c>
      <c r="F37" s="66"/>
      <c r="G37" s="74">
        <f>ROUND(SUM(+G26-G34),1)</f>
        <v>21499.4</v>
      </c>
      <c r="H37" s="66"/>
      <c r="I37" s="74">
        <f>ROUND(SUM(+I26-I34),1)</f>
        <v>12236.4</v>
      </c>
      <c r="J37" s="59"/>
      <c r="K37" s="829">
        <f>ROUND(SUM(+K26-K34),1)</f>
        <v>2283.4</v>
      </c>
      <c r="M37" s="1174"/>
    </row>
    <row r="38" spans="1:14">
      <c r="A38" s="31"/>
      <c r="B38" s="158"/>
      <c r="C38" s="118"/>
      <c r="D38" s="118"/>
      <c r="E38" s="118"/>
      <c r="F38" s="66"/>
      <c r="G38" s="66"/>
      <c r="H38" s="66"/>
      <c r="I38" s="66"/>
      <c r="J38" s="165"/>
      <c r="K38" s="56"/>
      <c r="M38" s="1174"/>
    </row>
    <row r="39" spans="1:14" ht="15.75">
      <c r="A39" s="173" t="s">
        <v>46</v>
      </c>
      <c r="B39" s="158"/>
      <c r="C39" s="118"/>
      <c r="D39" s="118"/>
      <c r="E39" s="118"/>
      <c r="F39" s="66"/>
      <c r="G39" s="66"/>
      <c r="H39" s="66"/>
      <c r="I39" s="66"/>
      <c r="J39" s="165"/>
      <c r="K39" s="56"/>
      <c r="M39" s="1174"/>
      <c r="N39" s="931" t="s">
        <v>15</v>
      </c>
    </row>
    <row r="40" spans="1:14">
      <c r="A40" s="820" t="s">
        <v>97</v>
      </c>
      <c r="B40" s="158" t="s">
        <v>15</v>
      </c>
      <c r="C40" s="1080">
        <f>'Exh D Captl Projects State Fed'!C25</f>
        <v>0</v>
      </c>
      <c r="D40" s="118"/>
      <c r="E40" s="1080">
        <f>'Exh D Captl Projects State Fed'!E25</f>
        <v>0</v>
      </c>
      <c r="F40" s="66"/>
      <c r="G40" s="277">
        <f>'Exh D Captl Projects State Fed'!G25</f>
        <v>0</v>
      </c>
      <c r="H40" s="66"/>
      <c r="I40" s="66">
        <f>ROUND(SUM(G40)-SUM(C40),1)</f>
        <v>0</v>
      </c>
      <c r="J40" s="171"/>
      <c r="K40" s="943">
        <f>ROUND(SUM(G40)-SUM(E40),1)</f>
        <v>0</v>
      </c>
      <c r="M40" s="1174"/>
    </row>
    <row r="41" spans="1:14">
      <c r="A41" s="820" t="s">
        <v>47</v>
      </c>
      <c r="B41" s="158" t="s">
        <v>15</v>
      </c>
      <c r="C41" s="119">
        <f>+'Exh D General Fund'!C27+'Exh D General Fund'!C28+'Exh D General Fund'!C29+'Exh D General Fund'!C30+'Exh D Special Revenue'!C25+'Exh D Debt Service'!C25+'Exh D Capital Projects'!C26</f>
        <v>28344</v>
      </c>
      <c r="D41" s="118"/>
      <c r="E41" s="119">
        <f>+'Exh D General Fund'!E27+'Exh D General Fund'!E28+'Exh D General Fund'!E29+'Exh D General Fund'!E30+'Exh D Special Revenue'!E25+'Exh D Debt Service'!E25+'Exh D Capital Projects'!E26</f>
        <v>28843</v>
      </c>
      <c r="F41" s="66"/>
      <c r="G41" s="77">
        <f>+'Exh D General Fund'!G27+'Exh D General Fund'!G28+'Exh D General Fund'!G29+'Exh D General Fund'!G30+'Exh D Special Revenue'!K25+'Exh D Debt Service'!G25+'Exh D Capital Projects'!K26</f>
        <v>28623.4</v>
      </c>
      <c r="H41" s="66"/>
      <c r="I41" s="66">
        <f>ROUND(SUM(G41)-SUM(C41),1)</f>
        <v>279.39999999999998</v>
      </c>
      <c r="J41" s="165"/>
      <c r="K41" s="943">
        <f t="shared" ref="K41" si="3">ROUND(SUM(G41)-SUM(E41),1)</f>
        <v>-219.6</v>
      </c>
      <c r="M41" s="1174"/>
    </row>
    <row r="42" spans="1:14">
      <c r="A42" s="820" t="s">
        <v>98</v>
      </c>
      <c r="B42" s="158" t="s">
        <v>15</v>
      </c>
      <c r="C42" s="2143">
        <f>-(+'Exh D General Fund'!C38+'Exh D General Fund'!C39+'Exh D General Fund'!C40+'Exh D General Fund'!C41+'Exh D General Fund'!C42+'Exh D Special Revenue'!C34+'Exh D Debt Service'!C31+'Exh D Capital Projects'!C32)</f>
        <v>-28445</v>
      </c>
      <c r="D42" s="118"/>
      <c r="E42" s="2143">
        <f>-(+'Exh D General Fund'!E38+'Exh D General Fund'!E39+'Exh D General Fund'!E40+'Exh D General Fund'!E41+'Exh D General Fund'!E42+'Exh D Special Revenue'!E34+'Exh D Debt Service'!E31+'Exh D Capital Projects'!E32)</f>
        <v>-29060</v>
      </c>
      <c r="F42" s="66"/>
      <c r="G42" s="281">
        <f>-(+'Exh D General Fund'!G38+'Exh D General Fund'!G39+'Exh D General Fund'!G40+'Exh D General Fund'!G41+'Exh D General Fund'!G42+'Exh D Special Revenue'!K34+'Exh D Debt Service'!G31+'Exh D Capital Projects'!K32)</f>
        <v>-28835.7</v>
      </c>
      <c r="H42" s="66"/>
      <c r="I42" s="531">
        <f>-ROUND(SUM(G42)-SUM(C42),1)</f>
        <v>390.7</v>
      </c>
      <c r="J42" s="59"/>
      <c r="K42" s="943">
        <f>-ROUND(SUM(G42)-SUM(E42),1)</f>
        <v>-224.3</v>
      </c>
      <c r="M42" s="1174"/>
    </row>
    <row r="43" spans="1:14" ht="15.75">
      <c r="A43" s="173" t="s">
        <v>99</v>
      </c>
      <c r="B43" s="158" t="s">
        <v>15</v>
      </c>
      <c r="C43" s="120">
        <f>ROUND(+SUM(C40)+C41+C42,1)</f>
        <v>-101</v>
      </c>
      <c r="D43" s="118"/>
      <c r="E43" s="120">
        <f>ROUND(+SUM(E40)+E41+E42,1)</f>
        <v>-217</v>
      </c>
      <c r="F43" s="66"/>
      <c r="G43" s="283">
        <f>ROUND(+SUM(G40)+G41+G42,1)</f>
        <v>-212.3</v>
      </c>
      <c r="H43" s="66"/>
      <c r="I43" s="283">
        <f>ROUND(SUM(I40+I41-I42),1)</f>
        <v>-111.3</v>
      </c>
      <c r="J43" s="172"/>
      <c r="K43" s="1577">
        <f>ROUND(SUM(K40+K41-K42),1)</f>
        <v>4.7</v>
      </c>
      <c r="M43" s="1174"/>
    </row>
    <row r="44" spans="1:14" ht="15.75">
      <c r="A44" s="173"/>
      <c r="B44" s="158"/>
      <c r="C44" s="119"/>
      <c r="D44" s="118"/>
      <c r="E44" s="119"/>
      <c r="F44" s="66"/>
      <c r="G44" s="77"/>
      <c r="H44" s="66"/>
      <c r="I44" s="77"/>
      <c r="J44" s="160"/>
      <c r="K44" s="78"/>
      <c r="M44" s="1174"/>
    </row>
    <row r="45" spans="1:14" ht="15.75">
      <c r="A45" s="29" t="s">
        <v>100</v>
      </c>
      <c r="B45" s="158"/>
      <c r="C45" s="118"/>
      <c r="D45" s="118"/>
      <c r="E45" s="118"/>
      <c r="F45" s="66"/>
      <c r="G45" s="66"/>
      <c r="H45" s="66"/>
      <c r="I45" s="66"/>
      <c r="J45" s="165"/>
      <c r="K45" s="56"/>
      <c r="M45" s="1174"/>
    </row>
    <row r="46" spans="1:14" ht="15" customHeight="1">
      <c r="A46" s="29" t="s">
        <v>101</v>
      </c>
      <c r="B46" s="158"/>
      <c r="C46" s="118"/>
      <c r="D46" s="118"/>
      <c r="E46" s="118"/>
      <c r="F46" s="66"/>
      <c r="G46" s="66"/>
      <c r="H46" s="66"/>
      <c r="I46" s="66"/>
      <c r="J46" s="165"/>
      <c r="K46" s="56"/>
      <c r="M46" s="1174"/>
    </row>
    <row r="47" spans="1:14" ht="15.75">
      <c r="A47" s="173" t="s">
        <v>102</v>
      </c>
      <c r="B47" s="174" t="s">
        <v>15</v>
      </c>
      <c r="C47" s="115">
        <f>ROUND(SUM(C26)-SUM(C34)+C43,1)</f>
        <v>9162</v>
      </c>
      <c r="D47" s="1105"/>
      <c r="E47" s="115">
        <f>ROUND(SUM(E26)-SUM(E34)+E43,1)</f>
        <v>18999</v>
      </c>
      <c r="F47" s="84"/>
      <c r="G47" s="76">
        <f>ROUND(SUM(G26)-SUM(G34)+G43,1)</f>
        <v>21287.1</v>
      </c>
      <c r="H47" s="84"/>
      <c r="I47" s="76">
        <f>ROUND(SUM(I26)-SUM(I34)+I43,1)</f>
        <v>12125.1</v>
      </c>
      <c r="J47" s="166"/>
      <c r="K47" s="1532">
        <f>ROUND(SUM(G47)-SUM(E47),1)</f>
        <v>2288.1</v>
      </c>
      <c r="M47" s="1174"/>
    </row>
    <row r="48" spans="1:14">
      <c r="A48" s="34"/>
      <c r="B48" s="176"/>
      <c r="C48" s="1793"/>
      <c r="D48" s="2144"/>
      <c r="E48" s="1793"/>
      <c r="F48" s="680"/>
      <c r="G48" s="340"/>
      <c r="H48" s="680"/>
      <c r="I48" s="340"/>
      <c r="J48" s="178"/>
      <c r="K48" s="943" t="s">
        <v>15</v>
      </c>
      <c r="M48" s="1174"/>
    </row>
    <row r="49" spans="1:13" ht="15.75">
      <c r="A49" s="173" t="s">
        <v>103</v>
      </c>
      <c r="B49" s="179" t="s">
        <v>15</v>
      </c>
      <c r="C49" s="115">
        <f>'Exh D General Fund'!C49+'Exh D Special Revenue'!C41+'Exh D Debt Service'!C38+'Exh D Capital Projects'!C39</f>
        <v>14284</v>
      </c>
      <c r="D49" s="2144"/>
      <c r="E49" s="115">
        <f>'Exh D General Fund'!E49+'Exh D Special Revenue'!E41+'Exh D Debt Service'!E38+'Exh D Capital Projects'!E39</f>
        <v>14283</v>
      </c>
      <c r="F49" s="680"/>
      <c r="G49" s="76">
        <f>'Exh D General Fund'!G49+'Exh D Special Revenue'!G41+'Exh D Debt Service'!G38+'Exh D Capital Projects'!G39</f>
        <v>14284.8</v>
      </c>
      <c r="H49" s="680"/>
      <c r="I49" s="76">
        <f>ROUND(SUM(G49-C49),1)</f>
        <v>0.8</v>
      </c>
      <c r="J49" s="166"/>
      <c r="K49" s="1532">
        <f t="shared" ref="K49" si="4">ROUND(SUM(G49)-SUM(E49),1)</f>
        <v>1.8</v>
      </c>
      <c r="M49" s="1174"/>
    </row>
    <row r="50" spans="1:13" ht="16.5" thickBot="1">
      <c r="A50" s="1578" t="s">
        <v>1572</v>
      </c>
      <c r="B50" s="180" t="s">
        <v>15</v>
      </c>
      <c r="C50" s="1486">
        <f>ROUND(SUM(C47:C49),1)</f>
        <v>23446</v>
      </c>
      <c r="D50" s="2059"/>
      <c r="E50" s="1486">
        <f>ROUND(SUM(E47:E49),1)</f>
        <v>33282</v>
      </c>
      <c r="F50" s="181"/>
      <c r="G50" s="98">
        <f>ROUND(SUM(G47:G49),1)</f>
        <v>35571.9</v>
      </c>
      <c r="H50" s="181"/>
      <c r="I50" s="98">
        <f>ROUND(SUM(I47:I49),1)</f>
        <v>12125.9</v>
      </c>
      <c r="J50" s="182"/>
      <c r="K50" s="98">
        <f>ROUND(SUM(K47:K49),1)</f>
        <v>2289.9</v>
      </c>
      <c r="M50" s="1174"/>
    </row>
    <row r="51" spans="1:13" ht="15.75" thickTop="1">
      <c r="A51" s="34"/>
      <c r="B51" s="176"/>
      <c r="C51" s="2145"/>
      <c r="D51" s="2146"/>
      <c r="E51" s="2145"/>
      <c r="F51" s="177"/>
      <c r="G51" s="177"/>
      <c r="H51" s="177"/>
      <c r="I51" s="177"/>
      <c r="J51" s="177"/>
      <c r="K51" s="176"/>
      <c r="M51" s="1174"/>
    </row>
    <row r="52" spans="1:13">
      <c r="A52" s="936" t="s">
        <v>1471</v>
      </c>
      <c r="G52" s="1174"/>
      <c r="K52" s="1197"/>
      <c r="M52" s="1174"/>
    </row>
    <row r="53" spans="1:13">
      <c r="A53" s="936" t="s">
        <v>1570</v>
      </c>
      <c r="G53" s="1174"/>
    </row>
    <row r="54" spans="1:13">
      <c r="A54" s="184"/>
    </row>
    <row r="55" spans="1:13">
      <c r="A55" s="183"/>
      <c r="G55" s="1174"/>
    </row>
    <row r="56" spans="1:13">
      <c r="A56" s="183"/>
    </row>
  </sheetData>
  <mergeCells count="2">
    <mergeCell ref="A5:E5"/>
    <mergeCell ref="C11:I11"/>
  </mergeCells>
  <printOptions horizontalCentered="1"/>
  <pageMargins left="0.7" right="0.7" top="0.75" bottom="1" header="0.5" footer="0.25"/>
  <pageSetup scale="61" firstPageNumber="7" orientation="landscape" useFirstPageNumber="1" r:id="rId1"/>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L55"/>
  <sheetViews>
    <sheetView showGridLines="0" zoomScale="90" workbookViewId="0"/>
  </sheetViews>
  <sheetFormatPr defaultColWidth="8.6640625" defaultRowHeight="15"/>
  <cols>
    <col min="1" max="1" width="45.6640625" style="101" customWidth="1"/>
    <col min="2" max="2" width="2.44140625" style="101" customWidth="1"/>
    <col min="3" max="3" width="15.109375" style="101" customWidth="1"/>
    <col min="4" max="4" width="1.6640625" style="101" customWidth="1"/>
    <col min="5" max="5" width="15.109375" style="101" customWidth="1"/>
    <col min="6" max="6" width="2.6640625" style="101" customWidth="1"/>
    <col min="7" max="7" width="15.109375" style="101" customWidth="1"/>
    <col min="8" max="8" width="5.109375" style="101" customWidth="1"/>
    <col min="9" max="9" width="15.109375" style="101" customWidth="1"/>
    <col min="10" max="10" width="2.109375" style="101" customWidth="1"/>
    <col min="11" max="11" width="15.109375" style="101" customWidth="1"/>
    <col min="12" max="16384" width="8.6640625" style="101"/>
  </cols>
  <sheetData>
    <row r="1" spans="1:11">
      <c r="A1" s="923" t="s">
        <v>963</v>
      </c>
    </row>
    <row r="2" spans="1:11">
      <c r="A2" s="826"/>
    </row>
    <row r="3" spans="1:11" ht="17.25" customHeight="1">
      <c r="A3" s="141" t="s">
        <v>0</v>
      </c>
      <c r="B3" s="142"/>
      <c r="C3" s="142"/>
      <c r="D3" s="143"/>
      <c r="E3" s="142"/>
      <c r="F3" s="143"/>
      <c r="G3" s="143"/>
      <c r="H3" s="143"/>
      <c r="I3" s="143"/>
      <c r="J3" s="143"/>
      <c r="K3" s="144" t="s">
        <v>83</v>
      </c>
    </row>
    <row r="4" spans="1:11" ht="17.25" customHeight="1">
      <c r="A4" s="141" t="s">
        <v>82</v>
      </c>
      <c r="B4" s="142"/>
      <c r="C4" s="142"/>
      <c r="D4" s="143"/>
      <c r="E4" s="142"/>
      <c r="F4" s="143"/>
      <c r="G4" s="143"/>
      <c r="H4" s="143"/>
      <c r="I4" s="144"/>
      <c r="J4" s="145"/>
      <c r="K4" s="823"/>
    </row>
    <row r="5" spans="1:11" ht="17.25" customHeight="1">
      <c r="A5" s="3944" t="str">
        <f>'Exh D-Governmental  '!A5:E5</f>
        <v>FISCAL YEAR 2020-2021</v>
      </c>
      <c r="B5" s="3945"/>
      <c r="C5" s="3945"/>
      <c r="D5" s="3945"/>
      <c r="E5" s="3945"/>
      <c r="F5" s="143"/>
      <c r="G5" s="146"/>
      <c r="H5" s="143"/>
      <c r="I5" s="823"/>
      <c r="J5" s="143"/>
    </row>
    <row r="6" spans="1:11" ht="17.25" customHeight="1">
      <c r="A6" s="1473" t="str">
        <f>'Exh D-Governmental  '!A6</f>
        <v xml:space="preserve">FOR TEN MONTHS ENDED JANUARY 31, 2021    </v>
      </c>
      <c r="B6" s="147"/>
      <c r="C6" s="148"/>
      <c r="D6" s="143"/>
      <c r="E6" s="148"/>
      <c r="F6" s="143"/>
      <c r="G6" s="143"/>
      <c r="H6" s="143"/>
      <c r="I6" s="143"/>
      <c r="J6" s="143"/>
      <c r="K6" s="143"/>
    </row>
    <row r="7" spans="1:11" ht="18">
      <c r="A7" s="191" t="s">
        <v>1364</v>
      </c>
      <c r="B7" s="148"/>
      <c r="C7" s="148"/>
      <c r="D7" s="143"/>
      <c r="E7" s="148"/>
      <c r="F7" s="143"/>
      <c r="G7" s="143"/>
      <c r="H7" s="143"/>
      <c r="I7" s="143"/>
      <c r="J7" s="143"/>
      <c r="K7" s="143"/>
    </row>
    <row r="8" spans="1:11" ht="18">
      <c r="A8" s="149"/>
      <c r="B8" s="143"/>
      <c r="C8" s="143"/>
      <c r="D8" s="143"/>
      <c r="E8" s="143"/>
      <c r="F8" s="143"/>
      <c r="G8" s="143"/>
      <c r="H8" s="143"/>
      <c r="I8" s="143"/>
      <c r="J8" s="143"/>
      <c r="K8" s="143"/>
    </row>
    <row r="9" spans="1:11">
      <c r="A9" s="150"/>
      <c r="B9" s="143"/>
      <c r="C9" s="143"/>
      <c r="D9" s="143"/>
      <c r="E9" s="143"/>
      <c r="F9" s="143"/>
      <c r="G9" s="143"/>
      <c r="H9" s="143"/>
      <c r="I9" s="143"/>
      <c r="J9" s="143"/>
      <c r="K9" s="143"/>
    </row>
    <row r="10" spans="1:11">
      <c r="A10" s="150"/>
      <c r="B10" s="143"/>
      <c r="C10" s="143"/>
      <c r="D10" s="143"/>
      <c r="E10" s="143"/>
      <c r="F10" s="143"/>
      <c r="G10" s="143"/>
      <c r="H10" s="143"/>
      <c r="I10" s="143"/>
      <c r="J10" s="143"/>
      <c r="K10" s="143"/>
    </row>
    <row r="11" spans="1:11" ht="15.75">
      <c r="A11" s="690"/>
      <c r="B11" s="151"/>
      <c r="C11" s="3943" t="s">
        <v>1509</v>
      </c>
      <c r="D11" s="3943"/>
      <c r="E11" s="3943"/>
      <c r="F11" s="3943"/>
      <c r="G11" s="3943"/>
      <c r="H11" s="3943"/>
      <c r="I11" s="3943"/>
      <c r="J11" s="1177"/>
      <c r="K11" s="1173"/>
    </row>
    <row r="12" spans="1:11" ht="15.75">
      <c r="A12" s="690"/>
      <c r="B12" s="151"/>
      <c r="C12" s="152"/>
      <c r="D12" s="152"/>
      <c r="E12" s="152"/>
      <c r="F12" s="152"/>
      <c r="G12" s="152"/>
      <c r="H12" s="152"/>
      <c r="I12" s="153" t="s">
        <v>84</v>
      </c>
      <c r="J12" s="153"/>
      <c r="K12" s="153" t="s">
        <v>84</v>
      </c>
    </row>
    <row r="13" spans="1:11" ht="15.75">
      <c r="A13" s="690"/>
      <c r="B13" s="151"/>
      <c r="C13" s="152"/>
      <c r="D13" s="152"/>
      <c r="E13" s="152"/>
      <c r="F13" s="152"/>
      <c r="G13" s="152"/>
      <c r="H13" s="152"/>
      <c r="I13" s="153" t="s">
        <v>874</v>
      </c>
      <c r="J13" s="153"/>
      <c r="K13" s="153" t="s">
        <v>874</v>
      </c>
    </row>
    <row r="14" spans="1:11" ht="15.75">
      <c r="A14" s="690"/>
      <c r="B14" s="151"/>
      <c r="C14" s="154" t="s">
        <v>1075</v>
      </c>
      <c r="D14" s="152"/>
      <c r="E14" s="153" t="s">
        <v>1076</v>
      </c>
      <c r="F14" s="152"/>
      <c r="G14" s="152"/>
      <c r="H14" s="152"/>
      <c r="I14" s="153" t="s">
        <v>85</v>
      </c>
      <c r="J14" s="153"/>
      <c r="K14" s="153" t="s">
        <v>85</v>
      </c>
    </row>
    <row r="15" spans="1:11" ht="15.75">
      <c r="A15" s="690"/>
      <c r="B15" s="151"/>
      <c r="C15" s="199" t="s">
        <v>1112</v>
      </c>
      <c r="D15" s="198"/>
      <c r="E15" s="199" t="s">
        <v>1112</v>
      </c>
      <c r="F15" s="152"/>
      <c r="G15" s="152"/>
      <c r="H15" s="152"/>
      <c r="I15" s="153" t="s">
        <v>1075</v>
      </c>
      <c r="J15" s="153"/>
      <c r="K15" s="153" t="s">
        <v>1076</v>
      </c>
    </row>
    <row r="16" spans="1:11" ht="15.75">
      <c r="A16" s="690"/>
      <c r="B16" s="151"/>
      <c r="C16" s="199" t="s">
        <v>1113</v>
      </c>
      <c r="D16" s="198"/>
      <c r="E16" s="153" t="s">
        <v>1504</v>
      </c>
      <c r="F16" s="152"/>
      <c r="G16" s="154" t="s">
        <v>84</v>
      </c>
      <c r="H16" s="152"/>
      <c r="I16" s="153" t="s">
        <v>86</v>
      </c>
      <c r="J16" s="153"/>
      <c r="K16" s="153" t="s">
        <v>86</v>
      </c>
    </row>
    <row r="17" spans="1:12">
      <c r="A17" s="155"/>
      <c r="B17" s="156"/>
      <c r="C17" s="1641"/>
      <c r="D17" s="148"/>
      <c r="E17" s="1641"/>
      <c r="F17" s="143"/>
      <c r="G17" s="157"/>
      <c r="H17" s="143"/>
      <c r="I17" s="157"/>
      <c r="J17" s="156"/>
      <c r="K17" s="157"/>
    </row>
    <row r="18" spans="1:12" ht="15.75">
      <c r="A18" s="29" t="s">
        <v>14</v>
      </c>
      <c r="B18" s="924"/>
      <c r="C18" s="1642"/>
      <c r="D18" s="1642"/>
      <c r="E18" s="1642"/>
      <c r="F18" s="657"/>
      <c r="G18" s="657"/>
      <c r="H18" s="657"/>
      <c r="I18" s="924"/>
      <c r="J18" s="657"/>
      <c r="K18" s="924"/>
    </row>
    <row r="19" spans="1:12" ht="15" customHeight="1">
      <c r="A19" s="820" t="s">
        <v>87</v>
      </c>
      <c r="B19" s="925" t="s">
        <v>15</v>
      </c>
      <c r="C19" s="2147"/>
      <c r="D19" s="1936"/>
      <c r="E19" s="2147"/>
      <c r="F19" s="925"/>
      <c r="G19" s="926"/>
      <c r="H19" s="925"/>
      <c r="I19" s="1196"/>
      <c r="J19" s="926"/>
      <c r="K19" s="1196"/>
    </row>
    <row r="20" spans="1:12">
      <c r="A20" s="820" t="s">
        <v>88</v>
      </c>
      <c r="B20" s="925" t="s">
        <v>15</v>
      </c>
      <c r="C20" s="894">
        <f>'Exh D General Fund'!C20+'Exh D Special Revenue State Fed'!C20+'Exh D Debt Service'!C20</f>
        <v>42554</v>
      </c>
      <c r="D20" s="893"/>
      <c r="E20" s="894">
        <f>'Exh D General Fund'!E20+'Exh D Special Revenue State Fed'!E20+'Exh D Debt Service'!E20</f>
        <v>44830</v>
      </c>
      <c r="F20" s="660"/>
      <c r="G20" s="658">
        <f>+'Exh A Supp'!T15</f>
        <v>46251.199999999997</v>
      </c>
      <c r="H20" s="660"/>
      <c r="I20" s="971">
        <f t="shared" ref="I20:I25" si="0">ROUND(SUM(G20)-SUM(C20),1)</f>
        <v>3697.2</v>
      </c>
      <c r="J20" s="927"/>
      <c r="K20" s="971">
        <f>ROUND(SUM(G20)-SUM(E20),1)</f>
        <v>1421.2</v>
      </c>
    </row>
    <row r="21" spans="1:12">
      <c r="A21" s="820" t="s">
        <v>89</v>
      </c>
      <c r="B21" s="924" t="s">
        <v>15</v>
      </c>
      <c r="C21" s="895">
        <f>'Exh D General Fund'!C21+'Exh D Special Revenue State Fed'!C21+'Exh D Debt Service'!C21</f>
        <v>12479</v>
      </c>
      <c r="D21" s="895"/>
      <c r="E21" s="895">
        <f>'Exh D General Fund'!E21+'Exh D Special Revenue State Fed'!E21+'Exh D Debt Service'!E21</f>
        <v>13014</v>
      </c>
      <c r="F21" s="643"/>
      <c r="G21" s="643">
        <f>+'Exh A Supp'!T16</f>
        <v>13054.7</v>
      </c>
      <c r="H21" s="643"/>
      <c r="I21" s="943">
        <f t="shared" si="0"/>
        <v>575.70000000000005</v>
      </c>
      <c r="J21" s="927"/>
      <c r="K21" s="943">
        <f>ROUND(SUM(G21)-SUM(E21),1)</f>
        <v>40.700000000000003</v>
      </c>
    </row>
    <row r="22" spans="1:12" ht="15" customHeight="1">
      <c r="A22" s="820" t="s">
        <v>90</v>
      </c>
      <c r="B22" s="925" t="s">
        <v>15</v>
      </c>
      <c r="C22" s="895">
        <f>'Exh D General Fund'!C22+'Exh D Special Revenue State Fed'!C22</f>
        <v>5958</v>
      </c>
      <c r="D22" s="684"/>
      <c r="E22" s="895">
        <f>'Exh D General Fund'!E22+'Exh D Special Revenue State Fed'!E22</f>
        <v>5656</v>
      </c>
      <c r="F22" s="681"/>
      <c r="G22" s="643">
        <f>+'Exh A Supp'!T17</f>
        <v>5795.5</v>
      </c>
      <c r="H22" s="681"/>
      <c r="I22" s="943">
        <f t="shared" si="0"/>
        <v>-162.5</v>
      </c>
      <c r="J22" s="927"/>
      <c r="K22" s="943">
        <f>ROUND(SUM(G22)-SUM(E22),1)</f>
        <v>139.5</v>
      </c>
    </row>
    <row r="23" spans="1:12" ht="14.25" customHeight="1">
      <c r="A23" s="820" t="s">
        <v>91</v>
      </c>
      <c r="B23" s="924" t="s">
        <v>15</v>
      </c>
      <c r="C23" s="895">
        <f>'Exh D General Fund'!C23+'Exh D Debt Service'!C22</f>
        <v>1634</v>
      </c>
      <c r="D23" s="895"/>
      <c r="E23" s="895">
        <f>'Exh D General Fund'!E23+'Exh D Debt Service'!E22</f>
        <v>1859</v>
      </c>
      <c r="F23" s="643"/>
      <c r="G23" s="643">
        <f>+'Exh A Supp'!T18</f>
        <v>1935.6</v>
      </c>
      <c r="H23" s="643"/>
      <c r="I23" s="943">
        <f t="shared" si="0"/>
        <v>301.60000000000002</v>
      </c>
      <c r="J23" s="927"/>
      <c r="K23" s="943">
        <f t="shared" ref="K23:K25" si="1">ROUND(SUM(G23)-SUM(E23),1)</f>
        <v>76.599999999999994</v>
      </c>
    </row>
    <row r="24" spans="1:12">
      <c r="A24" s="820" t="s">
        <v>20</v>
      </c>
      <c r="B24" s="924" t="s">
        <v>15</v>
      </c>
      <c r="C24" s="895">
        <f>'Exh D General Fund'!C24+'Exh D Special Revenue State Fed'!C23+'Exh D Debt Service'!C23</f>
        <v>19574</v>
      </c>
      <c r="D24" s="895"/>
      <c r="E24" s="895">
        <f>'Exh D General Fund'!E24+'Exh D Special Revenue State Fed'!E23+'Exh D Debt Service'!E23</f>
        <v>20751</v>
      </c>
      <c r="F24" s="643"/>
      <c r="G24" s="643">
        <f>+'Exh A Supp'!T19</f>
        <v>20735.3</v>
      </c>
      <c r="H24" s="643"/>
      <c r="I24" s="943">
        <f t="shared" si="0"/>
        <v>1161.3</v>
      </c>
      <c r="J24" s="815"/>
      <c r="K24" s="943">
        <f t="shared" si="1"/>
        <v>-15.7</v>
      </c>
    </row>
    <row r="25" spans="1:12" ht="15" customHeight="1">
      <c r="A25" s="820" t="s">
        <v>21</v>
      </c>
      <c r="B25" s="924" t="s">
        <v>15</v>
      </c>
      <c r="C25" s="685">
        <f>'Exh D General Fund'!C25+'Exh D Special Revenue State Fed'!C24+'Exh D Debt Service'!C24</f>
        <v>12</v>
      </c>
      <c r="D25" s="895"/>
      <c r="E25" s="685">
        <f>'Exh D General Fund'!E25+'Exh D Special Revenue State Fed'!E24+'Exh D Debt Service'!E24</f>
        <v>20</v>
      </c>
      <c r="F25" s="643"/>
      <c r="G25" s="643">
        <f>+'Exh A Supp'!T20</f>
        <v>44.3</v>
      </c>
      <c r="H25" s="643"/>
      <c r="I25" s="943">
        <f t="shared" si="0"/>
        <v>32.299999999999997</v>
      </c>
      <c r="J25" s="815"/>
      <c r="K25" s="943">
        <f t="shared" si="1"/>
        <v>24.3</v>
      </c>
    </row>
    <row r="26" spans="1:12" ht="15.75">
      <c r="A26" s="173" t="s">
        <v>92</v>
      </c>
      <c r="B26" s="151" t="s">
        <v>15</v>
      </c>
      <c r="C26" s="1484">
        <f>ROUND(SUM(C20:C25),1)</f>
        <v>82211</v>
      </c>
      <c r="D26" s="112"/>
      <c r="E26" s="1484">
        <f>ROUND(SUM(E20:E25),1)</f>
        <v>86130</v>
      </c>
      <c r="F26" s="922"/>
      <c r="G26" s="215">
        <f>ROUND(SUM(G20:G25),1)</f>
        <v>87816.6</v>
      </c>
      <c r="H26" s="922"/>
      <c r="I26" s="215">
        <f>ROUND(SUM(I20:I25),1)</f>
        <v>5605.6</v>
      </c>
      <c r="J26" s="166"/>
      <c r="K26" s="215">
        <f>ROUND(SUM(K20:K25),1)</f>
        <v>1686.6</v>
      </c>
      <c r="L26" s="355"/>
    </row>
    <row r="27" spans="1:12">
      <c r="A27" s="690"/>
      <c r="B27" s="924" t="s">
        <v>15</v>
      </c>
      <c r="C27" s="1042"/>
      <c r="D27" s="895"/>
      <c r="E27" s="1042"/>
      <c r="F27" s="643"/>
      <c r="G27" s="688"/>
      <c r="H27" s="643"/>
      <c r="I27" s="688"/>
      <c r="J27" s="668"/>
      <c r="K27" s="688"/>
    </row>
    <row r="28" spans="1:12" ht="15.75">
      <c r="A28" s="29" t="s">
        <v>23</v>
      </c>
      <c r="B28" s="924" t="s">
        <v>15</v>
      </c>
      <c r="C28" s="895"/>
      <c r="D28" s="895"/>
      <c r="E28" s="895"/>
      <c r="F28" s="643"/>
      <c r="G28" s="643"/>
      <c r="H28" s="643"/>
      <c r="I28" s="943"/>
      <c r="J28" s="815"/>
      <c r="K28" s="943"/>
    </row>
    <row r="29" spans="1:12">
      <c r="A29" s="820" t="s">
        <v>93</v>
      </c>
      <c r="B29" s="924" t="s">
        <v>15</v>
      </c>
      <c r="C29" s="685">
        <f>'Exh D General Fund'!C34+'Exh D Special Revenue State Fed'!C29</f>
        <v>49399</v>
      </c>
      <c r="D29" s="895"/>
      <c r="E29" s="685">
        <f>'Exh D General Fund'!E34+'Exh D Special Revenue State Fed'!E29</f>
        <v>48576</v>
      </c>
      <c r="F29" s="643"/>
      <c r="G29" s="686">
        <f>+'Exh A Supp'!T35</f>
        <v>47868.4</v>
      </c>
      <c r="H29" s="643"/>
      <c r="I29" s="943">
        <f>ROUND(SUM(G29)-SUM(C29),1)</f>
        <v>-1530.6</v>
      </c>
      <c r="J29" s="815"/>
      <c r="K29" s="943">
        <f t="shared" ref="K29:K33" si="2">ROUND(SUM(G29)-SUM(E29),1)</f>
        <v>-707.6</v>
      </c>
      <c r="L29" s="355"/>
    </row>
    <row r="30" spans="1:12">
      <c r="A30" s="820" t="s">
        <v>94</v>
      </c>
      <c r="B30" s="924" t="s">
        <v>15</v>
      </c>
      <c r="C30" s="684">
        <f>'Exh D General Fund'!C35+'Exh D Special Revenue State Fed'!C30+'Exh D Debt Service'!C29</f>
        <v>15878</v>
      </c>
      <c r="D30" s="895"/>
      <c r="E30" s="684">
        <f>'Exh D General Fund'!E35+'Exh D Special Revenue State Fed'!E30+'Exh D Debt Service'!E29</f>
        <v>13625</v>
      </c>
      <c r="F30" s="643"/>
      <c r="G30" s="681">
        <f>+'Exh A Supp'!T37+'Exh A Supp'!T38</f>
        <v>13510</v>
      </c>
      <c r="H30" s="643"/>
      <c r="I30" s="943">
        <f>ROUND(SUM(G30)-SUM(C30),1)</f>
        <v>-2368</v>
      </c>
      <c r="J30" s="815"/>
      <c r="K30" s="943">
        <f t="shared" si="2"/>
        <v>-115</v>
      </c>
      <c r="L30" s="355"/>
    </row>
    <row r="31" spans="1:12">
      <c r="A31" s="820" t="s">
        <v>69</v>
      </c>
      <c r="B31" s="924" t="s">
        <v>15</v>
      </c>
      <c r="C31" s="685">
        <f>'Exh D General Fund'!C36+'Exh D Special Revenue State Fed'!C31</f>
        <v>7035</v>
      </c>
      <c r="D31" s="895"/>
      <c r="E31" s="685">
        <f>'Exh D General Fund'!E36+'Exh D Special Revenue State Fed'!E31</f>
        <v>5719</v>
      </c>
      <c r="F31" s="643"/>
      <c r="G31" s="686">
        <f>+'Exh A Supp'!T39</f>
        <v>5838.9</v>
      </c>
      <c r="H31" s="643"/>
      <c r="I31" s="943">
        <f>ROUND(SUM(G31)-SUM(C31),1)</f>
        <v>-1196.0999999999999</v>
      </c>
      <c r="J31" s="815"/>
      <c r="K31" s="943">
        <f t="shared" si="2"/>
        <v>119.9</v>
      </c>
      <c r="L31" s="355"/>
    </row>
    <row r="32" spans="1:12">
      <c r="A32" s="820" t="s">
        <v>95</v>
      </c>
      <c r="B32" s="924" t="s">
        <v>15</v>
      </c>
      <c r="C32" s="684">
        <f>'Exh D Debt Service'!C30</f>
        <v>1609</v>
      </c>
      <c r="D32" s="895"/>
      <c r="E32" s="684">
        <f>'Exh D Debt Service'!E30</f>
        <v>2590</v>
      </c>
      <c r="F32" s="643"/>
      <c r="G32" s="686">
        <f>+'Exh A Supp'!T41</f>
        <v>2589.6</v>
      </c>
      <c r="H32" s="643"/>
      <c r="I32" s="943">
        <f>ROUND(SUM(G32)-SUM(C32),1)</f>
        <v>980.6</v>
      </c>
      <c r="J32" s="815"/>
      <c r="K32" s="943">
        <f t="shared" si="2"/>
        <v>-0.4</v>
      </c>
      <c r="L32" s="355"/>
    </row>
    <row r="33" spans="1:12">
      <c r="A33" s="820" t="s">
        <v>42</v>
      </c>
      <c r="B33" s="924"/>
      <c r="C33" s="684">
        <f>'Exh D Special Revenue State Fed'!C33</f>
        <v>0</v>
      </c>
      <c r="D33" s="895"/>
      <c r="E33" s="684">
        <f>'Exh D Special Revenue State Fed'!E33</f>
        <v>0</v>
      </c>
      <c r="F33" s="1531"/>
      <c r="G33" s="686">
        <f>'Exh D Special Revenue State Fed'!G33</f>
        <v>0</v>
      </c>
      <c r="H33" s="1531"/>
      <c r="I33" s="943">
        <f>ROUND(SUM(G33)-SUM(C33),1)</f>
        <v>0</v>
      </c>
      <c r="J33" s="815"/>
      <c r="K33" s="943">
        <f t="shared" si="2"/>
        <v>0</v>
      </c>
      <c r="L33" s="355"/>
    </row>
    <row r="34" spans="1:12" ht="15.75" customHeight="1">
      <c r="A34" s="173" t="s">
        <v>96</v>
      </c>
      <c r="B34" s="151" t="s">
        <v>15</v>
      </c>
      <c r="C34" s="1096">
        <f>ROUND(SUM(C29:C33),1)</f>
        <v>73921</v>
      </c>
      <c r="D34" s="112"/>
      <c r="E34" s="1096">
        <f>ROUND(SUM(E29:E33),1)</f>
        <v>70510</v>
      </c>
      <c r="F34" s="922"/>
      <c r="G34" s="294">
        <f>ROUND(SUM(G29:G33),1)</f>
        <v>69806.899999999994</v>
      </c>
      <c r="H34" s="922"/>
      <c r="I34" s="294">
        <f>ROUND(SUM(I29:I33),1)</f>
        <v>-4114.1000000000004</v>
      </c>
      <c r="J34" s="166"/>
      <c r="K34" s="294">
        <f>ROUND(SUM(K29:K33),1)</f>
        <v>-703.1</v>
      </c>
      <c r="L34" s="355"/>
    </row>
    <row r="35" spans="1:12">
      <c r="A35" s="690"/>
      <c r="B35" s="924"/>
      <c r="C35" s="895"/>
      <c r="D35" s="895"/>
      <c r="E35" s="895"/>
      <c r="F35" s="643"/>
      <c r="G35" s="643"/>
      <c r="H35" s="643"/>
      <c r="I35" s="943"/>
      <c r="J35" s="815"/>
      <c r="K35" s="943"/>
      <c r="L35" s="355"/>
    </row>
    <row r="36" spans="1:12" ht="15.75">
      <c r="A36" s="173" t="s">
        <v>44</v>
      </c>
      <c r="B36" s="924"/>
      <c r="C36" s="895"/>
      <c r="D36" s="895"/>
      <c r="E36" s="895"/>
      <c r="F36" s="643"/>
      <c r="G36" s="643"/>
      <c r="H36" s="643"/>
      <c r="I36" s="943"/>
      <c r="J36" s="815"/>
      <c r="K36" s="943"/>
      <c r="L36" s="355"/>
    </row>
    <row r="37" spans="1:12" ht="15.75">
      <c r="A37" s="173" t="s">
        <v>45</v>
      </c>
      <c r="B37" s="924" t="s">
        <v>15</v>
      </c>
      <c r="C37" s="1107">
        <f>ROUND(SUM(+C26-C34),1)</f>
        <v>8290</v>
      </c>
      <c r="D37" s="895"/>
      <c r="E37" s="1107">
        <f>ROUND(SUM(+E26-E34),1)</f>
        <v>15620</v>
      </c>
      <c r="F37" s="643"/>
      <c r="G37" s="829">
        <f>ROUND(SUM(+G26-G34),1)</f>
        <v>18009.7</v>
      </c>
      <c r="H37" s="643"/>
      <c r="I37" s="829">
        <f>ROUND(SUM(+I26-I34),1)</f>
        <v>9719.7000000000007</v>
      </c>
      <c r="J37" s="668"/>
      <c r="K37" s="829">
        <f>ROUND(SUM(+K26-K34),1)</f>
        <v>2389.6999999999998</v>
      </c>
      <c r="L37" s="355"/>
    </row>
    <row r="38" spans="1:12">
      <c r="A38" s="690"/>
      <c r="B38" s="924"/>
      <c r="C38" s="895"/>
      <c r="D38" s="895"/>
      <c r="E38" s="895"/>
      <c r="F38" s="643"/>
      <c r="G38" s="643"/>
      <c r="H38" s="643"/>
      <c r="I38" s="943"/>
      <c r="J38" s="815"/>
      <c r="K38" s="943"/>
      <c r="L38" s="355"/>
    </row>
    <row r="39" spans="1:12" ht="15.75">
      <c r="A39" s="173" t="s">
        <v>46</v>
      </c>
      <c r="B39" s="924"/>
      <c r="C39" s="895"/>
      <c r="D39" s="895"/>
      <c r="E39" s="895"/>
      <c r="F39" s="643"/>
      <c r="G39" s="643"/>
      <c r="H39" s="643"/>
      <c r="I39" s="943"/>
      <c r="J39" s="815"/>
      <c r="K39" s="943"/>
      <c r="L39" s="355"/>
    </row>
    <row r="40" spans="1:12">
      <c r="A40" s="820" t="s">
        <v>47</v>
      </c>
      <c r="B40" s="924" t="s">
        <v>15</v>
      </c>
      <c r="C40" s="684">
        <f>'Exh D General Fund'!C27+'Exh D General Fund'!C28+'Exh D General Fund'!C29+'Exh D General Fund'!C30+'Exh D Special Revenue State Fed'!C25+'Exh D Debt Service'!C25</f>
        <v>26211</v>
      </c>
      <c r="D40" s="895"/>
      <c r="E40" s="684">
        <f>'Exh D General Fund'!E27+'Exh D General Fund'!E28+'Exh D General Fund'!E29+'Exh D General Fund'!E30+'Exh D Special Revenue State Fed'!E25+'Exh D Debt Service'!E25</f>
        <v>25957</v>
      </c>
      <c r="F40" s="643"/>
      <c r="G40" s="681">
        <f>+'Exh A Supp'!T49</f>
        <v>26494</v>
      </c>
      <c r="H40" s="1361" t="s">
        <v>1510</v>
      </c>
      <c r="I40" s="943">
        <f>ROUND(SUM(G40)-SUM(C40),1)</f>
        <v>283</v>
      </c>
      <c r="J40" s="815"/>
      <c r="K40" s="943">
        <f t="shared" ref="K40" si="3">ROUND(SUM(G40)-SUM(E40),1)</f>
        <v>537</v>
      </c>
      <c r="L40" s="355"/>
    </row>
    <row r="41" spans="1:12">
      <c r="A41" s="820" t="s">
        <v>98</v>
      </c>
      <c r="B41" s="924" t="s">
        <v>15</v>
      </c>
      <c r="C41" s="1483">
        <f>-('Exh D General Fund'!C38+'Exh D General Fund'!C39+'Exh D General Fund'!C40+'Exh D General Fund'!C41+'Exh D General Fund'!C42+'Exh D Special Revenue State Fed'!C34+'Exh D Debt Service'!C31)</f>
        <v>-26585</v>
      </c>
      <c r="D41" s="895"/>
      <c r="E41" s="1483">
        <f>-('Exh D General Fund'!E38+'Exh D General Fund'!E39+'Exh D General Fund'!E40+'Exh D General Fund'!E41+'Exh D General Fund'!E42+'Exh D Special Revenue State Fed'!E34+'Exh D Debt Service'!E31)</f>
        <v>-26770</v>
      </c>
      <c r="F41" s="643"/>
      <c r="G41" s="681">
        <f>+'Exh A Supp'!T50</f>
        <v>-27065.5</v>
      </c>
      <c r="H41" s="1361" t="s">
        <v>1510</v>
      </c>
      <c r="I41" s="943">
        <f>-ROUND(SUM(G41)-SUM(C41),1)</f>
        <v>480.5</v>
      </c>
      <c r="J41" s="668"/>
      <c r="K41" s="943">
        <f>-ROUND(SUM(G41)-SUM(E41),1)</f>
        <v>295.5</v>
      </c>
      <c r="L41" s="355"/>
    </row>
    <row r="42" spans="1:12" ht="15.75">
      <c r="A42" s="173" t="s">
        <v>99</v>
      </c>
      <c r="B42" s="924" t="s">
        <v>15</v>
      </c>
      <c r="C42" s="1096">
        <f>ROUND(SUM(C40:C41),1)</f>
        <v>-374</v>
      </c>
      <c r="D42" s="895"/>
      <c r="E42" s="1096">
        <f>ROUND(SUM(E40:E41),1)</f>
        <v>-813</v>
      </c>
      <c r="F42" s="643"/>
      <c r="G42" s="294">
        <f>ROUND(SUM(G40:G41),1)</f>
        <v>-571.5</v>
      </c>
      <c r="H42" s="643"/>
      <c r="I42" s="294">
        <f>ROUND(SUM(I40-I41),1)</f>
        <v>-197.5</v>
      </c>
      <c r="J42" s="930"/>
      <c r="K42" s="294">
        <f>ROUND(SUM(K40-K41),1)</f>
        <v>241.5</v>
      </c>
      <c r="L42" s="355"/>
    </row>
    <row r="43" spans="1:12" ht="15.75">
      <c r="A43" s="173"/>
      <c r="B43" s="924"/>
      <c r="C43" s="684"/>
      <c r="D43" s="895"/>
      <c r="E43" s="684"/>
      <c r="F43" s="643"/>
      <c r="G43" s="681"/>
      <c r="H43" s="643"/>
      <c r="I43" s="944"/>
      <c r="J43" s="925"/>
      <c r="K43" s="944"/>
      <c r="L43" s="355"/>
    </row>
    <row r="44" spans="1:12" ht="15.75">
      <c r="A44" s="29" t="s">
        <v>100</v>
      </c>
      <c r="B44" s="924"/>
      <c r="C44" s="895"/>
      <c r="D44" s="895"/>
      <c r="E44" s="895"/>
      <c r="F44" s="643"/>
      <c r="G44" s="643"/>
      <c r="H44" s="643"/>
      <c r="I44" s="943"/>
      <c r="J44" s="815"/>
      <c r="K44" s="943"/>
      <c r="L44" s="355"/>
    </row>
    <row r="45" spans="1:12" ht="15" customHeight="1">
      <c r="A45" s="29" t="s">
        <v>101</v>
      </c>
      <c r="B45" s="924"/>
      <c r="C45" s="895"/>
      <c r="D45" s="895"/>
      <c r="E45" s="895"/>
      <c r="F45" s="643"/>
      <c r="G45" s="643"/>
      <c r="H45" s="643"/>
      <c r="I45" s="943"/>
      <c r="J45" s="815"/>
      <c r="K45" s="943"/>
      <c r="L45" s="355"/>
    </row>
    <row r="46" spans="1:12" ht="15.75">
      <c r="A46" s="173" t="s">
        <v>102</v>
      </c>
      <c r="B46" s="174" t="s">
        <v>15</v>
      </c>
      <c r="C46" s="115">
        <f>ROUND(SUM(C26)-SUM(C34)+C42,1)</f>
        <v>7916</v>
      </c>
      <c r="D46" s="1105"/>
      <c r="E46" s="115">
        <f>ROUND(SUM(E26)-SUM(E34)+E42,1)</f>
        <v>14807</v>
      </c>
      <c r="F46" s="84"/>
      <c r="G46" s="76">
        <f>ROUND(SUM(G26)-SUM(G34)+G42,1)</f>
        <v>17438.2</v>
      </c>
      <c r="H46" s="84"/>
      <c r="I46" s="76">
        <f>ROUND(SUM(I26)-SUM(I34)+I42,1)</f>
        <v>9522.2000000000007</v>
      </c>
      <c r="J46" s="166"/>
      <c r="K46" s="76">
        <f>ROUND(SUM(K26)-SUM(K34)+K42,1)</f>
        <v>2631.2</v>
      </c>
      <c r="L46" s="355"/>
    </row>
    <row r="47" spans="1:12">
      <c r="A47" s="931"/>
      <c r="B47" s="622"/>
      <c r="C47" s="1485"/>
      <c r="D47" s="1651"/>
      <c r="E47" s="1485"/>
      <c r="F47" s="932"/>
      <c r="G47" s="670"/>
      <c r="H47" s="932"/>
      <c r="I47" s="670"/>
      <c r="J47" s="933"/>
      <c r="K47" s="670"/>
      <c r="L47" s="355"/>
    </row>
    <row r="48" spans="1:12" ht="15.75">
      <c r="A48" s="173" t="str">
        <f>'Exh D-Governmental  '!A49</f>
        <v>Fund Balances (Deficits) at April 1</v>
      </c>
      <c r="B48" s="934" t="s">
        <v>15</v>
      </c>
      <c r="C48" s="115">
        <f>'Exh D General Fund'!C49+'Exh D Special Revenue State Fed'!C41+'Exh D Debt Service'!C38</f>
        <v>14408</v>
      </c>
      <c r="D48" s="1651"/>
      <c r="E48" s="115">
        <f>'Exh D General Fund'!E49+'Exh D Special Revenue State Fed'!E41+'Exh D Debt Service'!E38</f>
        <v>14407</v>
      </c>
      <c r="F48" s="932"/>
      <c r="G48" s="76">
        <f>'Exh A Supp'!T57</f>
        <v>14408.3</v>
      </c>
      <c r="H48" s="932"/>
      <c r="I48" s="829">
        <f>ROUND(SUM(G48)-SUM(C48),1)</f>
        <v>0.3</v>
      </c>
      <c r="J48" s="166"/>
      <c r="K48" s="1532">
        <f>ROUND(SUM(G48)-SUM(E48),1)</f>
        <v>1.3</v>
      </c>
      <c r="L48" s="355"/>
    </row>
    <row r="49" spans="1:12" ht="16.5" thickBot="1">
      <c r="A49" s="173" t="str">
        <f>'Exh D-Governmental  '!A50</f>
        <v>Fund Balances (Deficits) at January 31, 2021</v>
      </c>
      <c r="B49" s="180" t="s">
        <v>15</v>
      </c>
      <c r="C49" s="1486">
        <f>ROUND(SUM(C46:C48),1)</f>
        <v>22324</v>
      </c>
      <c r="D49" s="2059"/>
      <c r="E49" s="1486">
        <f>ROUND(SUM(E46:E48),1)</f>
        <v>29214</v>
      </c>
      <c r="F49" s="181"/>
      <c r="G49" s="98">
        <f>ROUND(SUM(G46:G48),1)</f>
        <v>31846.5</v>
      </c>
      <c r="H49" s="975"/>
      <c r="I49" s="98">
        <f>ROUND(SUM(I46:I48),1)</f>
        <v>9522.5</v>
      </c>
      <c r="J49" s="182"/>
      <c r="K49" s="98">
        <f>ROUND(SUM(K46:K48),1)</f>
        <v>2632.5</v>
      </c>
      <c r="L49" s="355"/>
    </row>
    <row r="50" spans="1:12" ht="15.75" thickTop="1">
      <c r="A50" s="931"/>
      <c r="B50" s="622"/>
      <c r="C50" s="1941"/>
      <c r="D50" s="951"/>
      <c r="E50" s="1941"/>
      <c r="F50" s="935"/>
      <c r="G50" s="935"/>
      <c r="H50" s="935"/>
      <c r="I50" s="935"/>
      <c r="J50" s="935"/>
      <c r="K50" s="935"/>
    </row>
    <row r="51" spans="1:12">
      <c r="A51" s="936" t="str">
        <f>'Exh D-Governmental  '!A52</f>
        <v>(*)    Source: 2020-21 Enacted Financial Plan dated April 25, 2020.</v>
      </c>
      <c r="G51" s="1174"/>
      <c r="I51" s="1174"/>
      <c r="K51" s="1174"/>
    </row>
    <row r="52" spans="1:12">
      <c r="A52" s="936" t="str">
        <f>'Exh D-Governmental  '!A53</f>
        <v>(**)   Source: 2021-22 Executive Budget dated January 19, 2021.</v>
      </c>
      <c r="G52" s="1174"/>
      <c r="I52" s="1174"/>
      <c r="K52" s="1174"/>
    </row>
    <row r="53" spans="1:12">
      <c r="A53" s="612" t="s">
        <v>1511</v>
      </c>
      <c r="I53" s="1174"/>
      <c r="K53" s="1174"/>
    </row>
    <row r="54" spans="1:12">
      <c r="A54" s="612" t="s">
        <v>1191</v>
      </c>
    </row>
    <row r="55" spans="1:12">
      <c r="A55" s="1491" t="s">
        <v>1512</v>
      </c>
      <c r="G55" s="1174"/>
    </row>
  </sheetData>
  <mergeCells count="2">
    <mergeCell ref="A5:E5"/>
    <mergeCell ref="C11:I11"/>
  </mergeCells>
  <printOptions horizontalCentered="1"/>
  <pageMargins left="0.7" right="0.7" top="0.75" bottom="1" header="0.3" footer="0.3"/>
  <pageSetup scale="59" firstPageNumber="8" orientation="landscape" useFirstPageNumber="1" r:id="rId1"/>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K60"/>
  <sheetViews>
    <sheetView showGridLines="0" zoomScale="80" workbookViewId="0"/>
  </sheetViews>
  <sheetFormatPr defaultColWidth="8.6640625" defaultRowHeight="15"/>
  <cols>
    <col min="1" max="1" width="59" style="931" customWidth="1"/>
    <col min="2" max="2" width="2" style="622" customWidth="1"/>
    <col min="3" max="3" width="15.109375" style="425" customWidth="1"/>
    <col min="4" max="4" width="1.6640625" style="935" customWidth="1"/>
    <col min="5" max="5" width="15.109375" style="425" customWidth="1"/>
    <col min="6" max="6" width="2.6640625" style="935" customWidth="1"/>
    <col min="7" max="7" width="15.109375" style="935" customWidth="1"/>
    <col min="8" max="8" width="4.6640625" style="935" customWidth="1"/>
    <col min="9" max="9" width="15.109375" style="935" customWidth="1"/>
    <col min="10" max="10" width="2.109375" style="935" customWidth="1"/>
    <col min="11" max="11" width="12.6640625" style="622" customWidth="1"/>
    <col min="12" max="12" width="18.109375" style="425" bestFit="1" customWidth="1"/>
    <col min="13" max="13" width="2.6640625" style="935" customWidth="1"/>
    <col min="14" max="14" width="14.109375" style="935" customWidth="1"/>
    <col min="15" max="15" width="2.6640625" style="935" customWidth="1"/>
    <col min="16" max="16" width="15.6640625" style="935" bestFit="1" customWidth="1"/>
    <col min="17" max="17" width="2" style="622" customWidth="1"/>
    <col min="18" max="18" width="11.6640625" style="622" customWidth="1"/>
    <col min="19" max="19" width="11.44140625" style="622" customWidth="1"/>
    <col min="20" max="20" width="1.6640625" style="622" customWidth="1"/>
    <col min="21" max="21" width="11.6640625" style="622" customWidth="1"/>
    <col min="22" max="22" width="2.109375" style="622" customWidth="1"/>
    <col min="23" max="23" width="11.44140625" style="622" customWidth="1"/>
    <col min="24" max="24" width="0.5546875" style="622" customWidth="1"/>
    <col min="25" max="25" width="2.109375" style="622" customWidth="1"/>
    <col min="26" max="26" width="10.5546875" style="622" customWidth="1"/>
    <col min="27" max="27" width="11.109375" style="622" customWidth="1"/>
    <col min="28" max="28" width="2.109375" style="622" customWidth="1"/>
    <col min="29" max="29" width="11.109375" style="622" customWidth="1"/>
    <col min="30" max="30" width="2.109375" style="622" customWidth="1"/>
    <col min="31" max="31" width="12.44140625" style="622" customWidth="1"/>
    <col min="32" max="36" width="8.6640625" style="622"/>
    <col min="37" max="37" width="8.6640625" style="935"/>
    <col min="38" max="16384" width="8.6640625" style="931"/>
  </cols>
  <sheetData>
    <row r="1" spans="1:31">
      <c r="A1" s="937" t="s">
        <v>963</v>
      </c>
      <c r="B1" s="186"/>
      <c r="C1" s="419"/>
      <c r="D1" s="187"/>
      <c r="E1" s="419"/>
      <c r="F1" s="187"/>
      <c r="G1" s="187"/>
      <c r="H1" s="187"/>
      <c r="I1" s="187"/>
      <c r="J1" s="187"/>
      <c r="K1" s="186"/>
      <c r="L1" s="419"/>
      <c r="M1" s="187"/>
      <c r="N1" s="187"/>
      <c r="O1" s="187"/>
      <c r="P1" s="187"/>
      <c r="Q1" s="187"/>
      <c r="R1" s="186"/>
      <c r="S1" s="186"/>
      <c r="T1" s="186"/>
      <c r="U1" s="186"/>
      <c r="V1" s="186"/>
      <c r="W1" s="186"/>
      <c r="X1" s="186"/>
      <c r="Y1" s="186"/>
      <c r="Z1" s="186"/>
      <c r="AA1" s="186"/>
      <c r="AB1" s="186"/>
      <c r="AC1" s="186"/>
      <c r="AD1" s="186"/>
      <c r="AE1" s="186"/>
    </row>
    <row r="2" spans="1:31" ht="17.25" customHeight="1">
      <c r="A2" s="188"/>
      <c r="B2" s="189"/>
      <c r="C2" s="420"/>
      <c r="D2" s="187"/>
      <c r="E2" s="420"/>
      <c r="F2" s="187"/>
      <c r="G2" s="187"/>
      <c r="H2" s="187"/>
      <c r="I2" s="187"/>
      <c r="J2" s="187"/>
      <c r="K2" s="186"/>
      <c r="L2" s="419"/>
      <c r="M2" s="187"/>
      <c r="N2" s="190"/>
      <c r="O2" s="187"/>
      <c r="P2" s="187"/>
      <c r="Q2" s="187"/>
      <c r="R2" s="186"/>
      <c r="S2" s="186"/>
      <c r="T2" s="186"/>
      <c r="U2" s="186"/>
      <c r="V2" s="186"/>
      <c r="W2" s="186"/>
      <c r="X2" s="186"/>
      <c r="Y2" s="186"/>
      <c r="Z2" s="186"/>
      <c r="AA2" s="186"/>
      <c r="AB2" s="186"/>
      <c r="AC2" s="186"/>
      <c r="AD2" s="186"/>
      <c r="AE2" s="186"/>
    </row>
    <row r="3" spans="1:31" ht="17.25" customHeight="1">
      <c r="A3" s="191" t="s">
        <v>0</v>
      </c>
      <c r="B3" s="148"/>
      <c r="C3" s="421"/>
      <c r="D3" s="143"/>
      <c r="E3" s="421"/>
      <c r="F3" s="143"/>
      <c r="G3" s="143"/>
      <c r="H3" s="143"/>
      <c r="I3" s="822"/>
      <c r="K3" s="822" t="s">
        <v>83</v>
      </c>
      <c r="L3" s="422"/>
      <c r="M3" s="143"/>
      <c r="N3" s="143"/>
      <c r="O3" s="143"/>
      <c r="Q3" s="143"/>
      <c r="R3" s="156"/>
      <c r="S3" s="156"/>
      <c r="T3" s="156"/>
      <c r="U3" s="156"/>
      <c r="V3" s="156"/>
      <c r="W3" s="156"/>
      <c r="X3" s="156"/>
      <c r="Y3" s="156"/>
      <c r="Z3" s="156"/>
      <c r="AA3" s="156"/>
      <c r="AB3" s="156"/>
      <c r="AC3" s="156"/>
      <c r="AD3" s="156"/>
      <c r="AE3" s="192"/>
    </row>
    <row r="4" spans="1:31" ht="17.25" customHeight="1">
      <c r="A4" s="191" t="s">
        <v>82</v>
      </c>
      <c r="B4" s="148"/>
      <c r="C4" s="421"/>
      <c r="D4" s="143"/>
      <c r="E4" s="421"/>
      <c r="F4" s="143"/>
      <c r="G4" s="143"/>
      <c r="H4" s="143"/>
      <c r="I4" s="823"/>
      <c r="K4" s="823"/>
      <c r="L4" s="422"/>
      <c r="M4" s="143"/>
      <c r="N4" s="143"/>
      <c r="O4" s="143"/>
      <c r="Q4" s="143"/>
      <c r="R4" s="156"/>
      <c r="S4" s="156"/>
      <c r="T4" s="156"/>
      <c r="U4" s="156"/>
      <c r="V4" s="156"/>
      <c r="W4" s="156"/>
      <c r="X4" s="156"/>
      <c r="Y4" s="156"/>
      <c r="Z4" s="156"/>
      <c r="AA4" s="156"/>
      <c r="AB4" s="156"/>
      <c r="AC4" s="156"/>
      <c r="AD4" s="156"/>
      <c r="AE4" s="156"/>
    </row>
    <row r="5" spans="1:31" ht="17.25" customHeight="1">
      <c r="A5" s="3944" t="str">
        <f>'Exh D-Governmental  '!A5:E5</f>
        <v>FISCAL YEAR 2020-2021</v>
      </c>
      <c r="B5" s="3945"/>
      <c r="C5" s="3945"/>
      <c r="D5" s="3945"/>
      <c r="E5" s="3945"/>
      <c r="F5" s="143"/>
      <c r="G5" s="815"/>
      <c r="H5" s="143"/>
      <c r="I5" s="143"/>
      <c r="J5" s="143"/>
      <c r="K5" s="156"/>
      <c r="L5" s="422"/>
      <c r="M5" s="143"/>
      <c r="N5" s="143"/>
      <c r="O5" s="143"/>
      <c r="Q5" s="143"/>
      <c r="R5" s="156"/>
      <c r="S5" s="156"/>
      <c r="T5" s="156"/>
      <c r="U5" s="156"/>
      <c r="V5" s="156"/>
      <c r="W5" s="156"/>
      <c r="X5" s="156"/>
      <c r="Y5" s="156"/>
      <c r="Z5" s="156"/>
      <c r="AA5" s="156"/>
      <c r="AB5" s="156"/>
      <c r="AC5" s="156"/>
      <c r="AD5" s="156"/>
      <c r="AE5" s="156"/>
    </row>
    <row r="6" spans="1:31" ht="17.25" customHeight="1">
      <c r="A6" s="1473" t="str">
        <f>'Exh D-Governmental  '!A6</f>
        <v xml:space="preserve">FOR TEN MONTHS ENDED JANUARY 31, 2021    </v>
      </c>
      <c r="B6" s="3923"/>
      <c r="C6" s="3924"/>
      <c r="D6" s="3925"/>
      <c r="E6" s="3924"/>
      <c r="F6" s="143"/>
      <c r="G6" s="143"/>
      <c r="H6" s="143"/>
      <c r="I6" s="143"/>
      <c r="J6" s="143"/>
      <c r="K6" s="156"/>
      <c r="L6" s="422"/>
      <c r="M6" s="143"/>
      <c r="N6" s="143"/>
      <c r="O6" s="143"/>
      <c r="P6" s="143"/>
      <c r="Q6" s="143"/>
      <c r="R6" s="156"/>
      <c r="S6" s="156"/>
      <c r="T6" s="156"/>
      <c r="U6" s="156"/>
      <c r="V6" s="156"/>
      <c r="W6" s="156"/>
      <c r="X6" s="156"/>
      <c r="Y6" s="156"/>
      <c r="Z6" s="156"/>
      <c r="AA6" s="156"/>
      <c r="AB6" s="156"/>
      <c r="AC6" s="156"/>
      <c r="AD6" s="156"/>
      <c r="AE6" s="156"/>
    </row>
    <row r="7" spans="1:31" ht="18">
      <c r="A7" s="191" t="s">
        <v>1364</v>
      </c>
      <c r="B7" s="148"/>
      <c r="C7" s="421"/>
      <c r="D7" s="143"/>
      <c r="E7" s="421"/>
      <c r="F7" s="143"/>
      <c r="G7" s="143"/>
      <c r="H7" s="143"/>
      <c r="I7" s="143"/>
      <c r="J7" s="143"/>
      <c r="K7" s="156"/>
      <c r="L7" s="422"/>
      <c r="M7" s="143"/>
      <c r="N7" s="143"/>
      <c r="O7" s="143"/>
      <c r="P7" s="143"/>
      <c r="Q7" s="143"/>
      <c r="R7" s="156"/>
      <c r="S7" s="156"/>
      <c r="T7" s="156"/>
      <c r="U7" s="156"/>
      <c r="V7" s="156"/>
      <c r="W7" s="156"/>
      <c r="X7" s="156"/>
      <c r="Y7" s="156"/>
      <c r="Z7" s="156"/>
      <c r="AA7" s="156"/>
      <c r="AB7" s="156"/>
      <c r="AC7" s="156"/>
      <c r="AD7" s="156"/>
      <c r="AE7" s="156"/>
    </row>
    <row r="8" spans="1:31" ht="15" customHeight="1">
      <c r="A8" s="193"/>
      <c r="B8" s="147"/>
      <c r="C8" s="421"/>
      <c r="D8" s="143"/>
      <c r="E8" s="421"/>
      <c r="F8" s="143"/>
      <c r="G8" s="143"/>
      <c r="H8" s="143"/>
      <c r="I8" s="143"/>
      <c r="J8" s="143"/>
      <c r="K8" s="156"/>
      <c r="L8" s="422"/>
      <c r="M8" s="143"/>
      <c r="N8" s="143"/>
      <c r="O8" s="143"/>
      <c r="P8" s="143"/>
      <c r="Q8" s="143"/>
      <c r="R8" s="156"/>
      <c r="S8" s="156"/>
      <c r="T8" s="156"/>
      <c r="U8" s="156"/>
      <c r="V8" s="156"/>
      <c r="W8" s="156"/>
      <c r="X8" s="156"/>
      <c r="Y8" s="156"/>
      <c r="Z8" s="156"/>
      <c r="AA8" s="156"/>
      <c r="AB8" s="156"/>
      <c r="AC8" s="156"/>
      <c r="AD8" s="156"/>
      <c r="AE8" s="156"/>
    </row>
    <row r="9" spans="1:31">
      <c r="A9" s="150"/>
      <c r="B9" s="156"/>
      <c r="C9" s="422"/>
      <c r="D9" s="143"/>
      <c r="E9" s="422"/>
      <c r="F9" s="143"/>
      <c r="G9" s="143"/>
      <c r="H9" s="143"/>
      <c r="I9" s="143"/>
      <c r="J9" s="143"/>
      <c r="K9" s="156"/>
      <c r="L9" s="422"/>
      <c r="M9" s="143"/>
      <c r="N9" s="143"/>
      <c r="O9" s="143"/>
      <c r="P9" s="143"/>
      <c r="Q9" s="143"/>
      <c r="R9" s="156"/>
      <c r="S9" s="156"/>
      <c r="T9" s="156"/>
      <c r="U9" s="156"/>
      <c r="V9" s="156"/>
      <c r="W9" s="156"/>
      <c r="X9" s="156"/>
      <c r="Y9" s="156"/>
      <c r="Z9" s="156"/>
      <c r="AA9" s="156"/>
      <c r="AB9" s="156"/>
      <c r="AC9" s="156"/>
      <c r="AD9" s="156"/>
      <c r="AE9" s="156"/>
    </row>
    <row r="10" spans="1:31">
      <c r="A10" s="150"/>
      <c r="B10" s="156"/>
      <c r="C10" s="422"/>
      <c r="D10" s="143"/>
      <c r="E10" s="422"/>
      <c r="F10" s="143"/>
      <c r="G10" s="143"/>
      <c r="H10" s="143"/>
      <c r="I10" s="143"/>
      <c r="J10" s="143"/>
      <c r="K10" s="156"/>
      <c r="L10" s="964"/>
      <c r="M10" s="147"/>
      <c r="N10" s="147"/>
      <c r="O10" s="147"/>
      <c r="P10" s="147"/>
      <c r="Q10" s="143"/>
      <c r="R10" s="156"/>
      <c r="S10" s="156"/>
      <c r="T10" s="156"/>
      <c r="U10" s="156"/>
      <c r="V10" s="156"/>
      <c r="W10" s="156"/>
      <c r="X10" s="156"/>
      <c r="Y10" s="156"/>
      <c r="Z10" s="156"/>
      <c r="AA10" s="156"/>
      <c r="AB10" s="156"/>
      <c r="AC10" s="156"/>
      <c r="AD10" s="156"/>
      <c r="AE10" s="156"/>
    </row>
    <row r="11" spans="1:31" ht="15.75">
      <c r="A11" s="690"/>
      <c r="C11" s="3946" t="s">
        <v>1127</v>
      </c>
      <c r="D11" s="3946"/>
      <c r="E11" s="3946"/>
      <c r="F11" s="3946"/>
      <c r="G11" s="3946"/>
      <c r="H11" s="3946"/>
      <c r="I11" s="3946"/>
      <c r="J11" s="1175"/>
      <c r="K11" s="1176"/>
      <c r="L11" s="426"/>
      <c r="M11" s="196"/>
      <c r="N11" s="196"/>
      <c r="O11" s="196"/>
      <c r="P11" s="196"/>
      <c r="Q11" s="151"/>
      <c r="R11" s="194"/>
      <c r="S11" s="194"/>
      <c r="T11" s="194"/>
      <c r="U11" s="194"/>
      <c r="V11" s="194"/>
      <c r="W11" s="194"/>
      <c r="X11" s="194"/>
      <c r="Y11" s="151"/>
      <c r="Z11" s="194"/>
      <c r="AA11" s="195"/>
      <c r="AB11" s="194"/>
      <c r="AC11" s="194"/>
      <c r="AD11" s="194"/>
      <c r="AE11" s="194"/>
    </row>
    <row r="12" spans="1:31" ht="15.75">
      <c r="A12" s="690"/>
      <c r="C12" s="423"/>
      <c r="D12" s="196"/>
      <c r="E12" s="423"/>
      <c r="F12" s="196"/>
      <c r="G12" s="197"/>
      <c r="H12" s="196"/>
      <c r="I12" s="196" t="s">
        <v>84</v>
      </c>
      <c r="J12" s="194"/>
      <c r="K12" s="196" t="s">
        <v>84</v>
      </c>
      <c r="L12" s="426"/>
      <c r="M12" s="196"/>
      <c r="N12" s="197"/>
      <c r="O12" s="196"/>
      <c r="P12" s="196"/>
      <c r="Q12" s="151"/>
      <c r="R12" s="194"/>
      <c r="S12" s="194"/>
      <c r="T12" s="194"/>
      <c r="U12" s="194"/>
      <c r="V12" s="194"/>
      <c r="W12" s="194"/>
      <c r="X12" s="194"/>
      <c r="Y12" s="151"/>
      <c r="Z12" s="194"/>
      <c r="AA12" s="195"/>
      <c r="AB12" s="194"/>
      <c r="AC12" s="194"/>
      <c r="AD12" s="194"/>
      <c r="AE12" s="194"/>
    </row>
    <row r="13" spans="1:31" ht="15.75">
      <c r="A13" s="690"/>
      <c r="B13" s="151"/>
      <c r="C13" s="424"/>
      <c r="D13" s="198"/>
      <c r="E13" s="424"/>
      <c r="F13" s="198"/>
      <c r="G13" s="198"/>
      <c r="H13" s="198"/>
      <c r="I13" s="199" t="s">
        <v>874</v>
      </c>
      <c r="J13" s="201"/>
      <c r="K13" s="199" t="s">
        <v>874</v>
      </c>
      <c r="L13" s="965"/>
      <c r="M13" s="966"/>
      <c r="N13" s="966"/>
      <c r="O13" s="966"/>
      <c r="P13" s="967"/>
      <c r="Q13" s="151"/>
      <c r="R13" s="151"/>
      <c r="S13" s="151"/>
      <c r="T13" s="151"/>
      <c r="U13" s="151"/>
      <c r="V13" s="151"/>
      <c r="W13" s="200"/>
      <c r="X13" s="201"/>
      <c r="Y13" s="151"/>
      <c r="Z13" s="151"/>
      <c r="AA13" s="151"/>
      <c r="AB13" s="151"/>
      <c r="AC13" s="151"/>
      <c r="AD13" s="151"/>
      <c r="AE13" s="200"/>
    </row>
    <row r="14" spans="1:31" ht="15.75">
      <c r="A14" s="690"/>
      <c r="B14" s="202"/>
      <c r="C14" s="154" t="s">
        <v>1075</v>
      </c>
      <c r="D14" s="931"/>
      <c r="E14" s="153" t="s">
        <v>1076</v>
      </c>
      <c r="F14" s="152"/>
      <c r="G14" s="152"/>
      <c r="H14" s="152"/>
      <c r="I14" s="153" t="s">
        <v>85</v>
      </c>
      <c r="J14" s="201"/>
      <c r="K14" s="153" t="s">
        <v>85</v>
      </c>
      <c r="L14" s="968"/>
      <c r="M14" s="151"/>
      <c r="N14" s="151"/>
      <c r="O14" s="151"/>
      <c r="P14" s="201"/>
      <c r="Q14" s="151"/>
      <c r="R14" s="200"/>
      <c r="S14" s="201"/>
      <c r="T14" s="151"/>
      <c r="U14" s="151"/>
      <c r="V14" s="151"/>
      <c r="W14" s="200"/>
      <c r="X14" s="201"/>
      <c r="Y14" s="151"/>
      <c r="Z14" s="200"/>
      <c r="AA14" s="201"/>
      <c r="AB14" s="151"/>
      <c r="AC14" s="151"/>
      <c r="AD14" s="151"/>
      <c r="AE14" s="200"/>
    </row>
    <row r="15" spans="1:31" ht="15.75">
      <c r="A15" s="690"/>
      <c r="B15" s="202"/>
      <c r="C15" s="153" t="s">
        <v>1112</v>
      </c>
      <c r="D15" s="152"/>
      <c r="E15" s="153" t="s">
        <v>1112</v>
      </c>
      <c r="F15" s="152"/>
      <c r="G15" s="152"/>
      <c r="H15" s="152"/>
      <c r="I15" s="153" t="s">
        <v>1075</v>
      </c>
      <c r="J15" s="201"/>
      <c r="K15" s="153" t="s">
        <v>1076</v>
      </c>
      <c r="L15" s="968"/>
      <c r="M15" s="151"/>
      <c r="N15" s="151"/>
      <c r="O15" s="151"/>
      <c r="P15" s="201"/>
      <c r="Q15" s="151"/>
      <c r="R15" s="200"/>
      <c r="S15" s="201"/>
      <c r="T15" s="151"/>
      <c r="U15" s="151"/>
      <c r="V15" s="151"/>
      <c r="W15" s="200"/>
      <c r="X15" s="201"/>
      <c r="Y15" s="151"/>
      <c r="Z15" s="200"/>
      <c r="AA15" s="201"/>
      <c r="AB15" s="151"/>
      <c r="AC15" s="151"/>
      <c r="AD15" s="151"/>
      <c r="AE15" s="200"/>
    </row>
    <row r="16" spans="1:31" ht="15.75">
      <c r="A16" s="690"/>
      <c r="B16" s="201"/>
      <c r="C16" s="153" t="s">
        <v>1113</v>
      </c>
      <c r="D16" s="152"/>
      <c r="E16" s="153" t="s">
        <v>1504</v>
      </c>
      <c r="F16" s="152"/>
      <c r="G16" s="154" t="s">
        <v>84</v>
      </c>
      <c r="H16" s="152"/>
      <c r="I16" s="153" t="s">
        <v>86</v>
      </c>
      <c r="J16" s="201"/>
      <c r="K16" s="153" t="s">
        <v>86</v>
      </c>
      <c r="L16" s="200"/>
      <c r="M16" s="151"/>
      <c r="N16" s="200"/>
      <c r="O16" s="151"/>
      <c r="P16" s="201"/>
      <c r="Q16" s="151"/>
      <c r="R16" s="201"/>
      <c r="S16" s="201"/>
      <c r="T16" s="151"/>
      <c r="U16" s="200"/>
      <c r="V16" s="151"/>
      <c r="W16" s="200"/>
      <c r="X16" s="201"/>
      <c r="Y16" s="151"/>
      <c r="Z16" s="201"/>
      <c r="AA16" s="201"/>
      <c r="AB16" s="151"/>
      <c r="AC16" s="200"/>
      <c r="AD16" s="151"/>
      <c r="AE16" s="200"/>
    </row>
    <row r="17" spans="1:31">
      <c r="A17" s="155"/>
      <c r="B17" s="156"/>
      <c r="C17" s="157"/>
      <c r="D17" s="143"/>
      <c r="E17" s="157"/>
      <c r="F17" s="143"/>
      <c r="G17" s="157"/>
      <c r="H17" s="143"/>
      <c r="I17" s="157"/>
      <c r="J17" s="156"/>
      <c r="K17" s="157"/>
      <c r="L17" s="156"/>
      <c r="M17" s="156"/>
      <c r="N17" s="156"/>
      <c r="O17" s="156"/>
      <c r="P17" s="156"/>
      <c r="Q17" s="156"/>
      <c r="R17" s="156"/>
      <c r="S17" s="156"/>
      <c r="T17" s="156"/>
      <c r="U17" s="156"/>
      <c r="V17" s="156"/>
      <c r="W17" s="156"/>
      <c r="X17" s="156"/>
      <c r="Y17" s="156"/>
      <c r="Z17" s="156"/>
      <c r="AA17" s="156"/>
      <c r="AB17" s="156"/>
      <c r="AC17" s="156"/>
      <c r="AD17" s="156"/>
      <c r="AE17" s="156"/>
    </row>
    <row r="18" spans="1:31" ht="15.75">
      <c r="A18" s="29" t="s">
        <v>14</v>
      </c>
      <c r="B18" s="924"/>
      <c r="C18" s="657"/>
      <c r="D18" s="657"/>
      <c r="E18" s="657"/>
      <c r="F18" s="657"/>
      <c r="G18" s="657"/>
      <c r="H18" s="657"/>
      <c r="I18" s="657"/>
      <c r="J18" s="924"/>
      <c r="K18" s="924"/>
      <c r="L18" s="924"/>
      <c r="M18" s="924"/>
      <c r="N18" s="924"/>
      <c r="O18" s="924"/>
      <c r="P18" s="924"/>
      <c r="Q18" s="924"/>
      <c r="R18" s="924"/>
      <c r="S18" s="924"/>
      <c r="T18" s="924"/>
      <c r="U18" s="924"/>
      <c r="V18" s="924"/>
      <c r="W18" s="924"/>
      <c r="X18" s="924"/>
      <c r="Y18" s="924"/>
      <c r="Z18" s="924"/>
      <c r="AA18" s="924"/>
      <c r="AB18" s="924"/>
      <c r="AC18" s="924"/>
      <c r="AD18" s="924"/>
      <c r="AE18" s="924"/>
    </row>
    <row r="19" spans="1:31">
      <c r="A19" s="820" t="s">
        <v>87</v>
      </c>
      <c r="B19" s="925"/>
      <c r="C19" s="657"/>
      <c r="D19" s="925"/>
      <c r="E19" s="657"/>
      <c r="F19" s="925"/>
      <c r="G19" s="657"/>
      <c r="H19" s="925"/>
      <c r="I19" s="657"/>
      <c r="J19" s="924"/>
      <c r="K19" s="924"/>
      <c r="L19" s="924"/>
      <c r="M19" s="924"/>
      <c r="N19" s="924"/>
      <c r="O19" s="945"/>
      <c r="P19" s="924"/>
      <c r="Q19" s="924"/>
      <c r="R19" s="924"/>
      <c r="S19" s="924"/>
      <c r="T19" s="924"/>
      <c r="U19" s="924"/>
      <c r="V19" s="924"/>
      <c r="W19" s="924"/>
      <c r="X19" s="924"/>
      <c r="Y19" s="924"/>
      <c r="Z19" s="924"/>
      <c r="AA19" s="924"/>
      <c r="AB19" s="924"/>
      <c r="AC19" s="924"/>
      <c r="AD19" s="924"/>
      <c r="AE19" s="924"/>
    </row>
    <row r="20" spans="1:31">
      <c r="A20" s="820" t="s">
        <v>88</v>
      </c>
      <c r="B20" s="925" t="s">
        <v>15</v>
      </c>
      <c r="C20" s="2055">
        <v>19214</v>
      </c>
      <c r="D20" s="893"/>
      <c r="E20" s="2055">
        <v>20406</v>
      </c>
      <c r="F20" s="660"/>
      <c r="G20" s="658">
        <f>+'Exhibit F'!AC26</f>
        <v>21117</v>
      </c>
      <c r="H20" s="660"/>
      <c r="I20" s="658">
        <f t="shared" ref="I20:I25" si="0">ROUND(SUM(G20)-SUM(C20),1)</f>
        <v>1903</v>
      </c>
      <c r="J20" s="924"/>
      <c r="K20" s="658">
        <f>ROUND(SUM(G20)-SUM(E20),1)</f>
        <v>711</v>
      </c>
      <c r="L20" s="969"/>
      <c r="M20" s="969"/>
      <c r="N20" s="970"/>
      <c r="O20" s="969"/>
      <c r="P20" s="971"/>
      <c r="Q20" s="924"/>
      <c r="R20" s="924"/>
      <c r="S20" s="924"/>
      <c r="T20" s="924"/>
      <c r="U20" s="924"/>
      <c r="V20" s="924"/>
      <c r="W20" s="924"/>
      <c r="X20" s="924"/>
      <c r="Y20" s="924"/>
      <c r="Z20" s="924"/>
      <c r="AA20" s="924"/>
      <c r="AB20" s="924"/>
      <c r="AC20" s="924"/>
      <c r="AD20" s="924"/>
      <c r="AE20" s="924"/>
    </row>
    <row r="21" spans="1:31">
      <c r="A21" s="820" t="s">
        <v>89</v>
      </c>
      <c r="B21" s="924" t="s">
        <v>15</v>
      </c>
      <c r="C21" s="1122">
        <v>5795</v>
      </c>
      <c r="D21" s="895"/>
      <c r="E21" s="1122">
        <v>6038</v>
      </c>
      <c r="F21" s="643"/>
      <c r="G21" s="895">
        <f>+'Exhibit F'!AC36</f>
        <v>6055.6</v>
      </c>
      <c r="H21" s="643"/>
      <c r="I21" s="643">
        <f t="shared" si="0"/>
        <v>260.60000000000002</v>
      </c>
      <c r="J21" s="924"/>
      <c r="K21" s="1531">
        <f t="shared" ref="K21:K30" si="1">ROUND(SUM(G21)-SUM(E21),1)</f>
        <v>17.600000000000001</v>
      </c>
      <c r="L21" s="972"/>
      <c r="M21" s="943"/>
      <c r="N21" s="943"/>
      <c r="O21" s="943"/>
      <c r="P21" s="943"/>
      <c r="Q21" s="943"/>
      <c r="R21" s="943"/>
      <c r="S21" s="924"/>
      <c r="T21" s="924"/>
      <c r="U21" s="924"/>
      <c r="V21" s="924"/>
      <c r="W21" s="924"/>
      <c r="X21" s="924"/>
      <c r="Y21" s="924"/>
      <c r="Z21" s="924"/>
      <c r="AA21" s="924"/>
      <c r="AB21" s="924"/>
      <c r="AC21" s="924"/>
      <c r="AD21" s="924"/>
      <c r="AE21" s="924"/>
    </row>
    <row r="22" spans="1:31">
      <c r="A22" s="820" t="s">
        <v>90</v>
      </c>
      <c r="B22" s="925" t="s">
        <v>15</v>
      </c>
      <c r="C22" s="1122">
        <v>4566</v>
      </c>
      <c r="D22" s="684"/>
      <c r="E22" s="1122">
        <v>4358</v>
      </c>
      <c r="F22" s="681"/>
      <c r="G22" s="932">
        <f>+'Exhibit F'!AC43</f>
        <v>4440.3999999999996</v>
      </c>
      <c r="H22" s="681"/>
      <c r="I22" s="643">
        <f t="shared" si="0"/>
        <v>-125.6</v>
      </c>
      <c r="J22" s="924"/>
      <c r="K22" s="1531">
        <f t="shared" si="1"/>
        <v>82.4</v>
      </c>
      <c r="L22" s="972"/>
      <c r="M22" s="944"/>
      <c r="N22" s="943"/>
      <c r="O22" s="944"/>
      <c r="P22" s="943"/>
      <c r="Q22" s="944"/>
      <c r="R22" s="943"/>
      <c r="S22" s="924"/>
      <c r="T22" s="945"/>
      <c r="U22" s="924"/>
      <c r="V22" s="945"/>
      <c r="W22" s="924"/>
      <c r="X22" s="924"/>
      <c r="Y22" s="945"/>
      <c r="Z22" s="924"/>
      <c r="AA22" s="924"/>
      <c r="AB22" s="945"/>
      <c r="AC22" s="203"/>
      <c r="AD22" s="945"/>
      <c r="AE22" s="924"/>
    </row>
    <row r="23" spans="1:31">
      <c r="A23" s="820" t="s">
        <v>91</v>
      </c>
      <c r="B23" s="924" t="s">
        <v>15</v>
      </c>
      <c r="C23" s="1122">
        <v>964</v>
      </c>
      <c r="D23" s="895"/>
      <c r="E23" s="1122">
        <v>1217</v>
      </c>
      <c r="F23" s="643"/>
      <c r="G23" s="895">
        <f>+'Exhibit F'!AC51</f>
        <v>1260.2</v>
      </c>
      <c r="H23" s="643"/>
      <c r="I23" s="643">
        <f t="shared" si="0"/>
        <v>296.2</v>
      </c>
      <c r="J23" s="924"/>
      <c r="K23" s="1531">
        <f t="shared" si="1"/>
        <v>43.2</v>
      </c>
      <c r="L23" s="973"/>
      <c r="M23" s="943"/>
      <c r="N23" s="943"/>
      <c r="O23" s="943"/>
      <c r="P23" s="943"/>
      <c r="Q23" s="943"/>
      <c r="R23" s="943"/>
      <c r="S23" s="924"/>
      <c r="T23" s="924"/>
      <c r="U23" s="924"/>
      <c r="V23" s="924"/>
      <c r="W23" s="924"/>
      <c r="X23" s="924"/>
      <c r="Y23" s="924"/>
      <c r="Z23" s="924"/>
      <c r="AA23" s="924"/>
      <c r="AB23" s="924"/>
      <c r="AC23" s="924"/>
      <c r="AD23" s="924"/>
      <c r="AE23" s="924"/>
    </row>
    <row r="24" spans="1:31" ht="15" customHeight="1">
      <c r="A24" s="820" t="s">
        <v>20</v>
      </c>
      <c r="B24" s="924" t="s">
        <v>15</v>
      </c>
      <c r="C24" s="1122">
        <v>5925</v>
      </c>
      <c r="D24" s="1974"/>
      <c r="E24" s="1122">
        <v>6656</v>
      </c>
      <c r="F24" s="942"/>
      <c r="G24" s="687">
        <f>+'Exhibit F'!AC92</f>
        <v>6706.9</v>
      </c>
      <c r="H24" s="643"/>
      <c r="I24" s="643">
        <f t="shared" si="0"/>
        <v>781.9</v>
      </c>
      <c r="J24" s="924"/>
      <c r="K24" s="1531">
        <f t="shared" si="1"/>
        <v>50.9</v>
      </c>
      <c r="L24" s="973"/>
      <c r="M24" s="943"/>
      <c r="N24" s="943"/>
      <c r="O24" s="943"/>
      <c r="P24" s="943"/>
      <c r="Q24" s="943"/>
      <c r="R24" s="943"/>
      <c r="S24" s="924"/>
      <c r="T24" s="924"/>
      <c r="U24" s="924"/>
      <c r="V24" s="924"/>
      <c r="W24" s="924"/>
      <c r="X24" s="924"/>
      <c r="Y24" s="924"/>
      <c r="Z24" s="924"/>
      <c r="AA24" s="924"/>
      <c r="AB24" s="924"/>
      <c r="AC24" s="924"/>
      <c r="AD24" s="924"/>
      <c r="AE24" s="924"/>
    </row>
    <row r="25" spans="1:31" ht="15" customHeight="1">
      <c r="A25" s="820" t="s">
        <v>21</v>
      </c>
      <c r="B25" s="924" t="s">
        <v>15</v>
      </c>
      <c r="C25" s="1122">
        <v>0</v>
      </c>
      <c r="D25" s="895"/>
      <c r="E25" s="1122">
        <v>0</v>
      </c>
      <c r="F25" s="643"/>
      <c r="G25" s="687">
        <f>+'Exhibit F'!AC94</f>
        <v>0.2</v>
      </c>
      <c r="H25" s="643"/>
      <c r="I25" s="643">
        <f t="shared" si="0"/>
        <v>0.2</v>
      </c>
      <c r="J25" s="924"/>
      <c r="K25" s="1531">
        <f t="shared" si="1"/>
        <v>0.2</v>
      </c>
      <c r="L25" s="972"/>
      <c r="M25" s="943"/>
      <c r="N25" s="943"/>
      <c r="O25" s="943"/>
      <c r="P25" s="943"/>
      <c r="Q25" s="943"/>
      <c r="R25" s="946"/>
      <c r="S25" s="947"/>
      <c r="T25" s="924"/>
      <c r="U25" s="947"/>
      <c r="V25" s="924"/>
      <c r="W25" s="947"/>
      <c r="X25" s="948"/>
      <c r="Y25" s="924"/>
      <c r="Z25" s="924"/>
      <c r="AA25" s="924"/>
      <c r="AB25" s="924"/>
      <c r="AC25" s="924"/>
      <c r="AD25" s="924"/>
      <c r="AE25" s="924"/>
    </row>
    <row r="26" spans="1:31" ht="18" customHeight="1">
      <c r="A26" s="820" t="s">
        <v>105</v>
      </c>
      <c r="B26" s="948"/>
      <c r="C26" s="659"/>
      <c r="D26" s="895"/>
      <c r="E26" s="659"/>
      <c r="F26" s="643"/>
      <c r="G26" s="2137"/>
      <c r="H26" s="643"/>
      <c r="I26" s="643"/>
      <c r="J26" s="948"/>
      <c r="K26" s="1531"/>
      <c r="L26" s="946"/>
      <c r="M26" s="943"/>
      <c r="N26" s="946"/>
      <c r="O26" s="943"/>
      <c r="P26" s="946"/>
      <c r="Q26" s="943"/>
      <c r="R26" s="946"/>
      <c r="S26" s="947"/>
      <c r="T26" s="924"/>
      <c r="U26" s="947"/>
      <c r="V26" s="924"/>
      <c r="W26" s="947"/>
      <c r="X26" s="948"/>
      <c r="Y26" s="924"/>
      <c r="Z26" s="924"/>
      <c r="AA26" s="924"/>
      <c r="AB26" s="924"/>
      <c r="AC26" s="924"/>
      <c r="AD26" s="924"/>
      <c r="AE26" s="924"/>
    </row>
    <row r="27" spans="1:31">
      <c r="A27" s="820" t="s">
        <v>1306</v>
      </c>
      <c r="B27" s="948" t="s">
        <v>15</v>
      </c>
      <c r="C27" s="1122">
        <v>14506</v>
      </c>
      <c r="D27" s="895"/>
      <c r="E27" s="1122">
        <v>14795</v>
      </c>
      <c r="F27" s="643"/>
      <c r="G27" s="895">
        <f>'Exhibit F'!AC123</f>
        <v>15595.7</v>
      </c>
      <c r="H27" s="643"/>
      <c r="I27" s="643">
        <f>ROUND(SUM(G27)-SUM(C27),1)</f>
        <v>1089.7</v>
      </c>
      <c r="J27" s="948"/>
      <c r="K27" s="1531">
        <f t="shared" si="1"/>
        <v>800.7</v>
      </c>
      <c r="L27" s="946"/>
      <c r="M27" s="943"/>
      <c r="N27" s="946"/>
      <c r="O27" s="943"/>
      <c r="P27" s="943"/>
      <c r="Q27" s="943"/>
      <c r="R27" s="946"/>
      <c r="S27" s="947"/>
      <c r="T27" s="924"/>
      <c r="U27" s="947"/>
      <c r="V27" s="924"/>
      <c r="W27" s="947"/>
      <c r="X27" s="948"/>
      <c r="Y27" s="924"/>
      <c r="Z27" s="924"/>
      <c r="AA27" s="924"/>
      <c r="AB27" s="924"/>
      <c r="AC27" s="924"/>
      <c r="AD27" s="924"/>
      <c r="AE27" s="924"/>
    </row>
    <row r="28" spans="1:31">
      <c r="A28" s="820" t="s">
        <v>1074</v>
      </c>
      <c r="B28" s="948" t="s">
        <v>15</v>
      </c>
      <c r="C28" s="1122">
        <v>4170</v>
      </c>
      <c r="D28" s="895"/>
      <c r="E28" s="1122">
        <v>4452</v>
      </c>
      <c r="F28" s="643"/>
      <c r="G28" s="1539">
        <f>'Exhibit F'!AC124</f>
        <v>4471.2</v>
      </c>
      <c r="H28" s="643"/>
      <c r="I28" s="643">
        <f>ROUND(SUM(G28)-SUM(C28),1)</f>
        <v>301.2</v>
      </c>
      <c r="J28" s="948"/>
      <c r="K28" s="1531">
        <f>ROUND(SUM(G28)-SUM(E28),1)</f>
        <v>19.2</v>
      </c>
      <c r="L28" s="946"/>
      <c r="M28" s="943"/>
      <c r="N28" s="946"/>
      <c r="O28" s="943"/>
      <c r="P28" s="943"/>
      <c r="Q28" s="943"/>
      <c r="R28" s="946"/>
      <c r="S28" s="947"/>
      <c r="T28" s="924"/>
      <c r="U28" s="947"/>
      <c r="V28" s="924"/>
      <c r="W28" s="947"/>
      <c r="X28" s="948"/>
      <c r="Y28" s="924"/>
      <c r="Z28" s="924"/>
      <c r="AA28" s="924"/>
      <c r="AB28" s="924"/>
      <c r="AC28" s="924"/>
      <c r="AD28" s="924"/>
      <c r="AE28" s="924"/>
    </row>
    <row r="29" spans="1:31">
      <c r="A29" s="820" t="s">
        <v>106</v>
      </c>
      <c r="B29" s="948" t="s">
        <v>15</v>
      </c>
      <c r="C29" s="1122">
        <v>630</v>
      </c>
      <c r="D29" s="895"/>
      <c r="E29" s="1122">
        <v>600</v>
      </c>
      <c r="F29" s="643"/>
      <c r="G29" s="895">
        <f>'Exhibit F'!AC125</f>
        <v>633.20000000000005</v>
      </c>
      <c r="H29" s="643"/>
      <c r="I29" s="643">
        <f>ROUND(SUM(G29)-SUM(C29),1)</f>
        <v>3.2</v>
      </c>
      <c r="J29" s="948"/>
      <c r="K29" s="1531">
        <f t="shared" si="1"/>
        <v>33.200000000000003</v>
      </c>
      <c r="L29" s="946"/>
      <c r="M29" s="943"/>
      <c r="N29" s="946"/>
      <c r="O29" s="943"/>
      <c r="P29" s="943"/>
      <c r="Q29" s="943"/>
      <c r="R29" s="946"/>
      <c r="S29" s="947"/>
      <c r="T29" s="924"/>
      <c r="U29" s="947"/>
      <c r="V29" s="924"/>
      <c r="W29" s="947"/>
      <c r="X29" s="948"/>
      <c r="Y29" s="924"/>
      <c r="Z29" s="924"/>
      <c r="AA29" s="924"/>
      <c r="AB29" s="924"/>
      <c r="AC29" s="924"/>
      <c r="AD29" s="924"/>
      <c r="AE29" s="924"/>
    </row>
    <row r="30" spans="1:31">
      <c r="A30" s="820" t="s">
        <v>107</v>
      </c>
      <c r="B30" s="948" t="s">
        <v>15</v>
      </c>
      <c r="C30" s="1122">
        <v>1163</v>
      </c>
      <c r="D30" s="895"/>
      <c r="E30" s="1122">
        <v>1721</v>
      </c>
      <c r="F30" s="643"/>
      <c r="G30" s="1716">
        <f>'Exhibit F'!AC126</f>
        <v>1366.5000000000002</v>
      </c>
      <c r="H30" s="643"/>
      <c r="I30" s="643">
        <f>ROUND(SUM(G30)-SUM(C30),1)</f>
        <v>203.5</v>
      </c>
      <c r="J30" s="948"/>
      <c r="K30" s="1531">
        <f t="shared" si="1"/>
        <v>-354.5</v>
      </c>
      <c r="L30" s="974"/>
      <c r="M30" s="943"/>
      <c r="N30" s="944"/>
      <c r="O30" s="943"/>
      <c r="P30" s="943"/>
      <c r="Q30" s="943"/>
      <c r="R30" s="946"/>
      <c r="S30" s="947"/>
      <c r="T30" s="924"/>
      <c r="U30" s="947"/>
      <c r="V30" s="924"/>
      <c r="W30" s="947"/>
      <c r="X30" s="948"/>
      <c r="Y30" s="924"/>
      <c r="Z30" s="924"/>
      <c r="AA30" s="924"/>
      <c r="AB30" s="924"/>
      <c r="AC30" s="924"/>
      <c r="AD30" s="924"/>
      <c r="AE30" s="924"/>
    </row>
    <row r="31" spans="1:31" ht="18" customHeight="1">
      <c r="A31" s="173" t="s">
        <v>108</v>
      </c>
      <c r="B31" s="151" t="s">
        <v>15</v>
      </c>
      <c r="C31" s="1875">
        <f>ROUND(SUM(C20:C30),1)</f>
        <v>56933</v>
      </c>
      <c r="D31" s="112"/>
      <c r="E31" s="1875">
        <f>ROUND(SUM(E20:E30),1)</f>
        <v>60243</v>
      </c>
      <c r="F31" s="922"/>
      <c r="G31" s="215">
        <f>ROUND(SUM(G20:G30),1)</f>
        <v>61646.9</v>
      </c>
      <c r="H31" s="922"/>
      <c r="I31" s="294">
        <f>ROUND(SUM(I20:I30),1)</f>
        <v>4713.8999999999996</v>
      </c>
      <c r="J31" s="151"/>
      <c r="K31" s="294">
        <f>ROUND(SUM(K20:K30),1)</f>
        <v>1403.9</v>
      </c>
      <c r="L31" s="76"/>
      <c r="M31" s="76"/>
      <c r="N31" s="76"/>
      <c r="O31" s="76"/>
      <c r="P31" s="76"/>
      <c r="Q31" s="76"/>
      <c r="R31" s="76"/>
      <c r="S31" s="151"/>
      <c r="T31" s="151"/>
      <c r="U31" s="151"/>
      <c r="V31" s="151"/>
      <c r="W31" s="151"/>
      <c r="X31" s="151"/>
      <c r="Y31" s="151"/>
      <c r="Z31" s="151"/>
      <c r="AA31" s="151"/>
      <c r="AB31" s="151"/>
      <c r="AC31" s="151"/>
      <c r="AD31" s="151"/>
      <c r="AE31" s="151"/>
    </row>
    <row r="32" spans="1:31">
      <c r="A32" s="690"/>
      <c r="B32" s="924"/>
      <c r="C32" s="1876"/>
      <c r="D32" s="895"/>
      <c r="E32" s="1876"/>
      <c r="F32" s="643"/>
      <c r="G32" s="688"/>
      <c r="H32" s="643"/>
      <c r="I32" s="943"/>
      <c r="J32" s="924"/>
      <c r="K32" s="943"/>
      <c r="L32" s="943"/>
      <c r="M32" s="943"/>
      <c r="N32" s="943"/>
      <c r="O32" s="943"/>
      <c r="P32" s="943"/>
      <c r="Q32" s="943"/>
      <c r="R32" s="943"/>
      <c r="S32" s="924"/>
      <c r="T32" s="924"/>
      <c r="U32" s="924"/>
      <c r="V32" s="924"/>
      <c r="W32" s="924"/>
      <c r="X32" s="924"/>
      <c r="Y32" s="924"/>
      <c r="Z32" s="924"/>
      <c r="AA32" s="924"/>
      <c r="AB32" s="924"/>
      <c r="AC32" s="924"/>
      <c r="AD32" s="924"/>
      <c r="AE32" s="924"/>
    </row>
    <row r="33" spans="1:31" ht="15.75">
      <c r="A33" s="29" t="s">
        <v>23</v>
      </c>
      <c r="B33" s="924"/>
      <c r="C33" s="895"/>
      <c r="D33" s="895"/>
      <c r="E33" s="895"/>
      <c r="F33" s="643"/>
      <c r="G33" s="643"/>
      <c r="H33" s="643"/>
      <c r="I33" s="643"/>
      <c r="J33" s="924"/>
      <c r="K33" s="943"/>
      <c r="L33" s="943"/>
      <c r="M33" s="943"/>
      <c r="N33" s="943"/>
      <c r="O33" s="943"/>
      <c r="P33" s="943"/>
      <c r="Q33" s="943"/>
      <c r="R33" s="943"/>
      <c r="S33" s="924"/>
      <c r="T33" s="924"/>
      <c r="U33" s="924"/>
      <c r="V33" s="924"/>
      <c r="W33" s="924"/>
      <c r="X33" s="924"/>
      <c r="Y33" s="924"/>
      <c r="Z33" s="924"/>
      <c r="AA33" s="924"/>
      <c r="AB33" s="924"/>
      <c r="AC33" s="924"/>
      <c r="AD33" s="924"/>
      <c r="AE33" s="924"/>
    </row>
    <row r="34" spans="1:31">
      <c r="A34" s="820" t="s">
        <v>93</v>
      </c>
      <c r="B34" s="945" t="s">
        <v>15</v>
      </c>
      <c r="C34" s="1122">
        <v>35563</v>
      </c>
      <c r="D34" s="895"/>
      <c r="E34" s="1122">
        <v>34798</v>
      </c>
      <c r="F34" s="643"/>
      <c r="G34" s="681">
        <f>+'Exhibit F'!AC110</f>
        <v>34069.299999999996</v>
      </c>
      <c r="H34" s="643"/>
      <c r="I34" s="643">
        <f>ROUND(SUM(G34)-SUM(C34),1)</f>
        <v>-1493.7</v>
      </c>
      <c r="J34" s="924"/>
      <c r="K34" s="1531">
        <f t="shared" ref="K34:K36" si="2">ROUND(SUM(G34)-SUM(E34),1)</f>
        <v>-728.7</v>
      </c>
      <c r="L34" s="944"/>
      <c r="M34" s="943"/>
      <c r="N34" s="944"/>
      <c r="O34" s="943"/>
      <c r="P34" s="943"/>
      <c r="Q34" s="943"/>
      <c r="R34" s="946"/>
      <c r="S34" s="947"/>
      <c r="T34" s="924"/>
      <c r="U34" s="947"/>
      <c r="V34" s="924"/>
      <c r="W34" s="947"/>
      <c r="X34" s="948"/>
      <c r="Y34" s="924"/>
      <c r="Z34" s="924"/>
      <c r="AA34" s="924"/>
      <c r="AB34" s="924"/>
      <c r="AC34" s="924"/>
      <c r="AD34" s="924"/>
      <c r="AE34" s="924"/>
    </row>
    <row r="35" spans="1:31">
      <c r="A35" s="820" t="s">
        <v>94</v>
      </c>
      <c r="B35" s="945" t="s">
        <v>15</v>
      </c>
      <c r="C35" s="1122">
        <v>9587</v>
      </c>
      <c r="D35" s="895"/>
      <c r="E35" s="1122">
        <v>7256</v>
      </c>
      <c r="F35" s="643"/>
      <c r="G35" s="681">
        <f>+'Exhibit F'!AC112+'Exhibit F'!AC113</f>
        <v>7196.1</v>
      </c>
      <c r="H35" s="643"/>
      <c r="I35" s="643">
        <f>ROUND(SUM(G35)-SUM(C35),1)</f>
        <v>-2390.9</v>
      </c>
      <c r="J35" s="924"/>
      <c r="K35" s="1531">
        <f t="shared" si="2"/>
        <v>-59.9</v>
      </c>
      <c r="L35" s="944"/>
      <c r="M35" s="943"/>
      <c r="N35" s="944"/>
      <c r="O35" s="943"/>
      <c r="P35" s="943"/>
      <c r="Q35" s="943"/>
      <c r="R35" s="944"/>
      <c r="S35" s="945"/>
      <c r="T35" s="924"/>
      <c r="U35" s="945"/>
      <c r="V35" s="924"/>
      <c r="W35" s="947"/>
      <c r="X35" s="924"/>
      <c r="Y35" s="924"/>
      <c r="Z35" s="947"/>
      <c r="AA35" s="947"/>
      <c r="AB35" s="924"/>
      <c r="AC35" s="947"/>
      <c r="AD35" s="924"/>
      <c r="AE35" s="947"/>
    </row>
    <row r="36" spans="1:31">
      <c r="A36" s="820" t="s">
        <v>69</v>
      </c>
      <c r="B36" s="945" t="s">
        <v>15</v>
      </c>
      <c r="C36" s="1122">
        <v>6147</v>
      </c>
      <c r="D36" s="895"/>
      <c r="E36" s="1122">
        <v>4951</v>
      </c>
      <c r="F36" s="643"/>
      <c r="G36" s="681">
        <f>+'Exhibit F'!AC114</f>
        <v>5100.5</v>
      </c>
      <c r="H36" s="643"/>
      <c r="I36" s="643">
        <f>ROUND(SUM(G36)-SUM(C36),1)</f>
        <v>-1046.5</v>
      </c>
      <c r="J36" s="924"/>
      <c r="K36" s="1531">
        <f t="shared" si="2"/>
        <v>149.5</v>
      </c>
      <c r="L36" s="944"/>
      <c r="M36" s="943"/>
      <c r="N36" s="944"/>
      <c r="O36" s="943"/>
      <c r="P36" s="943"/>
      <c r="Q36" s="943"/>
      <c r="R36" s="946"/>
      <c r="S36" s="947"/>
      <c r="T36" s="924"/>
      <c r="U36" s="947"/>
      <c r="V36" s="924"/>
      <c r="W36" s="947"/>
      <c r="X36" s="948"/>
      <c r="Y36" s="924"/>
      <c r="Z36" s="947"/>
      <c r="AA36" s="947"/>
      <c r="AB36" s="924"/>
      <c r="AC36" s="947"/>
      <c r="AD36" s="924"/>
      <c r="AE36" s="947"/>
    </row>
    <row r="37" spans="1:31" ht="18" customHeight="1">
      <c r="A37" s="820" t="s">
        <v>109</v>
      </c>
      <c r="B37" s="948"/>
      <c r="C37" s="659"/>
      <c r="D37" s="895"/>
      <c r="E37" s="659"/>
      <c r="F37" s="643"/>
      <c r="G37" s="659"/>
      <c r="H37" s="643"/>
      <c r="I37" s="643"/>
      <c r="J37" s="948"/>
      <c r="K37" s="1531" t="s">
        <v>15</v>
      </c>
      <c r="L37" s="974"/>
      <c r="M37" s="943"/>
      <c r="N37" s="974"/>
      <c r="O37" s="943"/>
      <c r="P37" s="943"/>
      <c r="Q37" s="943"/>
      <c r="R37" s="946"/>
      <c r="S37" s="947"/>
      <c r="T37" s="924"/>
      <c r="U37" s="947"/>
      <c r="V37" s="924"/>
      <c r="W37" s="947"/>
      <c r="X37" s="948"/>
      <c r="Y37" s="924"/>
      <c r="Z37" s="924"/>
      <c r="AA37" s="924"/>
      <c r="AB37" s="924"/>
      <c r="AC37" s="924"/>
      <c r="AD37" s="924"/>
      <c r="AE37" s="924"/>
    </row>
    <row r="38" spans="1:31">
      <c r="A38" s="820" t="s">
        <v>110</v>
      </c>
      <c r="B38" s="948" t="s">
        <v>15</v>
      </c>
      <c r="C38" s="1122">
        <v>1840</v>
      </c>
      <c r="D38" s="895"/>
      <c r="E38" s="1122">
        <v>341</v>
      </c>
      <c r="F38" s="643"/>
      <c r="G38" s="685">
        <f>-'Exhibit F'!AC129</f>
        <v>339.2</v>
      </c>
      <c r="H38" s="643"/>
      <c r="I38" s="643">
        <f>ROUND(SUM(G38)-SUM(C38),1)</f>
        <v>-1500.8</v>
      </c>
      <c r="J38" s="948"/>
      <c r="K38" s="1531">
        <f t="shared" ref="K38:K42" si="3">ROUND(SUM(G38)-SUM(E38),1)</f>
        <v>-1.8</v>
      </c>
      <c r="L38" s="946"/>
      <c r="M38" s="943"/>
      <c r="N38" s="946"/>
      <c r="O38" s="943"/>
      <c r="P38" s="943"/>
      <c r="Q38" s="943"/>
      <c r="R38" s="946"/>
      <c r="S38" s="947"/>
      <c r="T38" s="924"/>
      <c r="U38" s="947"/>
      <c r="V38" s="924"/>
      <c r="W38" s="947"/>
      <c r="X38" s="948"/>
      <c r="Y38" s="924"/>
      <c r="Z38" s="924"/>
      <c r="AA38" s="924"/>
      <c r="AB38" s="924"/>
      <c r="AC38" s="924"/>
      <c r="AD38" s="924"/>
      <c r="AE38" s="924"/>
    </row>
    <row r="39" spans="1:31">
      <c r="A39" s="820" t="s">
        <v>111</v>
      </c>
      <c r="B39" s="948" t="s">
        <v>15</v>
      </c>
      <c r="C39" s="1122">
        <v>2057</v>
      </c>
      <c r="D39" s="895"/>
      <c r="E39" s="1122">
        <v>2850</v>
      </c>
      <c r="F39" s="643"/>
      <c r="G39" s="685">
        <f>-'Exhibit F'!AC127-'Exhibit F'!AC128</f>
        <v>2665</v>
      </c>
      <c r="H39" s="1531" t="s">
        <v>15</v>
      </c>
      <c r="I39" s="643">
        <f>ROUND(SUM(G39)-SUM(C39),1)</f>
        <v>608</v>
      </c>
      <c r="J39" s="948"/>
      <c r="K39" s="1531">
        <f>ROUND(SUM(G39)-SUM(E39),1)</f>
        <v>-185</v>
      </c>
      <c r="L39" s="946" t="s">
        <v>15</v>
      </c>
      <c r="M39" s="943"/>
      <c r="N39" s="946"/>
      <c r="O39" s="943"/>
      <c r="P39" s="943"/>
      <c r="Q39" s="943"/>
      <c r="R39" s="946"/>
      <c r="S39" s="947"/>
      <c r="T39" s="924"/>
      <c r="U39" s="947"/>
      <c r="V39" s="924"/>
      <c r="W39" s="947"/>
      <c r="X39" s="948"/>
      <c r="Y39" s="924"/>
      <c r="Z39" s="924"/>
      <c r="AA39" s="924"/>
      <c r="AB39" s="924"/>
      <c r="AC39" s="924"/>
      <c r="AD39" s="924"/>
      <c r="AE39" s="924"/>
    </row>
    <row r="40" spans="1:31">
      <c r="A40" s="820" t="s">
        <v>112</v>
      </c>
      <c r="B40" s="948" t="s">
        <v>15</v>
      </c>
      <c r="C40" s="1122">
        <v>0</v>
      </c>
      <c r="D40" s="895"/>
      <c r="E40" s="1122">
        <v>0</v>
      </c>
      <c r="F40" s="643"/>
      <c r="G40" s="1539">
        <v>263.60000000000002</v>
      </c>
      <c r="H40" s="1531" t="s">
        <v>853</v>
      </c>
      <c r="I40" s="643">
        <f>ROUND(SUM(G40)-SUM(C40),1)</f>
        <v>263.60000000000002</v>
      </c>
      <c r="J40" s="948"/>
      <c r="K40" s="1531">
        <f t="shared" si="3"/>
        <v>263.60000000000002</v>
      </c>
      <c r="L40" s="946"/>
      <c r="M40" s="943"/>
      <c r="N40" s="946"/>
      <c r="O40" s="943"/>
      <c r="P40" s="943"/>
      <c r="Q40" s="943"/>
      <c r="R40" s="946"/>
      <c r="S40" s="947"/>
      <c r="T40" s="924"/>
      <c r="U40" s="947"/>
      <c r="V40" s="924"/>
      <c r="W40" s="947"/>
      <c r="X40" s="948"/>
      <c r="Y40" s="924"/>
      <c r="Z40" s="924"/>
      <c r="AA40" s="924"/>
      <c r="AB40" s="924"/>
      <c r="AC40" s="924"/>
      <c r="AD40" s="924"/>
      <c r="AE40" s="924"/>
    </row>
    <row r="41" spans="1:31">
      <c r="A41" s="820" t="s">
        <v>114</v>
      </c>
      <c r="B41" s="948" t="s">
        <v>115</v>
      </c>
      <c r="C41" s="1122">
        <v>1223</v>
      </c>
      <c r="D41" s="895"/>
      <c r="E41" s="1122">
        <v>1004</v>
      </c>
      <c r="F41" s="643"/>
      <c r="G41" s="1539">
        <v>994.1</v>
      </c>
      <c r="H41" s="643"/>
      <c r="I41" s="643">
        <f>ROUND(SUM(G41)-SUM(C41),1)</f>
        <v>-228.9</v>
      </c>
      <c r="J41" s="948"/>
      <c r="K41" s="1531">
        <f t="shared" si="3"/>
        <v>-9.9</v>
      </c>
      <c r="L41" s="946"/>
      <c r="M41" s="943"/>
      <c r="N41" s="946"/>
      <c r="O41" s="943"/>
      <c r="P41" s="943"/>
      <c r="Q41" s="943"/>
      <c r="R41" s="946"/>
      <c r="S41" s="947"/>
      <c r="T41" s="924"/>
      <c r="U41" s="947"/>
      <c r="V41" s="924"/>
      <c r="W41" s="947"/>
      <c r="X41" s="948"/>
      <c r="Y41" s="924"/>
      <c r="Z41" s="924"/>
      <c r="AA41" s="924"/>
      <c r="AB41" s="924"/>
      <c r="AC41" s="924"/>
      <c r="AD41" s="924"/>
      <c r="AE41" s="924"/>
    </row>
    <row r="42" spans="1:31">
      <c r="A42" s="820" t="s">
        <v>116</v>
      </c>
      <c r="B42" s="948" t="s">
        <v>15</v>
      </c>
      <c r="C42" s="1122">
        <v>896</v>
      </c>
      <c r="D42" s="895"/>
      <c r="E42" s="1122">
        <v>892</v>
      </c>
      <c r="F42" s="643"/>
      <c r="G42" s="685">
        <v>630.6</v>
      </c>
      <c r="H42" s="643"/>
      <c r="I42" s="643">
        <f>ROUND(SUM(G42)-SUM(C42),1)</f>
        <v>-265.39999999999998</v>
      </c>
      <c r="J42" s="948"/>
      <c r="K42" s="1531">
        <f t="shared" si="3"/>
        <v>-261.39999999999998</v>
      </c>
      <c r="L42" s="974"/>
      <c r="M42" s="943"/>
      <c r="N42" s="944"/>
      <c r="O42" s="943"/>
      <c r="P42" s="943"/>
      <c r="Q42" s="943"/>
      <c r="R42" s="946"/>
      <c r="S42" s="947"/>
      <c r="T42" s="924"/>
      <c r="U42" s="947"/>
      <c r="V42" s="924"/>
      <c r="W42" s="947"/>
      <c r="X42" s="948"/>
      <c r="Y42" s="924"/>
      <c r="Z42" s="924"/>
      <c r="AA42" s="924"/>
      <c r="AB42" s="924"/>
      <c r="AC42" s="924"/>
      <c r="AD42" s="924"/>
      <c r="AE42" s="924"/>
    </row>
    <row r="43" spans="1:31" ht="18" customHeight="1">
      <c r="A43" s="173" t="s">
        <v>117</v>
      </c>
      <c r="B43" s="151" t="s">
        <v>15</v>
      </c>
      <c r="C43" s="1875">
        <f>ROUND(SUM(C34:C42),1)</f>
        <v>57313</v>
      </c>
      <c r="D43" s="112"/>
      <c r="E43" s="1875">
        <f>ROUND(SUM(E34:E42),1)</f>
        <v>52092</v>
      </c>
      <c r="F43" s="922"/>
      <c r="G43" s="215">
        <f>ROUND(SUM(G34:G42),1)</f>
        <v>51258.400000000001</v>
      </c>
      <c r="H43" s="922"/>
      <c r="I43" s="294">
        <f>ROUND(SUM(I34:I42),1)</f>
        <v>-6054.6</v>
      </c>
      <c r="J43" s="151"/>
      <c r="K43" s="294">
        <f>ROUND(SUM(K34:K42),1)</f>
        <v>-833.6</v>
      </c>
      <c r="L43" s="76"/>
      <c r="M43" s="76"/>
      <c r="N43" s="76"/>
      <c r="O43" s="76"/>
      <c r="P43" s="76"/>
      <c r="Q43" s="76"/>
      <c r="R43" s="76"/>
      <c r="S43" s="151"/>
      <c r="T43" s="151"/>
      <c r="U43" s="151"/>
      <c r="V43" s="151"/>
      <c r="W43" s="151"/>
      <c r="X43" s="151"/>
      <c r="Y43" s="151"/>
      <c r="Z43" s="151"/>
      <c r="AA43" s="151"/>
      <c r="AB43" s="151"/>
      <c r="AC43" s="151"/>
      <c r="AD43" s="151"/>
      <c r="AE43" s="151"/>
    </row>
    <row r="44" spans="1:31">
      <c r="A44" s="690"/>
      <c r="B44" s="924"/>
      <c r="C44" s="1876"/>
      <c r="D44" s="895"/>
      <c r="E44" s="1876"/>
      <c r="F44" s="643"/>
      <c r="G44" s="688"/>
      <c r="H44" s="643"/>
      <c r="I44" s="943"/>
      <c r="J44" s="924"/>
      <c r="K44" s="943"/>
      <c r="L44" s="943"/>
      <c r="M44" s="943"/>
      <c r="N44" s="943"/>
      <c r="O44" s="943"/>
      <c r="P44" s="943"/>
      <c r="Q44" s="943"/>
      <c r="R44" s="943"/>
      <c r="S44" s="924"/>
      <c r="T44" s="924"/>
      <c r="U44" s="924"/>
      <c r="V44" s="924"/>
      <c r="W44" s="924"/>
      <c r="X44" s="924"/>
      <c r="Y44" s="924"/>
      <c r="Z44" s="924"/>
      <c r="AA44" s="924"/>
      <c r="AB44" s="924"/>
      <c r="AC44" s="924"/>
      <c r="AD44" s="924"/>
      <c r="AE44" s="924"/>
    </row>
    <row r="45" spans="1:31" ht="15.75">
      <c r="A45" s="29" t="s">
        <v>118</v>
      </c>
      <c r="B45" s="924"/>
      <c r="C45" s="895"/>
      <c r="D45" s="895"/>
      <c r="E45" s="895"/>
      <c r="F45" s="643"/>
      <c r="G45" s="643"/>
      <c r="H45" s="643"/>
      <c r="I45" s="643"/>
      <c r="J45" s="924"/>
      <c r="K45" s="943"/>
      <c r="L45" s="943"/>
      <c r="M45" s="943"/>
      <c r="N45" s="943"/>
      <c r="O45" s="943"/>
      <c r="P45" s="943"/>
      <c r="Q45" s="943"/>
      <c r="R45" s="943"/>
      <c r="S45" s="924"/>
      <c r="T45" s="924"/>
      <c r="U45" s="924"/>
      <c r="V45" s="924"/>
      <c r="W45" s="924"/>
      <c r="X45" s="924"/>
      <c r="Y45" s="924"/>
      <c r="Z45" s="924"/>
      <c r="AA45" s="924"/>
      <c r="AB45" s="924"/>
      <c r="AC45" s="924"/>
      <c r="AD45" s="924"/>
      <c r="AE45" s="924"/>
    </row>
    <row r="46" spans="1:31" ht="15.75">
      <c r="A46" s="29" t="s">
        <v>119</v>
      </c>
      <c r="B46" s="924"/>
      <c r="C46" s="895"/>
      <c r="D46" s="895"/>
      <c r="E46" s="895"/>
      <c r="F46" s="643"/>
      <c r="G46" s="643"/>
      <c r="H46" s="643"/>
      <c r="I46" s="643"/>
      <c r="J46" s="924"/>
      <c r="K46" s="943"/>
      <c r="L46" s="943"/>
      <c r="M46" s="943"/>
      <c r="N46" s="943"/>
      <c r="O46" s="943"/>
      <c r="P46" s="943"/>
      <c r="Q46" s="943"/>
      <c r="R46" s="943"/>
      <c r="S46" s="924"/>
      <c r="T46" s="924"/>
      <c r="U46" s="924"/>
      <c r="V46" s="924"/>
      <c r="W46" s="924"/>
      <c r="X46" s="924"/>
      <c r="Y46" s="924"/>
      <c r="Z46" s="924"/>
      <c r="AA46" s="924"/>
      <c r="AB46" s="924"/>
      <c r="AC46" s="924"/>
      <c r="AD46" s="924"/>
      <c r="AE46" s="924"/>
    </row>
    <row r="47" spans="1:31" ht="15.75">
      <c r="A47" s="173" t="s">
        <v>102</v>
      </c>
      <c r="B47" s="921" t="s">
        <v>15</v>
      </c>
      <c r="C47" s="115">
        <f>ROUND(SUM(C31)-SUM(C43),1)</f>
        <v>-380</v>
      </c>
      <c r="D47" s="1105"/>
      <c r="E47" s="115">
        <f>ROUND(SUM(E31)-SUM(E43),1)</f>
        <v>8151</v>
      </c>
      <c r="F47" s="84"/>
      <c r="G47" s="76">
        <f>ROUND(SUM(G31)-SUM(G43),1)</f>
        <v>10388.5</v>
      </c>
      <c r="H47" s="84"/>
      <c r="I47" s="76">
        <f>ROUND(SUM(I31)-SUM(I43),1)</f>
        <v>10768.5</v>
      </c>
      <c r="J47" s="151"/>
      <c r="K47" s="76">
        <f>ROUND(SUM(K31)-SUM(K43),1)</f>
        <v>2237.5</v>
      </c>
      <c r="L47" s="76"/>
      <c r="M47" s="392"/>
      <c r="N47" s="76"/>
      <c r="O47" s="392"/>
      <c r="P47" s="76"/>
      <c r="Q47" s="392"/>
      <c r="R47" s="76"/>
      <c r="S47" s="151"/>
      <c r="T47" s="174"/>
      <c r="U47" s="151"/>
      <c r="V47" s="174"/>
      <c r="W47" s="151"/>
      <c r="X47" s="151"/>
      <c r="Y47" s="174"/>
      <c r="Z47" s="151"/>
      <c r="AA47" s="151"/>
      <c r="AB47" s="174"/>
      <c r="AC47" s="151"/>
      <c r="AD47" s="174"/>
      <c r="AE47" s="151"/>
    </row>
    <row r="48" spans="1:31" ht="15" customHeight="1">
      <c r="C48" s="1485"/>
      <c r="D48" s="1651"/>
      <c r="E48" s="1485"/>
      <c r="F48" s="932"/>
      <c r="G48" s="670"/>
      <c r="H48" s="932"/>
      <c r="I48" s="76"/>
      <c r="J48" s="151"/>
      <c r="K48" s="76"/>
      <c r="L48" s="670"/>
      <c r="M48" s="670"/>
      <c r="N48" s="670"/>
      <c r="O48" s="670"/>
      <c r="P48" s="670"/>
      <c r="Q48" s="670"/>
      <c r="R48" s="670"/>
    </row>
    <row r="49" spans="1:18" ht="15.75">
      <c r="A49" s="978" t="str">
        <f>'Exh D-Governmental  '!A49</f>
        <v>Fund Balances (Deficits) at April 1</v>
      </c>
      <c r="B49" s="622" t="s">
        <v>15</v>
      </c>
      <c r="C49" s="115">
        <f>ROUND('Exhibit F'!D12,0)</f>
        <v>8944</v>
      </c>
      <c r="D49" s="1651"/>
      <c r="E49" s="115">
        <f>ROUND('Exhibit F'!D12,0)</f>
        <v>8944</v>
      </c>
      <c r="F49" s="932"/>
      <c r="G49" s="76">
        <f>'Exhibit F'!AC12</f>
        <v>8944.2000000000007</v>
      </c>
      <c r="H49" s="932"/>
      <c r="I49" s="81">
        <f>ROUND(SUM(G49-C49),1)</f>
        <v>0.2</v>
      </c>
      <c r="J49" s="151"/>
      <c r="K49" s="922">
        <f>ROUND(SUM(G49-E49),1)</f>
        <v>0.2</v>
      </c>
      <c r="L49" s="76"/>
      <c r="M49" s="670"/>
      <c r="N49" s="76"/>
      <c r="O49" s="670"/>
      <c r="P49" s="81"/>
      <c r="Q49" s="670"/>
      <c r="R49" s="670"/>
    </row>
    <row r="50" spans="1:18" ht="18" customHeight="1" thickBot="1">
      <c r="A50" s="173" t="str">
        <f>'Exh D-Governmental  '!A50</f>
        <v>Fund Balances (Deficits) at January 31, 2021</v>
      </c>
      <c r="B50" s="180" t="s">
        <v>15</v>
      </c>
      <c r="C50" s="2058">
        <f>ROUND(SUM(C47:C49),1)</f>
        <v>8564</v>
      </c>
      <c r="D50" s="2059"/>
      <c r="E50" s="2058">
        <f>ROUND(SUM(E47:E49),1)</f>
        <v>17095</v>
      </c>
      <c r="F50" s="181"/>
      <c r="G50" s="98">
        <f>ROUND(SUM(G47:G49),1)</f>
        <v>19332.7</v>
      </c>
      <c r="H50" s="181"/>
      <c r="I50" s="98">
        <f>ROUND(SUM(I47:I49),1)</f>
        <v>10768.7</v>
      </c>
      <c r="J50" s="151"/>
      <c r="K50" s="98">
        <f>ROUND(SUM(K47:K49),1)</f>
        <v>2237.6999999999998</v>
      </c>
      <c r="L50" s="219"/>
      <c r="M50" s="975"/>
      <c r="N50" s="219"/>
      <c r="O50" s="975"/>
      <c r="P50" s="219"/>
    </row>
    <row r="51" spans="1:18" ht="15" customHeight="1" thickTop="1">
      <c r="A51" s="155"/>
      <c r="G51" s="622"/>
      <c r="J51" s="622"/>
      <c r="L51" s="689"/>
      <c r="M51" s="976"/>
      <c r="N51" s="976"/>
      <c r="O51" s="976"/>
      <c r="P51" s="976"/>
    </row>
    <row r="52" spans="1:18">
      <c r="A52" s="936" t="str">
        <f>'Exh D-Governmental  '!A52</f>
        <v>(*)    Source: 2020-21 Enacted Financial Plan dated April 25, 2020.</v>
      </c>
      <c r="M52" s="622"/>
      <c r="N52" s="622"/>
      <c r="O52" s="622"/>
      <c r="P52" s="622"/>
    </row>
    <row r="53" spans="1:18">
      <c r="A53" s="936" t="str">
        <f>'Exh D-Governmental  '!A53</f>
        <v>(**)   Source: 2021-22 Executive Budget dated January 19, 2021.</v>
      </c>
      <c r="M53" s="622"/>
      <c r="N53" s="622"/>
      <c r="O53" s="622"/>
      <c r="P53" s="622"/>
    </row>
    <row r="54" spans="1:18">
      <c r="A54" s="1499" t="s">
        <v>1508</v>
      </c>
      <c r="M54" s="622"/>
      <c r="N54" s="622"/>
      <c r="O54" s="622"/>
      <c r="P54" s="622"/>
    </row>
    <row r="55" spans="1:18">
      <c r="A55" s="1499" t="s">
        <v>1308</v>
      </c>
      <c r="M55" s="622"/>
      <c r="N55" s="622"/>
      <c r="O55" s="622"/>
      <c r="P55" s="622"/>
    </row>
    <row r="56" spans="1:18">
      <c r="A56" s="1499" t="s">
        <v>15</v>
      </c>
      <c r="M56" s="622"/>
      <c r="N56" s="622"/>
      <c r="O56" s="622"/>
      <c r="P56" s="622"/>
    </row>
    <row r="57" spans="1:18">
      <c r="A57" s="950"/>
      <c r="M57" s="622"/>
      <c r="N57" s="622"/>
      <c r="O57" s="622"/>
      <c r="P57" s="622"/>
    </row>
    <row r="58" spans="1:18">
      <c r="M58" s="622"/>
      <c r="N58" s="622"/>
      <c r="O58" s="622"/>
      <c r="P58" s="622"/>
    </row>
    <row r="59" spans="1:18">
      <c r="A59" s="3067"/>
      <c r="C59" s="2148"/>
      <c r="M59" s="622"/>
      <c r="N59" s="622"/>
      <c r="O59" s="622"/>
      <c r="P59" s="622"/>
    </row>
    <row r="60" spans="1:18">
      <c r="A60" s="204"/>
    </row>
  </sheetData>
  <mergeCells count="2">
    <mergeCell ref="A5:E5"/>
    <mergeCell ref="C11:I11"/>
  </mergeCells>
  <printOptions horizontalCentered="1"/>
  <pageMargins left="0.5" right="0.75" top="0.75" bottom="0.75" header="0.5" footer="0.25"/>
  <pageSetup scale="60" firstPageNumber="9" orientation="landscape" useFirstPageNumber="1" r:id="rId1"/>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D-Governmental  </vt:lpstr>
      <vt:lpstr>Exh D State Operating</vt:lpstr>
      <vt:lpstr>Exh D General Fund</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2021-02-16T19:04:32Z</dcterms:created>
  <dcterms:modified xsi:type="dcterms:W3CDTF">2021-02-16T19:12:11Z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